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laneacion-OCAD\Desktop\INFORME DE GESTION I SEM 2023\Cargue CARDINAL\"/>
    </mc:Choice>
  </mc:AlternateContent>
  <bookViews>
    <workbookView xWindow="0" yWindow="0" windowWidth="27735" windowHeight="7860" tabRatio="871" activeTab="3"/>
  </bookViews>
  <sheets>
    <sheet name="Datos Generales" sheetId="1" r:id="rId1"/>
    <sheet name="Hoja1" sheetId="2" state="hidden" r:id="rId2"/>
    <sheet name="METAS CON BAJO RENDIMIENTO" sheetId="10" state="hidden" r:id="rId3"/>
    <sheet name="Anexo 1 Matriz Inf Gestión-GD" sheetId="3" r:id="rId4"/>
    <sheet name="Hoja2" sheetId="22" state="hidden" r:id="rId5"/>
    <sheet name="Anexo 2 Mat Inf Gastos 22" sheetId="11" state="hidden" r:id="rId6"/>
    <sheet name="Anexo 2 Mat Inf Gastos 23" sheetId="18" state="hidden" r:id="rId7"/>
    <sheet name="Anexo Ingresos 2023" sheetId="19" state="hidden" r:id="rId8"/>
    <sheet name="Anexo 5.2 A 2023" sheetId="21" state="hidden" r:id="rId9"/>
    <sheet name="RESUMEN FISICO Y FINANCIERO" sheetId="4" r:id="rId10"/>
    <sheet name="GRAFICOS " sheetId="14" state="hidden" r:id="rId11"/>
    <sheet name="FORMULA" sheetId="8" state="hidden" r:id="rId12"/>
    <sheet name="16MIZC" sheetId="5" state="hidden" r:id="rId13"/>
  </sheets>
  <externalReferences>
    <externalReference r:id="rId14"/>
    <externalReference r:id="rId15"/>
    <externalReference r:id="rId16"/>
    <externalReference r:id="rId17"/>
    <externalReference r:id="rId18"/>
  </externalReferences>
  <definedNames>
    <definedName name="_xlnm._FilterDatabase" localSheetId="3" hidden="1">'Anexo 1 Matriz Inf Gestión-GD'!$A$6:$BI$226</definedName>
    <definedName name="_Toc467769483" localSheetId="12">#REF!</definedName>
    <definedName name="_xlnm.Print_Area" localSheetId="3">'Anexo 1 Matriz Inf Gestión-GD'!$A$1:$BI$224</definedName>
    <definedName name="_xlnm.Print_Area" localSheetId="2">'METAS CON BAJO RENDIMIENTO'!$A$1:$H$218</definedName>
    <definedName name="_xlnm.Print_Area" localSheetId="9">'RESUMEN FISICO Y FINANCIERO'!$A$1:$E$65</definedName>
    <definedName name="GASTOS" comment="OPCION SI O NO">[1]Formulas!$D$33:$D$34</definedName>
    <definedName name="Informe" comment="OPCION SI O NO">[1]Formulas!$D$33:$D$34</definedName>
    <definedName name="ing">'[2]Datos Generales'!$H$5:$H$36</definedName>
    <definedName name="INGRESOS">'[3]Datos Generales'!$H$5:$H$37</definedName>
    <definedName name="Lista_CAR" localSheetId="4">'[4]Datos Generales'!$H$5:$H$37</definedName>
    <definedName name="Lista_CAR">'Datos Generales'!$H$5:$H$37</definedName>
    <definedName name="REPORTE" localSheetId="4">#REF!</definedName>
    <definedName name="REPORTE">#REF!</definedName>
    <definedName name="SI" localSheetId="4">#REF!</definedName>
    <definedName name="SI">#REF!</definedName>
    <definedName name="_xlnm.Print_Titles" localSheetId="5">'Anexo 2 Mat Inf Gastos 22'!$2:$3</definedName>
    <definedName name="_xlnm.Print_Titles" localSheetId="2">'METAS CON BAJO RENDIMIENTO'!$1:$1</definedName>
    <definedName name="Vigencias">'Datos Generales'!$H$39:$H$46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21" i="3" l="1"/>
  <c r="AZ215" i="3"/>
  <c r="AZ214" i="3"/>
  <c r="AZ209" i="3"/>
  <c r="AZ208" i="3"/>
  <c r="AZ207" i="3"/>
  <c r="AZ206" i="3"/>
  <c r="AZ203" i="3"/>
  <c r="AZ187" i="3"/>
  <c r="AZ178" i="3"/>
  <c r="AZ161" i="3"/>
  <c r="AZ150" i="3"/>
  <c r="AZ142" i="3"/>
  <c r="AZ129" i="3"/>
  <c r="AZ134" i="3"/>
  <c r="AZ123" i="3"/>
  <c r="AZ122" i="3"/>
  <c r="AZ121" i="3"/>
  <c r="AZ120" i="3"/>
  <c r="AZ119" i="3"/>
  <c r="AZ118" i="3"/>
  <c r="AZ117" i="3"/>
  <c r="AZ116" i="3"/>
  <c r="AZ115" i="3"/>
  <c r="AZ114" i="3"/>
  <c r="AZ113" i="3"/>
  <c r="AZ112" i="3"/>
  <c r="AZ111" i="3"/>
  <c r="AZ110" i="3"/>
  <c r="AZ109" i="3"/>
  <c r="AZ104" i="3"/>
  <c r="AZ102" i="3"/>
  <c r="AZ100" i="3"/>
  <c r="AZ92" i="3"/>
  <c r="AZ99" i="3"/>
  <c r="AZ101" i="3"/>
  <c r="AZ98" i="3"/>
  <c r="AZ97" i="3"/>
  <c r="AZ96" i="3"/>
  <c r="AZ95" i="3"/>
  <c r="AZ94" i="3"/>
  <c r="AZ93" i="3"/>
  <c r="AZ89" i="3"/>
  <c r="AZ88" i="3"/>
  <c r="AZ87" i="3"/>
  <c r="AZ83" i="3"/>
  <c r="AZ76" i="3"/>
  <c r="AZ69" i="3"/>
  <c r="AZ74" i="3"/>
  <c r="AZ61" i="3"/>
  <c r="AZ59" i="3"/>
  <c r="AZ53" i="3"/>
  <c r="AZ42" i="3"/>
  <c r="AZ50" i="3"/>
  <c r="AZ49" i="3"/>
  <c r="AZ48" i="3"/>
  <c r="AZ47" i="3"/>
  <c r="AZ46" i="3"/>
  <c r="AZ45" i="3"/>
  <c r="AZ44" i="3"/>
  <c r="AZ43" i="3"/>
  <c r="AZ37" i="3"/>
  <c r="AZ38" i="3"/>
  <c r="AZ39" i="3"/>
  <c r="AZ31" i="3"/>
  <c r="AZ28" i="3"/>
  <c r="AZ27" i="3"/>
  <c r="AZ26" i="3"/>
  <c r="AZ25" i="3"/>
  <c r="AZ24" i="3"/>
  <c r="AZ23" i="3"/>
  <c r="AZ22" i="3"/>
  <c r="AZ16" i="3"/>
  <c r="AZ15" i="3"/>
  <c r="AZ14" i="3"/>
  <c r="AZ13" i="3"/>
  <c r="AZ12" i="3"/>
  <c r="AZ11" i="3"/>
  <c r="AZ10" i="3"/>
  <c r="AZ91" i="3" l="1"/>
  <c r="AZ218" i="3"/>
  <c r="AZ211" i="3"/>
  <c r="AZ205" i="3"/>
  <c r="AZ201" i="3"/>
  <c r="AZ193" i="3"/>
  <c r="AZ185" i="3"/>
  <c r="AZ174" i="3"/>
  <c r="AZ160" i="3"/>
  <c r="AZ147" i="3"/>
  <c r="AZ154" i="3"/>
  <c r="AZ141" i="3"/>
  <c r="AZ136" i="3"/>
  <c r="AZ131" i="3"/>
  <c r="AZ126" i="3"/>
  <c r="AZ108" i="3"/>
  <c r="AZ103" i="3"/>
  <c r="AZ86" i="3"/>
  <c r="AZ77" i="3"/>
  <c r="AZ72" i="3"/>
  <c r="AZ67" i="3"/>
  <c r="AZ60" i="3"/>
  <c r="AZ56" i="3"/>
  <c r="AZ52" i="3"/>
  <c r="AZ41" i="3"/>
  <c r="AZ35" i="3"/>
  <c r="AZ29" i="3"/>
  <c r="AZ21" i="3"/>
  <c r="AZ17" i="3"/>
  <c r="AZ9" i="3"/>
  <c r="AZ222" i="3"/>
  <c r="AZ220" i="3"/>
  <c r="AZ219" i="3"/>
  <c r="AZ217" i="3"/>
  <c r="AZ216" i="3"/>
  <c r="AZ213" i="3"/>
  <c r="AZ212" i="3"/>
  <c r="AZ204" i="3"/>
  <c r="AZ202" i="3"/>
  <c r="AZ200" i="3"/>
  <c r="AZ199" i="3"/>
  <c r="AZ198" i="3"/>
  <c r="AZ197" i="3"/>
  <c r="AZ196" i="3"/>
  <c r="AZ195" i="3"/>
  <c r="AZ194" i="3"/>
  <c r="AZ192" i="3"/>
  <c r="AZ191" i="3"/>
  <c r="AZ189" i="3"/>
  <c r="AZ190" i="3"/>
  <c r="AZ186" i="3"/>
  <c r="AZ184" i="3"/>
  <c r="AZ183" i="3"/>
  <c r="AZ182" i="3"/>
  <c r="AZ181" i="3"/>
  <c r="AZ180" i="3"/>
  <c r="AZ179" i="3"/>
  <c r="AZ177" i="3"/>
  <c r="AZ176" i="3"/>
  <c r="AZ175" i="3"/>
  <c r="AZ173" i="3"/>
  <c r="AZ172" i="3"/>
  <c r="AZ171" i="3"/>
  <c r="AZ170" i="3"/>
  <c r="AZ169" i="3"/>
  <c r="AZ168" i="3"/>
  <c r="AZ167" i="3"/>
  <c r="AZ166" i="3"/>
  <c r="AZ165" i="3"/>
  <c r="AZ164" i="3"/>
  <c r="AZ163" i="3"/>
  <c r="AZ162" i="3"/>
  <c r="AZ157" i="3"/>
  <c r="AZ156" i="3"/>
  <c r="AZ155" i="3"/>
  <c r="AZ153" i="3"/>
  <c r="AZ152" i="3"/>
  <c r="AZ151" i="3"/>
  <c r="AZ149" i="3"/>
  <c r="AZ148" i="3"/>
  <c r="AZ146" i="3"/>
  <c r="AZ145" i="3"/>
  <c r="AZ144" i="3"/>
  <c r="AZ143" i="3"/>
  <c r="AZ138" i="3"/>
  <c r="AZ137" i="3"/>
  <c r="AZ135" i="3"/>
  <c r="AZ133" i="3"/>
  <c r="AZ132" i="3"/>
  <c r="AZ130" i="3"/>
  <c r="AZ128" i="3"/>
  <c r="AZ127" i="3"/>
  <c r="AZ106" i="3"/>
  <c r="AZ105" i="3"/>
  <c r="AZ90" i="3"/>
  <c r="AZ85" i="3"/>
  <c r="AZ84" i="3"/>
  <c r="AZ82" i="3"/>
  <c r="AZ81" i="3"/>
  <c r="AZ80" i="3"/>
  <c r="AZ79" i="3"/>
  <c r="AZ78" i="3"/>
  <c r="AZ75" i="3"/>
  <c r="AZ73" i="3"/>
  <c r="AZ71" i="3"/>
  <c r="AZ70" i="3"/>
  <c r="AZ68" i="3"/>
  <c r="AZ63" i="3"/>
  <c r="AZ62" i="3"/>
  <c r="AZ58" i="3"/>
  <c r="AZ57" i="3"/>
  <c r="AZ55" i="3"/>
  <c r="AZ54" i="3"/>
  <c r="AZ40" i="3"/>
  <c r="AZ36" i="3"/>
  <c r="AZ34" i="3"/>
  <c r="AZ33" i="3"/>
  <c r="AZ32" i="3"/>
  <c r="AZ30" i="3"/>
  <c r="AZ19" i="3"/>
  <c r="BC222" i="3" l="1"/>
  <c r="BD222" i="3" s="1"/>
  <c r="BA222" i="3"/>
  <c r="BB222" i="3" s="1"/>
  <c r="BC221" i="3"/>
  <c r="BD221" i="3" s="1"/>
  <c r="BA221" i="3"/>
  <c r="BB221" i="3" s="1"/>
  <c r="BC220" i="3"/>
  <c r="BD220" i="3" s="1"/>
  <c r="BA220" i="3"/>
  <c r="BB220" i="3" s="1"/>
  <c r="BC219" i="3"/>
  <c r="BD219" i="3" s="1"/>
  <c r="BA219" i="3"/>
  <c r="BB219" i="3" s="1"/>
  <c r="BC217" i="3"/>
  <c r="BD217" i="3" s="1"/>
  <c r="BA217" i="3"/>
  <c r="BB217" i="3" s="1"/>
  <c r="BC216" i="3"/>
  <c r="BD216" i="3" s="1"/>
  <c r="BA216" i="3"/>
  <c r="BB216" i="3" s="1"/>
  <c r="BC215" i="3"/>
  <c r="BD215" i="3" s="1"/>
  <c r="BA215" i="3"/>
  <c r="BB215" i="3" s="1"/>
  <c r="BC214" i="3"/>
  <c r="BD214" i="3" s="1"/>
  <c r="BA214" i="3"/>
  <c r="BB214" i="3" s="1"/>
  <c r="BC213" i="3"/>
  <c r="BD213" i="3" s="1"/>
  <c r="BA213" i="3"/>
  <c r="BB213" i="3" s="1"/>
  <c r="BC212" i="3"/>
  <c r="BD212" i="3" s="1"/>
  <c r="BA212" i="3"/>
  <c r="BB212" i="3" s="1"/>
  <c r="BC209" i="3"/>
  <c r="BD209" i="3" s="1"/>
  <c r="BA209" i="3"/>
  <c r="BB209" i="3" s="1"/>
  <c r="BC208" i="3"/>
  <c r="BD208" i="3" s="1"/>
  <c r="BA208" i="3"/>
  <c r="BB208" i="3" s="1"/>
  <c r="BC207" i="3"/>
  <c r="BD207" i="3" s="1"/>
  <c r="BA207" i="3"/>
  <c r="BB207" i="3" s="1"/>
  <c r="BC206" i="3"/>
  <c r="BD206" i="3" s="1"/>
  <c r="BA206" i="3"/>
  <c r="BB206" i="3" s="1"/>
  <c r="BC204" i="3"/>
  <c r="BD204" i="3" s="1"/>
  <c r="BA204" i="3"/>
  <c r="BB204" i="3" s="1"/>
  <c r="BC203" i="3"/>
  <c r="BD203" i="3" s="1"/>
  <c r="BA203" i="3"/>
  <c r="BB203" i="3" s="1"/>
  <c r="BC202" i="3"/>
  <c r="BD202" i="3" s="1"/>
  <c r="BA202" i="3"/>
  <c r="BB202" i="3" s="1"/>
  <c r="BC200" i="3"/>
  <c r="BD200" i="3" s="1"/>
  <c r="BA200" i="3"/>
  <c r="BB200" i="3" s="1"/>
  <c r="BC199" i="3"/>
  <c r="BD199" i="3" s="1"/>
  <c r="BA199" i="3"/>
  <c r="BB199" i="3" s="1"/>
  <c r="BC198" i="3"/>
  <c r="BD198" i="3" s="1"/>
  <c r="BA198" i="3"/>
  <c r="BB198" i="3" s="1"/>
  <c r="BC197" i="3"/>
  <c r="BD197" i="3" s="1"/>
  <c r="BA197" i="3"/>
  <c r="BB197" i="3" s="1"/>
  <c r="BC196" i="3"/>
  <c r="BD196" i="3" s="1"/>
  <c r="BA196" i="3"/>
  <c r="BB196" i="3" s="1"/>
  <c r="BC195" i="3"/>
  <c r="BD195" i="3" s="1"/>
  <c r="BA195" i="3"/>
  <c r="BB195" i="3" s="1"/>
  <c r="BC194" i="3"/>
  <c r="BD194" i="3" s="1"/>
  <c r="BA194" i="3"/>
  <c r="BB194" i="3" s="1"/>
  <c r="BC192" i="3"/>
  <c r="BD192" i="3" s="1"/>
  <c r="BA192" i="3"/>
  <c r="BB192" i="3" s="1"/>
  <c r="BC191" i="3"/>
  <c r="BD191" i="3" s="1"/>
  <c r="BA191" i="3"/>
  <c r="BB191" i="3" s="1"/>
  <c r="BC190" i="3"/>
  <c r="BD190" i="3" s="1"/>
  <c r="BA190" i="3"/>
  <c r="BB190" i="3" s="1"/>
  <c r="BC189" i="3"/>
  <c r="BD189" i="3" s="1"/>
  <c r="BA189" i="3"/>
  <c r="BB189" i="3" s="1"/>
  <c r="BC188" i="3"/>
  <c r="BD188" i="3" s="1"/>
  <c r="BA188" i="3"/>
  <c r="BB188" i="3" s="1"/>
  <c r="BC187" i="3"/>
  <c r="BD187" i="3" s="1"/>
  <c r="BA187" i="3"/>
  <c r="BB187" i="3" s="1"/>
  <c r="BC186" i="3"/>
  <c r="BD186" i="3" s="1"/>
  <c r="BA186" i="3"/>
  <c r="BB186" i="3" s="1"/>
  <c r="BC184" i="3"/>
  <c r="BD184" i="3" s="1"/>
  <c r="BA184" i="3"/>
  <c r="BB184" i="3" s="1"/>
  <c r="BC183" i="3"/>
  <c r="BD183" i="3" s="1"/>
  <c r="BA183" i="3"/>
  <c r="BB183" i="3" s="1"/>
  <c r="BC182" i="3"/>
  <c r="BD182" i="3" s="1"/>
  <c r="BA182" i="3"/>
  <c r="BB182" i="3" s="1"/>
  <c r="BC181" i="3"/>
  <c r="BD181" i="3" s="1"/>
  <c r="BA181" i="3"/>
  <c r="BB181" i="3" s="1"/>
  <c r="BC180" i="3"/>
  <c r="BD180" i="3" s="1"/>
  <c r="BA180" i="3"/>
  <c r="BB180" i="3" s="1"/>
  <c r="BC179" i="3"/>
  <c r="BD179" i="3" s="1"/>
  <c r="BA179" i="3"/>
  <c r="BB179" i="3" s="1"/>
  <c r="BC178" i="3"/>
  <c r="BD178" i="3" s="1"/>
  <c r="BA178" i="3"/>
  <c r="BB178" i="3" s="1"/>
  <c r="BC177" i="3"/>
  <c r="BD177" i="3" s="1"/>
  <c r="BA177" i="3"/>
  <c r="BB177" i="3" s="1"/>
  <c r="BC176" i="3"/>
  <c r="BD176" i="3" s="1"/>
  <c r="BA176" i="3"/>
  <c r="BB176" i="3" s="1"/>
  <c r="BC175" i="3"/>
  <c r="BD175" i="3" s="1"/>
  <c r="BA175" i="3"/>
  <c r="BB175" i="3" s="1"/>
  <c r="BC173" i="3"/>
  <c r="BD173" i="3" s="1"/>
  <c r="BA173" i="3"/>
  <c r="BB173" i="3" s="1"/>
  <c r="BC172" i="3"/>
  <c r="BD172" i="3" s="1"/>
  <c r="BA172" i="3"/>
  <c r="BB172" i="3" s="1"/>
  <c r="BC171" i="3"/>
  <c r="BD171" i="3" s="1"/>
  <c r="BA171" i="3"/>
  <c r="BB171" i="3" s="1"/>
  <c r="BC170" i="3"/>
  <c r="BD170" i="3" s="1"/>
  <c r="BA170" i="3"/>
  <c r="BB170" i="3" s="1"/>
  <c r="BC169" i="3"/>
  <c r="BD169" i="3" s="1"/>
  <c r="BA169" i="3"/>
  <c r="BB169" i="3" s="1"/>
  <c r="BC168" i="3"/>
  <c r="BD168" i="3" s="1"/>
  <c r="BA168" i="3"/>
  <c r="BB168" i="3" s="1"/>
  <c r="BC167" i="3"/>
  <c r="BD167" i="3" s="1"/>
  <c r="BA167" i="3"/>
  <c r="BB167" i="3" s="1"/>
  <c r="BC166" i="3"/>
  <c r="BD166" i="3" s="1"/>
  <c r="BA166" i="3"/>
  <c r="BB166" i="3" s="1"/>
  <c r="BC165" i="3"/>
  <c r="BD165" i="3" s="1"/>
  <c r="BA165" i="3"/>
  <c r="BB165" i="3" s="1"/>
  <c r="BC164" i="3"/>
  <c r="BD164" i="3" s="1"/>
  <c r="BA164" i="3"/>
  <c r="BB164" i="3" s="1"/>
  <c r="BC163" i="3"/>
  <c r="BD163" i="3" s="1"/>
  <c r="BA163" i="3"/>
  <c r="BB163" i="3" s="1"/>
  <c r="BC162" i="3"/>
  <c r="BD162" i="3" s="1"/>
  <c r="BA162" i="3"/>
  <c r="BB162" i="3" s="1"/>
  <c r="BC161" i="3"/>
  <c r="BD161" i="3" s="1"/>
  <c r="BA161" i="3"/>
  <c r="BB161" i="3" s="1"/>
  <c r="BC157" i="3"/>
  <c r="BD157" i="3" s="1"/>
  <c r="BA157" i="3"/>
  <c r="BB157" i="3" s="1"/>
  <c r="BC156" i="3"/>
  <c r="BD156" i="3" s="1"/>
  <c r="BA156" i="3"/>
  <c r="BB156" i="3" s="1"/>
  <c r="BC155" i="3"/>
  <c r="BD155" i="3" s="1"/>
  <c r="BA155" i="3"/>
  <c r="BB155" i="3" s="1"/>
  <c r="BC153" i="3"/>
  <c r="BD153" i="3" s="1"/>
  <c r="BA153" i="3"/>
  <c r="BB153" i="3" s="1"/>
  <c r="BC152" i="3"/>
  <c r="BD152" i="3" s="1"/>
  <c r="BA152" i="3"/>
  <c r="BB152" i="3" s="1"/>
  <c r="BC151" i="3"/>
  <c r="BD151" i="3" s="1"/>
  <c r="BA151" i="3"/>
  <c r="BB151" i="3" s="1"/>
  <c r="BC150" i="3"/>
  <c r="BD150" i="3" s="1"/>
  <c r="BA150" i="3"/>
  <c r="BB150" i="3" s="1"/>
  <c r="BC149" i="3"/>
  <c r="BD149" i="3" s="1"/>
  <c r="BA149" i="3"/>
  <c r="BB149" i="3" s="1"/>
  <c r="BC148" i="3"/>
  <c r="BD148" i="3" s="1"/>
  <c r="BA148" i="3"/>
  <c r="BB148" i="3" s="1"/>
  <c r="BC146" i="3"/>
  <c r="BD146" i="3" s="1"/>
  <c r="BA146" i="3"/>
  <c r="BB146" i="3" s="1"/>
  <c r="BC145" i="3"/>
  <c r="BD145" i="3" s="1"/>
  <c r="BA145" i="3"/>
  <c r="BB145" i="3" s="1"/>
  <c r="BC144" i="3"/>
  <c r="BD144" i="3" s="1"/>
  <c r="BA144" i="3"/>
  <c r="BB144" i="3" s="1"/>
  <c r="BC143" i="3"/>
  <c r="BD143" i="3" s="1"/>
  <c r="BA143" i="3"/>
  <c r="BB143" i="3" s="1"/>
  <c r="BC142" i="3"/>
  <c r="BD142" i="3" s="1"/>
  <c r="BA142" i="3"/>
  <c r="BB142" i="3" s="1"/>
  <c r="BC138" i="3"/>
  <c r="BD138" i="3" s="1"/>
  <c r="BA138" i="3"/>
  <c r="BB138" i="3" s="1"/>
  <c r="BC137" i="3"/>
  <c r="BD137" i="3" s="1"/>
  <c r="BA137" i="3"/>
  <c r="BB137" i="3" s="1"/>
  <c r="BC135" i="3"/>
  <c r="BD135" i="3" s="1"/>
  <c r="BA135" i="3"/>
  <c r="BB135" i="3" s="1"/>
  <c r="BC134" i="3"/>
  <c r="BD134" i="3" s="1"/>
  <c r="BA134" i="3"/>
  <c r="BB134" i="3" s="1"/>
  <c r="BC133" i="3"/>
  <c r="BD133" i="3" s="1"/>
  <c r="BA133" i="3"/>
  <c r="BB133" i="3" s="1"/>
  <c r="BC132" i="3"/>
  <c r="BD132" i="3" s="1"/>
  <c r="BA132" i="3"/>
  <c r="BB132" i="3" s="1"/>
  <c r="BC130" i="3"/>
  <c r="BD130" i="3" s="1"/>
  <c r="BA130" i="3"/>
  <c r="BB130" i="3" s="1"/>
  <c r="BC129" i="3"/>
  <c r="BD129" i="3" s="1"/>
  <c r="BA129" i="3"/>
  <c r="BB129" i="3" s="1"/>
  <c r="BC128" i="3"/>
  <c r="BD128" i="3" s="1"/>
  <c r="BA128" i="3"/>
  <c r="BB128" i="3" s="1"/>
  <c r="BC127" i="3"/>
  <c r="BD127" i="3" s="1"/>
  <c r="BA127" i="3"/>
  <c r="BB127" i="3" s="1"/>
  <c r="BC123" i="3"/>
  <c r="BD123" i="3" s="1"/>
  <c r="BA123" i="3"/>
  <c r="BB123" i="3" s="1"/>
  <c r="BC122" i="3"/>
  <c r="BD122" i="3" s="1"/>
  <c r="BA122" i="3"/>
  <c r="BB122" i="3" s="1"/>
  <c r="BC121" i="3"/>
  <c r="BD121" i="3" s="1"/>
  <c r="BA121" i="3"/>
  <c r="BB121" i="3" s="1"/>
  <c r="BC120" i="3"/>
  <c r="BD120" i="3" s="1"/>
  <c r="BA120" i="3"/>
  <c r="BB120" i="3" s="1"/>
  <c r="BC119" i="3"/>
  <c r="BD119" i="3" s="1"/>
  <c r="BA119" i="3"/>
  <c r="BB119" i="3" s="1"/>
  <c r="BC118" i="3"/>
  <c r="BD118" i="3" s="1"/>
  <c r="BA118" i="3"/>
  <c r="BB118" i="3" s="1"/>
  <c r="BC117" i="3"/>
  <c r="BD117" i="3" s="1"/>
  <c r="BA117" i="3"/>
  <c r="BB117" i="3" s="1"/>
  <c r="BC116" i="3"/>
  <c r="BD116" i="3" s="1"/>
  <c r="BA116" i="3"/>
  <c r="BB116" i="3" s="1"/>
  <c r="BC115" i="3"/>
  <c r="BD115" i="3" s="1"/>
  <c r="BA115" i="3"/>
  <c r="BB115" i="3" s="1"/>
  <c r="BC114" i="3"/>
  <c r="BD114" i="3" s="1"/>
  <c r="BA114" i="3"/>
  <c r="BB114" i="3" s="1"/>
  <c r="BC113" i="3"/>
  <c r="BD113" i="3" s="1"/>
  <c r="BA113" i="3"/>
  <c r="BB113" i="3" s="1"/>
  <c r="BC112" i="3"/>
  <c r="BD112" i="3" s="1"/>
  <c r="BA112" i="3"/>
  <c r="BB112" i="3" s="1"/>
  <c r="BC111" i="3"/>
  <c r="BD111" i="3" s="1"/>
  <c r="BA111" i="3"/>
  <c r="BB111" i="3" s="1"/>
  <c r="BC110" i="3"/>
  <c r="BD110" i="3" s="1"/>
  <c r="BA110" i="3"/>
  <c r="BB110" i="3" s="1"/>
  <c r="BC109" i="3"/>
  <c r="BD109" i="3" s="1"/>
  <c r="BA109" i="3"/>
  <c r="BB109" i="3" s="1"/>
  <c r="BC106" i="3"/>
  <c r="BD106" i="3" s="1"/>
  <c r="BA106" i="3"/>
  <c r="BB106" i="3" s="1"/>
  <c r="BC105" i="3"/>
  <c r="BD105" i="3" s="1"/>
  <c r="BA105" i="3"/>
  <c r="BB105" i="3" s="1"/>
  <c r="BC104" i="3"/>
  <c r="BD104" i="3" s="1"/>
  <c r="BA104" i="3"/>
  <c r="BB104" i="3" s="1"/>
  <c r="BC102" i="3"/>
  <c r="BD102" i="3" s="1"/>
  <c r="BA102" i="3"/>
  <c r="BB102" i="3" s="1"/>
  <c r="BC101" i="3"/>
  <c r="BD101" i="3" s="1"/>
  <c r="BA101" i="3"/>
  <c r="BB101" i="3" s="1"/>
  <c r="BC100" i="3"/>
  <c r="BD100" i="3" s="1"/>
  <c r="BA100" i="3"/>
  <c r="BB100" i="3" s="1"/>
  <c r="BC99" i="3"/>
  <c r="BD99" i="3" s="1"/>
  <c r="BA99" i="3"/>
  <c r="BB99" i="3" s="1"/>
  <c r="BC98" i="3"/>
  <c r="BD98" i="3" s="1"/>
  <c r="BA98" i="3"/>
  <c r="BB98" i="3" s="1"/>
  <c r="BC97" i="3"/>
  <c r="BD97" i="3" s="1"/>
  <c r="BA97" i="3"/>
  <c r="BB97" i="3" s="1"/>
  <c r="BC96" i="3"/>
  <c r="BD96" i="3" s="1"/>
  <c r="BA96" i="3"/>
  <c r="BB96" i="3" s="1"/>
  <c r="BC95" i="3"/>
  <c r="BD95" i="3" s="1"/>
  <c r="BA95" i="3"/>
  <c r="BB95" i="3" s="1"/>
  <c r="BC94" i="3"/>
  <c r="BD94" i="3" s="1"/>
  <c r="BA94" i="3"/>
  <c r="BB94" i="3" s="1"/>
  <c r="BC92" i="3"/>
  <c r="BD92" i="3" s="1"/>
  <c r="BA92" i="3"/>
  <c r="BB92" i="3" s="1"/>
  <c r="BC90" i="3"/>
  <c r="BD90" i="3" s="1"/>
  <c r="BA90" i="3"/>
  <c r="BB90" i="3" s="1"/>
  <c r="BC89" i="3"/>
  <c r="BD89" i="3" s="1"/>
  <c r="BA89" i="3"/>
  <c r="BB89" i="3" s="1"/>
  <c r="BC88" i="3"/>
  <c r="BD88" i="3" s="1"/>
  <c r="BA88" i="3"/>
  <c r="BB88" i="3" s="1"/>
  <c r="BC87" i="3"/>
  <c r="BD87" i="3" s="1"/>
  <c r="BA87" i="3"/>
  <c r="BB87" i="3" s="1"/>
  <c r="BC85" i="3"/>
  <c r="BD85" i="3" s="1"/>
  <c r="BA85" i="3"/>
  <c r="BB85" i="3" s="1"/>
  <c r="BC84" i="3"/>
  <c r="BD84" i="3" s="1"/>
  <c r="BA84" i="3"/>
  <c r="BB84" i="3" s="1"/>
  <c r="BC83" i="3"/>
  <c r="BD83" i="3" s="1"/>
  <c r="BA83" i="3"/>
  <c r="BB83" i="3" s="1"/>
  <c r="BC82" i="3"/>
  <c r="BD82" i="3" s="1"/>
  <c r="BA82" i="3"/>
  <c r="BB82" i="3" s="1"/>
  <c r="BC81" i="3"/>
  <c r="BD81" i="3" s="1"/>
  <c r="BA81" i="3"/>
  <c r="BB81" i="3" s="1"/>
  <c r="BC80" i="3"/>
  <c r="BD80" i="3" s="1"/>
  <c r="BA80" i="3"/>
  <c r="BB80" i="3" s="1"/>
  <c r="BC79" i="3"/>
  <c r="BD79" i="3" s="1"/>
  <c r="BA79" i="3"/>
  <c r="BB79" i="3" s="1"/>
  <c r="BC78" i="3"/>
  <c r="BD78" i="3" s="1"/>
  <c r="BA78" i="3"/>
  <c r="BB78" i="3" s="1"/>
  <c r="BC74" i="3"/>
  <c r="BD74" i="3" s="1"/>
  <c r="BA74" i="3"/>
  <c r="BB74" i="3" s="1"/>
  <c r="BC73" i="3"/>
  <c r="BD73" i="3" s="1"/>
  <c r="BA73" i="3"/>
  <c r="BB73" i="3" s="1"/>
  <c r="BC71" i="3"/>
  <c r="BD71" i="3" s="1"/>
  <c r="BA71" i="3"/>
  <c r="BB71" i="3" s="1"/>
  <c r="BC68" i="3"/>
  <c r="BD68" i="3" s="1"/>
  <c r="BA68" i="3"/>
  <c r="BB68" i="3" s="1"/>
  <c r="BC64" i="3"/>
  <c r="BD64" i="3" s="1"/>
  <c r="BA64" i="3"/>
  <c r="BB64" i="3" s="1"/>
  <c r="BC63" i="3"/>
  <c r="BD63" i="3" s="1"/>
  <c r="BA63" i="3"/>
  <c r="BB63" i="3" s="1"/>
  <c r="BC62" i="3"/>
  <c r="BD62" i="3" s="1"/>
  <c r="BA62" i="3"/>
  <c r="BB62" i="3" s="1"/>
  <c r="BC61" i="3"/>
  <c r="BD61" i="3" s="1"/>
  <c r="BA61" i="3"/>
  <c r="BB61" i="3" s="1"/>
  <c r="BC59" i="3"/>
  <c r="BD59" i="3" s="1"/>
  <c r="BA59" i="3"/>
  <c r="BB59" i="3" s="1"/>
  <c r="BC58" i="3"/>
  <c r="BD58" i="3" s="1"/>
  <c r="BA58" i="3"/>
  <c r="BB58" i="3" s="1"/>
  <c r="BC57" i="3"/>
  <c r="BD57" i="3" s="1"/>
  <c r="BA57" i="3"/>
  <c r="BB57" i="3" s="1"/>
  <c r="BC55" i="3"/>
  <c r="BD55" i="3" s="1"/>
  <c r="BA55" i="3"/>
  <c r="BB55" i="3" s="1"/>
  <c r="BC54" i="3"/>
  <c r="BD54" i="3" s="1"/>
  <c r="BA54" i="3"/>
  <c r="BB54" i="3" s="1"/>
  <c r="BC53" i="3"/>
  <c r="BD53" i="3" s="1"/>
  <c r="BA53" i="3"/>
  <c r="BB53" i="3" s="1"/>
  <c r="BC50" i="3"/>
  <c r="BD50" i="3" s="1"/>
  <c r="BA50" i="3"/>
  <c r="BB50" i="3" s="1"/>
  <c r="BC49" i="3"/>
  <c r="BD49" i="3" s="1"/>
  <c r="BA49" i="3"/>
  <c r="BB49" i="3" s="1"/>
  <c r="BC48" i="3"/>
  <c r="BD48" i="3" s="1"/>
  <c r="BA48" i="3"/>
  <c r="BB48" i="3" s="1"/>
  <c r="BC47" i="3"/>
  <c r="BD47" i="3" s="1"/>
  <c r="BA47" i="3"/>
  <c r="BB47" i="3" s="1"/>
  <c r="BC46" i="3"/>
  <c r="BD46" i="3" s="1"/>
  <c r="BA46" i="3"/>
  <c r="BB46" i="3" s="1"/>
  <c r="BC45" i="3"/>
  <c r="BD45" i="3" s="1"/>
  <c r="BA45" i="3"/>
  <c r="BB45" i="3" s="1"/>
  <c r="BC44" i="3"/>
  <c r="BD44" i="3" s="1"/>
  <c r="BA44" i="3"/>
  <c r="BB44" i="3" s="1"/>
  <c r="BC43" i="3"/>
  <c r="BD43" i="3" s="1"/>
  <c r="BA43" i="3"/>
  <c r="BB43" i="3" s="1"/>
  <c r="BC42" i="3"/>
  <c r="BD42" i="3" s="1"/>
  <c r="BA42" i="3"/>
  <c r="BB42" i="3" s="1"/>
  <c r="BC40" i="3"/>
  <c r="BD40" i="3" s="1"/>
  <c r="BA40" i="3"/>
  <c r="BB40" i="3" s="1"/>
  <c r="BD39" i="3"/>
  <c r="BC39" i="3"/>
  <c r="BA39" i="3"/>
  <c r="BB39" i="3" s="1"/>
  <c r="BC38" i="3"/>
  <c r="BD38" i="3" s="1"/>
  <c r="BA38" i="3"/>
  <c r="BB38" i="3" s="1"/>
  <c r="BD37" i="3"/>
  <c r="BC37" i="3"/>
  <c r="BA37" i="3"/>
  <c r="BB37" i="3" s="1"/>
  <c r="BC36" i="3"/>
  <c r="BD36" i="3" s="1"/>
  <c r="BA36" i="3"/>
  <c r="BB36" i="3" s="1"/>
  <c r="BC34" i="3"/>
  <c r="BD34" i="3" s="1"/>
  <c r="BA34" i="3"/>
  <c r="BB34" i="3" s="1"/>
  <c r="BD33" i="3"/>
  <c r="BC33" i="3"/>
  <c r="BA33" i="3"/>
  <c r="BB33" i="3" s="1"/>
  <c r="BC32" i="3"/>
  <c r="BD32" i="3" s="1"/>
  <c r="BA32" i="3"/>
  <c r="BB32" i="3" s="1"/>
  <c r="BD31" i="3"/>
  <c r="BC31" i="3"/>
  <c r="BA31" i="3"/>
  <c r="BB31" i="3" s="1"/>
  <c r="BC30" i="3"/>
  <c r="BD30" i="3" s="1"/>
  <c r="BA30" i="3"/>
  <c r="BB30" i="3" s="1"/>
  <c r="BC28" i="3"/>
  <c r="BD28" i="3" s="1"/>
  <c r="BA28" i="3"/>
  <c r="BB28" i="3" s="1"/>
  <c r="BC24" i="3"/>
  <c r="BD24" i="3" s="1"/>
  <c r="BA24" i="3"/>
  <c r="BB24" i="3" s="1"/>
  <c r="BC20" i="3"/>
  <c r="BD20" i="3" s="1"/>
  <c r="BA20" i="3"/>
  <c r="BB20" i="3" s="1"/>
  <c r="BC19" i="3"/>
  <c r="BD19" i="3" s="1"/>
  <c r="BA19" i="3"/>
  <c r="BB19" i="3" s="1"/>
  <c r="BC18" i="3"/>
  <c r="BD18" i="3" s="1"/>
  <c r="BA18" i="3"/>
  <c r="BB18" i="3" s="1"/>
  <c r="BA11" i="3"/>
  <c r="BB11" i="3" s="1"/>
  <c r="BC11" i="3"/>
  <c r="BD11" i="3" s="1"/>
  <c r="BA12" i="3"/>
  <c r="BB12" i="3" s="1"/>
  <c r="BC12" i="3"/>
  <c r="BD12" i="3" s="1"/>
  <c r="BA13" i="3"/>
  <c r="BB13" i="3" s="1"/>
  <c r="BC13" i="3"/>
  <c r="BD13" i="3" s="1"/>
  <c r="BA15" i="3"/>
  <c r="BB15" i="3" s="1"/>
  <c r="BC15" i="3"/>
  <c r="BD15" i="3" s="1"/>
  <c r="BD10" i="3"/>
  <c r="BC10" i="3"/>
  <c r="BA10" i="3"/>
  <c r="AY162" i="3"/>
  <c r="AY102" i="3"/>
  <c r="AW94" i="3"/>
  <c r="AY94" i="3" s="1"/>
  <c r="AW129" i="3"/>
  <c r="AY129" i="3" s="1"/>
  <c r="AW130" i="3"/>
  <c r="AY130" i="3" s="1"/>
  <c r="AX218" i="3"/>
  <c r="AX211" i="3"/>
  <c r="AX205" i="3"/>
  <c r="AX201" i="3"/>
  <c r="AX193" i="3"/>
  <c r="AX185" i="3"/>
  <c r="AX174" i="3"/>
  <c r="AX160" i="3"/>
  <c r="AX154" i="3"/>
  <c r="AX147" i="3"/>
  <c r="AX141" i="3"/>
  <c r="AX136" i="3"/>
  <c r="AX131" i="3"/>
  <c r="AX126" i="3"/>
  <c r="AX108" i="3"/>
  <c r="AX107" i="3" s="1"/>
  <c r="AX103" i="3"/>
  <c r="AX93" i="3"/>
  <c r="AX91" i="3" s="1"/>
  <c r="AX86" i="3"/>
  <c r="AX77" i="3"/>
  <c r="AX76" i="3"/>
  <c r="AX75" i="3"/>
  <c r="AX70" i="3"/>
  <c r="AX69" i="3"/>
  <c r="AX67" i="3" s="1"/>
  <c r="AX60" i="3"/>
  <c r="AX56" i="3"/>
  <c r="AX52" i="3"/>
  <c r="AX41" i="3"/>
  <c r="AX35" i="3"/>
  <c r="AX29" i="3"/>
  <c r="AX27" i="3"/>
  <c r="AX26" i="3"/>
  <c r="AX25" i="3"/>
  <c r="AX23" i="3"/>
  <c r="AX22" i="3"/>
  <c r="AX17" i="3"/>
  <c r="AX16" i="3"/>
  <c r="AX14" i="3"/>
  <c r="AW222" i="3"/>
  <c r="AY222" i="3" s="1"/>
  <c r="AR222" i="3"/>
  <c r="AR221" i="3"/>
  <c r="AR220" i="3"/>
  <c r="AR219" i="3"/>
  <c r="AR217" i="3"/>
  <c r="AR216" i="3"/>
  <c r="AR215" i="3"/>
  <c r="AR214" i="3"/>
  <c r="AR213" i="3"/>
  <c r="AR212" i="3"/>
  <c r="AR209" i="3"/>
  <c r="AR208" i="3"/>
  <c r="AR207" i="3"/>
  <c r="AR206" i="3"/>
  <c r="AR204" i="3"/>
  <c r="AR203" i="3"/>
  <c r="AR202" i="3"/>
  <c r="AR200" i="3"/>
  <c r="AR199" i="3"/>
  <c r="AR198" i="3"/>
  <c r="AR197" i="3"/>
  <c r="AR196" i="3"/>
  <c r="AR195" i="3"/>
  <c r="AR194" i="3"/>
  <c r="AR192" i="3"/>
  <c r="AR191" i="3"/>
  <c r="AR190" i="3"/>
  <c r="AR189" i="3"/>
  <c r="AR188" i="3"/>
  <c r="AR187" i="3"/>
  <c r="AR186" i="3"/>
  <c r="AR184" i="3"/>
  <c r="AR183" i="3"/>
  <c r="AR182" i="3"/>
  <c r="AR181" i="3"/>
  <c r="AR180" i="3"/>
  <c r="AR179" i="3"/>
  <c r="AR178" i="3"/>
  <c r="AR177" i="3"/>
  <c r="AR176" i="3"/>
  <c r="AR175" i="3"/>
  <c r="AR173" i="3"/>
  <c r="AR172" i="3"/>
  <c r="AR171" i="3"/>
  <c r="AR170" i="3"/>
  <c r="AR169" i="3"/>
  <c r="AR168" i="3"/>
  <c r="AR167" i="3"/>
  <c r="AR166" i="3"/>
  <c r="AR165" i="3"/>
  <c r="AR164" i="3"/>
  <c r="AR163" i="3"/>
  <c r="AR162" i="3"/>
  <c r="AR161" i="3"/>
  <c r="AR157" i="3"/>
  <c r="AR156" i="3"/>
  <c r="AR155" i="3"/>
  <c r="AR153" i="3"/>
  <c r="AR152" i="3"/>
  <c r="AR151" i="3"/>
  <c r="AR150" i="3"/>
  <c r="AR149" i="3"/>
  <c r="AR148" i="3"/>
  <c r="AR146" i="3"/>
  <c r="AR145" i="3"/>
  <c r="AR144" i="3"/>
  <c r="AR143" i="3"/>
  <c r="AR142" i="3"/>
  <c r="AR138" i="3"/>
  <c r="AR137" i="3"/>
  <c r="AR135" i="3"/>
  <c r="AR134" i="3"/>
  <c r="AR133" i="3"/>
  <c r="AR132" i="3"/>
  <c r="AR130" i="3"/>
  <c r="AR129" i="3"/>
  <c r="AR128" i="3"/>
  <c r="AR127" i="3"/>
  <c r="AR123" i="3"/>
  <c r="AR122" i="3"/>
  <c r="AR121" i="3"/>
  <c r="AR120" i="3"/>
  <c r="AR119" i="3"/>
  <c r="AR118" i="3"/>
  <c r="AR117" i="3"/>
  <c r="AR116" i="3"/>
  <c r="AR115" i="3"/>
  <c r="AR114" i="3"/>
  <c r="AR113" i="3"/>
  <c r="AR112" i="3"/>
  <c r="AR111" i="3"/>
  <c r="AR110" i="3"/>
  <c r="AR109" i="3"/>
  <c r="AR106" i="3"/>
  <c r="AR105" i="3"/>
  <c r="AR104" i="3"/>
  <c r="AR102" i="3"/>
  <c r="AR101" i="3"/>
  <c r="AR100" i="3"/>
  <c r="AR99" i="3"/>
  <c r="AR98" i="3"/>
  <c r="AR97" i="3"/>
  <c r="AR96" i="3"/>
  <c r="AR95" i="3"/>
  <c r="AR94" i="3"/>
  <c r="AR92" i="3"/>
  <c r="AR90" i="3"/>
  <c r="AR89" i="3"/>
  <c r="AR88" i="3"/>
  <c r="AR87" i="3"/>
  <c r="AR85" i="3"/>
  <c r="AR84" i="3"/>
  <c r="AR83" i="3"/>
  <c r="AR82" i="3"/>
  <c r="AR81" i="3"/>
  <c r="AR80" i="3"/>
  <c r="AR79" i="3"/>
  <c r="AR78" i="3"/>
  <c r="AR74" i="3"/>
  <c r="AR73" i="3"/>
  <c r="AR71" i="3"/>
  <c r="AR68" i="3"/>
  <c r="AR64" i="3"/>
  <c r="AR63" i="3"/>
  <c r="AR62" i="3"/>
  <c r="AR61" i="3"/>
  <c r="AR59" i="3"/>
  <c r="AR58" i="3"/>
  <c r="AR57" i="3"/>
  <c r="AR55" i="3"/>
  <c r="AR54" i="3"/>
  <c r="AR53" i="3"/>
  <c r="AR50" i="3"/>
  <c r="AR49" i="3"/>
  <c r="AR48" i="3"/>
  <c r="AR47" i="3"/>
  <c r="AR46" i="3"/>
  <c r="AR45" i="3"/>
  <c r="AR44" i="3"/>
  <c r="AR43" i="3"/>
  <c r="AR42" i="3"/>
  <c r="AR40" i="3"/>
  <c r="AR39" i="3"/>
  <c r="AR38" i="3"/>
  <c r="AR37" i="3"/>
  <c r="AR36" i="3"/>
  <c r="AR34" i="3"/>
  <c r="AR33" i="3"/>
  <c r="AR32" i="3"/>
  <c r="AR31" i="3"/>
  <c r="AR30" i="3"/>
  <c r="AR28" i="3"/>
  <c r="AR24" i="3"/>
  <c r="AR20" i="3"/>
  <c r="AR19" i="3"/>
  <c r="AR18" i="3"/>
  <c r="AR15" i="3"/>
  <c r="AR13" i="3"/>
  <c r="AR12" i="3"/>
  <c r="AR11" i="3"/>
  <c r="AR10" i="3"/>
  <c r="AX21" i="3" l="1"/>
  <c r="AX9" i="3"/>
  <c r="AX72" i="3"/>
  <c r="AX125" i="3"/>
  <c r="AX210" i="3"/>
  <c r="AX159" i="3"/>
  <c r="AX140" i="3"/>
  <c r="AX66" i="3"/>
  <c r="AX51" i="3"/>
  <c r="AX65" i="3" l="1"/>
  <c r="AX124" i="3"/>
  <c r="AX139" i="3"/>
  <c r="AX8" i="3"/>
  <c r="AX158" i="3"/>
  <c r="AX7" i="3" l="1"/>
  <c r="AX223" i="3" l="1"/>
  <c r="AQ222" i="3" l="1"/>
  <c r="AQ221" i="3"/>
  <c r="AQ220" i="3"/>
  <c r="AQ219" i="3"/>
  <c r="AQ217" i="3"/>
  <c r="AQ216" i="3"/>
  <c r="AQ215" i="3"/>
  <c r="AQ214" i="3"/>
  <c r="AQ213" i="3"/>
  <c r="AQ212" i="3"/>
  <c r="AQ209" i="3"/>
  <c r="AQ208" i="3"/>
  <c r="AQ207" i="3"/>
  <c r="AQ206" i="3"/>
  <c r="AQ204" i="3"/>
  <c r="AQ203" i="3"/>
  <c r="AQ202" i="3"/>
  <c r="AQ200" i="3"/>
  <c r="AQ199" i="3"/>
  <c r="AQ198" i="3"/>
  <c r="AQ197" i="3"/>
  <c r="AQ196" i="3"/>
  <c r="AQ195" i="3"/>
  <c r="AQ194" i="3"/>
  <c r="AQ192" i="3"/>
  <c r="AQ191" i="3"/>
  <c r="AQ190" i="3"/>
  <c r="AQ189" i="3"/>
  <c r="AQ188" i="3"/>
  <c r="AQ187" i="3"/>
  <c r="AQ186" i="3"/>
  <c r="AQ184" i="3"/>
  <c r="AQ183" i="3"/>
  <c r="AQ182" i="3"/>
  <c r="AQ181" i="3"/>
  <c r="AQ180" i="3"/>
  <c r="AQ179" i="3"/>
  <c r="AQ178" i="3"/>
  <c r="AQ177" i="3"/>
  <c r="AQ176" i="3"/>
  <c r="AQ175" i="3"/>
  <c r="AQ173" i="3"/>
  <c r="AQ172" i="3"/>
  <c r="AQ171" i="3"/>
  <c r="AQ170" i="3"/>
  <c r="AQ169" i="3"/>
  <c r="AQ168" i="3"/>
  <c r="AQ167" i="3"/>
  <c r="AQ166" i="3"/>
  <c r="AQ165" i="3"/>
  <c r="AQ164" i="3"/>
  <c r="AQ163" i="3"/>
  <c r="AQ162" i="3"/>
  <c r="AQ161" i="3"/>
  <c r="AQ157" i="3"/>
  <c r="AQ156" i="3"/>
  <c r="AQ155" i="3"/>
  <c r="AQ153" i="3"/>
  <c r="AQ152" i="3"/>
  <c r="AQ151" i="3"/>
  <c r="AQ150" i="3"/>
  <c r="AQ149" i="3"/>
  <c r="AQ148" i="3"/>
  <c r="AQ146" i="3"/>
  <c r="AQ145" i="3"/>
  <c r="AQ144" i="3"/>
  <c r="AQ143" i="3"/>
  <c r="AQ142" i="3"/>
  <c r="AQ138" i="3"/>
  <c r="AQ137" i="3"/>
  <c r="AQ135" i="3"/>
  <c r="AQ134" i="3"/>
  <c r="AQ133" i="3"/>
  <c r="AQ132" i="3"/>
  <c r="AQ130" i="3"/>
  <c r="AQ129" i="3"/>
  <c r="AQ128" i="3"/>
  <c r="AQ127" i="3"/>
  <c r="AQ123" i="3"/>
  <c r="AQ122" i="3"/>
  <c r="AQ121" i="3"/>
  <c r="AQ120" i="3"/>
  <c r="AQ119" i="3"/>
  <c r="AQ118" i="3"/>
  <c r="AQ117" i="3"/>
  <c r="AQ116" i="3"/>
  <c r="AQ115" i="3"/>
  <c r="AQ114" i="3"/>
  <c r="AQ113" i="3"/>
  <c r="AQ112" i="3"/>
  <c r="AQ111" i="3"/>
  <c r="AQ106" i="3"/>
  <c r="AQ105" i="3"/>
  <c r="AQ104" i="3"/>
  <c r="AQ102" i="3"/>
  <c r="AQ100" i="3"/>
  <c r="AQ99" i="3"/>
  <c r="AQ98" i="3"/>
  <c r="AQ97" i="3"/>
  <c r="AQ96" i="3"/>
  <c r="AQ94" i="3"/>
  <c r="AQ92" i="3"/>
  <c r="AQ90" i="3"/>
  <c r="AQ89" i="3"/>
  <c r="AQ88" i="3"/>
  <c r="AQ87" i="3"/>
  <c r="AQ85" i="3"/>
  <c r="AQ84" i="3"/>
  <c r="AQ83" i="3"/>
  <c r="AQ82" i="3"/>
  <c r="AQ81" i="3"/>
  <c r="AQ80" i="3"/>
  <c r="AQ79" i="3"/>
  <c r="AQ78" i="3"/>
  <c r="AQ74" i="3"/>
  <c r="AQ73" i="3"/>
  <c r="AQ71" i="3"/>
  <c r="AQ68" i="3"/>
  <c r="AQ64" i="3"/>
  <c r="AQ63" i="3"/>
  <c r="AQ62" i="3"/>
  <c r="AQ61" i="3"/>
  <c r="AQ59" i="3"/>
  <c r="AQ58" i="3"/>
  <c r="AQ57" i="3"/>
  <c r="AQ55" i="3"/>
  <c r="AQ54" i="3"/>
  <c r="AQ53" i="3"/>
  <c r="AQ50" i="3"/>
  <c r="AQ49" i="3"/>
  <c r="AQ48" i="3"/>
  <c r="AQ47" i="3"/>
  <c r="AQ46" i="3"/>
  <c r="AQ45" i="3"/>
  <c r="AQ44" i="3"/>
  <c r="AQ43" i="3"/>
  <c r="AQ42" i="3"/>
  <c r="AQ40" i="3"/>
  <c r="AQ39" i="3"/>
  <c r="AQ38" i="3"/>
  <c r="AQ37" i="3"/>
  <c r="AQ36" i="3"/>
  <c r="AQ34" i="3"/>
  <c r="AQ33" i="3"/>
  <c r="AQ32" i="3"/>
  <c r="AQ31" i="3"/>
  <c r="AQ30" i="3"/>
  <c r="AQ28" i="3"/>
  <c r="AQ24" i="3"/>
  <c r="AQ20" i="3"/>
  <c r="AQ19" i="3"/>
  <c r="AQ18" i="3"/>
  <c r="AQ15" i="3"/>
  <c r="AQ13" i="3"/>
  <c r="AQ12" i="3"/>
  <c r="AQ11" i="3"/>
  <c r="AQ10" i="3"/>
  <c r="AP185" i="3"/>
  <c r="AP193" i="3"/>
  <c r="AP201" i="3"/>
  <c r="AP205" i="3"/>
  <c r="AP211" i="3"/>
  <c r="AP218" i="3"/>
  <c r="AP77" i="3"/>
  <c r="AK77" i="3"/>
  <c r="AO77" i="3"/>
  <c r="BC77" i="3" s="1"/>
  <c r="AO218" i="3"/>
  <c r="BC218" i="3" s="1"/>
  <c r="AO211" i="3"/>
  <c r="BC211" i="3" s="1"/>
  <c r="AO205" i="3"/>
  <c r="BC205" i="3" s="1"/>
  <c r="AO201" i="3"/>
  <c r="BC201" i="3" s="1"/>
  <c r="AO193" i="3"/>
  <c r="BC193" i="3" s="1"/>
  <c r="AO185" i="3"/>
  <c r="BC185" i="3" s="1"/>
  <c r="AP174" i="3"/>
  <c r="AO174" i="3"/>
  <c r="BC174" i="3" s="1"/>
  <c r="AP160" i="3"/>
  <c r="AO160" i="3"/>
  <c r="BC160" i="3" s="1"/>
  <c r="AP154" i="3"/>
  <c r="AO154" i="3"/>
  <c r="BC154" i="3" s="1"/>
  <c r="AK154" i="3"/>
  <c r="AR154" i="3" s="1"/>
  <c r="AJ154" i="3"/>
  <c r="BA154" i="3" s="1"/>
  <c r="AP147" i="3"/>
  <c r="AO147" i="3"/>
  <c r="BC147" i="3" s="1"/>
  <c r="AP141" i="3"/>
  <c r="AP140" i="3" s="1"/>
  <c r="AP139" i="3" s="1"/>
  <c r="AO141" i="3"/>
  <c r="BC141" i="3" s="1"/>
  <c r="AP136" i="3"/>
  <c r="AO136" i="3"/>
  <c r="AP131" i="3"/>
  <c r="AO131" i="3"/>
  <c r="BC131" i="3" s="1"/>
  <c r="AP126" i="3"/>
  <c r="AO126" i="3"/>
  <c r="BC126" i="3" s="1"/>
  <c r="AP108" i="3"/>
  <c r="AP107" i="3" s="1"/>
  <c r="AO108" i="3"/>
  <c r="AP103" i="3"/>
  <c r="AO103" i="3"/>
  <c r="BC103" i="3" s="1"/>
  <c r="AO91" i="3"/>
  <c r="AP86" i="3"/>
  <c r="AO86" i="3"/>
  <c r="AO72" i="3"/>
  <c r="AO67" i="3"/>
  <c r="AP60" i="3"/>
  <c r="AO60" i="3"/>
  <c r="AP56" i="3"/>
  <c r="AO56" i="3"/>
  <c r="AP52" i="3"/>
  <c r="AO52" i="3"/>
  <c r="AP41" i="3"/>
  <c r="AO41" i="3"/>
  <c r="AP35" i="3"/>
  <c r="AO35" i="3"/>
  <c r="AP29" i="3"/>
  <c r="AO29" i="3"/>
  <c r="AO21" i="3"/>
  <c r="AP17" i="3"/>
  <c r="AO17" i="3"/>
  <c r="BC17" i="3" s="1"/>
  <c r="AO9" i="3"/>
  <c r="AN8" i="3"/>
  <c r="AL222" i="3"/>
  <c r="AL221" i="3"/>
  <c r="AL220" i="3"/>
  <c r="AL219" i="3"/>
  <c r="AL217" i="3"/>
  <c r="AL216" i="3"/>
  <c r="AL215" i="3"/>
  <c r="AL214" i="3"/>
  <c r="AL213" i="3"/>
  <c r="AL212" i="3"/>
  <c r="AL209" i="3"/>
  <c r="AL208" i="3"/>
  <c r="AL207" i="3"/>
  <c r="AL206" i="3"/>
  <c r="AL204" i="3"/>
  <c r="AL203" i="3"/>
  <c r="AL202" i="3"/>
  <c r="AL200" i="3"/>
  <c r="AL199" i="3"/>
  <c r="AL198" i="3"/>
  <c r="AL197" i="3"/>
  <c r="AL196" i="3"/>
  <c r="AL195" i="3"/>
  <c r="AL194" i="3"/>
  <c r="AL192" i="3"/>
  <c r="AL191" i="3"/>
  <c r="AL190" i="3"/>
  <c r="AL189" i="3"/>
  <c r="AL188" i="3"/>
  <c r="AL187" i="3"/>
  <c r="AL186" i="3"/>
  <c r="AL184" i="3"/>
  <c r="AL183" i="3"/>
  <c r="AL182" i="3"/>
  <c r="AL181" i="3"/>
  <c r="AL180" i="3"/>
  <c r="AL179" i="3"/>
  <c r="AL178" i="3"/>
  <c r="AL177" i="3"/>
  <c r="AL176" i="3"/>
  <c r="AL175" i="3"/>
  <c r="AL173" i="3"/>
  <c r="AL172" i="3"/>
  <c r="AL171" i="3"/>
  <c r="AL170" i="3"/>
  <c r="AL169" i="3"/>
  <c r="AL168" i="3"/>
  <c r="AL167" i="3"/>
  <c r="AL166" i="3"/>
  <c r="AL165" i="3"/>
  <c r="AL164" i="3"/>
  <c r="AL163" i="3"/>
  <c r="AL162" i="3"/>
  <c r="AL161" i="3"/>
  <c r="AL157" i="3"/>
  <c r="AL156" i="3"/>
  <c r="AL155" i="3"/>
  <c r="AL153" i="3"/>
  <c r="AL152" i="3"/>
  <c r="AL151" i="3"/>
  <c r="AL150" i="3"/>
  <c r="AL149" i="3"/>
  <c r="AL148" i="3"/>
  <c r="AL146" i="3"/>
  <c r="AL145" i="3"/>
  <c r="AL144" i="3"/>
  <c r="AL143" i="3"/>
  <c r="AL142" i="3"/>
  <c r="AL138" i="3"/>
  <c r="AL137" i="3"/>
  <c r="AL135" i="3"/>
  <c r="AL134" i="3"/>
  <c r="AL133" i="3"/>
  <c r="AL132" i="3"/>
  <c r="AL130" i="3"/>
  <c r="AL129" i="3"/>
  <c r="AL128" i="3"/>
  <c r="AL127" i="3"/>
  <c r="AL123" i="3"/>
  <c r="AL122" i="3"/>
  <c r="AL121" i="3"/>
  <c r="AL120" i="3"/>
  <c r="AL119" i="3"/>
  <c r="AL118" i="3"/>
  <c r="AL117" i="3"/>
  <c r="AL116" i="3"/>
  <c r="AL115" i="3"/>
  <c r="AL114" i="3"/>
  <c r="AL113" i="3"/>
  <c r="AL112" i="3"/>
  <c r="AL111" i="3"/>
  <c r="AL106" i="3"/>
  <c r="AL105" i="3"/>
  <c r="AL104" i="3"/>
  <c r="AL102" i="3"/>
  <c r="AL100" i="3"/>
  <c r="AL99" i="3"/>
  <c r="AL98" i="3"/>
  <c r="AL97" i="3"/>
  <c r="AL96" i="3"/>
  <c r="AL94" i="3"/>
  <c r="AL92" i="3"/>
  <c r="AL90" i="3"/>
  <c r="AL89" i="3"/>
  <c r="AL88" i="3"/>
  <c r="AL87" i="3"/>
  <c r="AL85" i="3"/>
  <c r="AL84" i="3"/>
  <c r="AL83" i="3"/>
  <c r="AL82" i="3"/>
  <c r="AL81" i="3"/>
  <c r="AL80" i="3"/>
  <c r="AL79" i="3"/>
  <c r="AL78" i="3"/>
  <c r="AL74" i="3"/>
  <c r="AL73" i="3"/>
  <c r="AL71" i="3"/>
  <c r="AL68" i="3"/>
  <c r="AL64" i="3"/>
  <c r="AL63" i="3"/>
  <c r="AL62" i="3"/>
  <c r="AL61" i="3"/>
  <c r="AL59" i="3"/>
  <c r="AL58" i="3"/>
  <c r="AL57" i="3"/>
  <c r="AL55" i="3"/>
  <c r="AL54" i="3"/>
  <c r="AL53" i="3"/>
  <c r="AL50" i="3"/>
  <c r="AL49" i="3"/>
  <c r="AL48" i="3"/>
  <c r="AL47" i="3"/>
  <c r="AL46" i="3"/>
  <c r="AL45" i="3"/>
  <c r="AL44" i="3"/>
  <c r="AL43" i="3"/>
  <c r="AL42" i="3"/>
  <c r="AL40" i="3"/>
  <c r="AL39" i="3"/>
  <c r="AL38" i="3"/>
  <c r="AL37" i="3"/>
  <c r="AL36" i="3"/>
  <c r="AL34" i="3"/>
  <c r="AL33" i="3"/>
  <c r="AL32" i="3"/>
  <c r="AL31" i="3"/>
  <c r="AL30" i="3"/>
  <c r="AL28" i="3"/>
  <c r="AL24" i="3"/>
  <c r="AL20" i="3"/>
  <c r="AL19" i="3"/>
  <c r="AL18" i="3"/>
  <c r="AL15" i="3"/>
  <c r="AL13" i="3"/>
  <c r="AL12" i="3"/>
  <c r="AL11" i="3"/>
  <c r="AL10" i="3"/>
  <c r="BC41" i="3" l="1"/>
  <c r="BC35" i="3"/>
  <c r="BC52" i="3"/>
  <c r="BC60" i="3"/>
  <c r="BC86" i="3"/>
  <c r="AR77" i="3"/>
  <c r="AO107" i="3"/>
  <c r="BC108" i="3"/>
  <c r="BC140" i="3"/>
  <c r="BC159" i="3"/>
  <c r="BC210" i="3"/>
  <c r="AO210" i="3"/>
  <c r="AP210" i="3"/>
  <c r="AO140" i="3"/>
  <c r="AO139" i="3" s="1"/>
  <c r="AO8" i="3"/>
  <c r="AO51" i="3"/>
  <c r="AP51" i="3"/>
  <c r="AO125" i="3"/>
  <c r="AO124" i="3" s="1"/>
  <c r="AO159" i="3"/>
  <c r="AO66" i="3"/>
  <c r="AO65" i="3" s="1"/>
  <c r="AP159" i="3"/>
  <c r="AP125" i="3"/>
  <c r="BC107" i="3" l="1"/>
  <c r="BC139" i="3"/>
  <c r="BC158" i="3"/>
  <c r="AO158" i="3"/>
  <c r="AO7" i="3"/>
  <c r="AO223" i="3" s="1"/>
  <c r="AP124" i="3"/>
  <c r="AP158" i="3"/>
  <c r="AH66" i="3" l="1"/>
  <c r="AK218" i="3"/>
  <c r="AR218" i="3" s="1"/>
  <c r="AJ218" i="3"/>
  <c r="AG218" i="3"/>
  <c r="AQ218" i="3" s="1"/>
  <c r="AK211" i="3"/>
  <c r="AR211" i="3" s="1"/>
  <c r="AJ211" i="3"/>
  <c r="BA211" i="3" s="1"/>
  <c r="AG211" i="3"/>
  <c r="AQ211" i="3" s="1"/>
  <c r="AH210" i="3"/>
  <c r="AI210" i="3"/>
  <c r="AK205" i="3"/>
  <c r="AR205" i="3" s="1"/>
  <c r="AJ205" i="3"/>
  <c r="AG205" i="3"/>
  <c r="AQ205" i="3" s="1"/>
  <c r="AK201" i="3"/>
  <c r="AR201" i="3" s="1"/>
  <c r="AJ201" i="3"/>
  <c r="BA201" i="3" s="1"/>
  <c r="AG201" i="3"/>
  <c r="AQ201" i="3" s="1"/>
  <c r="AK193" i="3"/>
  <c r="AJ193" i="3"/>
  <c r="AG193" i="3"/>
  <c r="AQ193" i="3" s="1"/>
  <c r="AK185" i="3"/>
  <c r="AR185" i="3" s="1"/>
  <c r="AJ185" i="3"/>
  <c r="BA185" i="3" s="1"/>
  <c r="AG185" i="3"/>
  <c r="AQ185" i="3" s="1"/>
  <c r="AK174" i="3"/>
  <c r="AR174" i="3" s="1"/>
  <c r="AJ174" i="3"/>
  <c r="AG174" i="3"/>
  <c r="AQ174" i="3" s="1"/>
  <c r="AK160" i="3"/>
  <c r="AR160" i="3" s="1"/>
  <c r="AJ160" i="3"/>
  <c r="BA160" i="3" s="1"/>
  <c r="AG160" i="3"/>
  <c r="AQ160" i="3" s="1"/>
  <c r="AH159" i="3"/>
  <c r="AI159" i="3"/>
  <c r="AG154" i="3"/>
  <c r="AK147" i="3"/>
  <c r="AR147" i="3" s="1"/>
  <c r="AJ147" i="3"/>
  <c r="BA147" i="3" s="1"/>
  <c r="AG147" i="3"/>
  <c r="AQ147" i="3" s="1"/>
  <c r="AJ141" i="3"/>
  <c r="BA141" i="3" s="1"/>
  <c r="AK141" i="3"/>
  <c r="AR141" i="3" s="1"/>
  <c r="AG141" i="3"/>
  <c r="AH140" i="3"/>
  <c r="AH139" i="3" s="1"/>
  <c r="AI140" i="3"/>
  <c r="AI139" i="3" s="1"/>
  <c r="AK136" i="3"/>
  <c r="AR136" i="3" s="1"/>
  <c r="AJ136" i="3"/>
  <c r="AG136" i="3"/>
  <c r="AQ136" i="3" s="1"/>
  <c r="AK131" i="3"/>
  <c r="AR131" i="3" s="1"/>
  <c r="AJ131" i="3"/>
  <c r="AG131" i="3"/>
  <c r="AQ131" i="3" s="1"/>
  <c r="AK126" i="3"/>
  <c r="AR126" i="3" s="1"/>
  <c r="AJ126" i="3"/>
  <c r="BA126" i="3" s="1"/>
  <c r="AG126" i="3"/>
  <c r="AQ126" i="3" s="1"/>
  <c r="AI125" i="3"/>
  <c r="AI124" i="3" s="1"/>
  <c r="AJ108" i="3"/>
  <c r="AK108" i="3"/>
  <c r="AR108" i="3" s="1"/>
  <c r="AH107" i="3"/>
  <c r="AI107" i="3"/>
  <c r="AK103" i="3"/>
  <c r="AR103" i="3" s="1"/>
  <c r="AJ103" i="3"/>
  <c r="BA103" i="3" s="1"/>
  <c r="AG103" i="3"/>
  <c r="AQ103" i="3" s="1"/>
  <c r="AJ91" i="3"/>
  <c r="AK86" i="3"/>
  <c r="AJ86" i="3"/>
  <c r="BA86" i="3" s="1"/>
  <c r="AG86" i="3"/>
  <c r="AQ86" i="3" s="1"/>
  <c r="AJ77" i="3"/>
  <c r="BA77" i="3" s="1"/>
  <c r="AG77" i="3"/>
  <c r="AQ77" i="3" s="1"/>
  <c r="AJ72" i="3"/>
  <c r="AJ67" i="3"/>
  <c r="AK60" i="3"/>
  <c r="AR60" i="3" s="1"/>
  <c r="AJ60" i="3"/>
  <c r="AG60" i="3"/>
  <c r="AQ60" i="3" s="1"/>
  <c r="AK56" i="3"/>
  <c r="AR56" i="3" s="1"/>
  <c r="AJ56" i="3"/>
  <c r="AG56" i="3"/>
  <c r="AQ56" i="3" s="1"/>
  <c r="AK52" i="3"/>
  <c r="AR52" i="3" s="1"/>
  <c r="AJ52" i="3"/>
  <c r="AG52" i="3"/>
  <c r="AQ52" i="3" s="1"/>
  <c r="AI51" i="3"/>
  <c r="AK41" i="3"/>
  <c r="AR41" i="3" s="1"/>
  <c r="AJ41" i="3"/>
  <c r="AG41" i="3"/>
  <c r="AQ41" i="3" s="1"/>
  <c r="AK35" i="3"/>
  <c r="AR35" i="3" s="1"/>
  <c r="AJ35" i="3"/>
  <c r="BA35" i="3" s="1"/>
  <c r="AG35" i="3"/>
  <c r="AQ35" i="3" s="1"/>
  <c r="AK29" i="3"/>
  <c r="AR29" i="3" s="1"/>
  <c r="AJ29" i="3"/>
  <c r="AG29" i="3"/>
  <c r="AQ29" i="3" s="1"/>
  <c r="AJ21" i="3"/>
  <c r="AG21" i="3"/>
  <c r="AK17" i="3"/>
  <c r="AR17" i="3" s="1"/>
  <c r="AJ17" i="3"/>
  <c r="BA17" i="3" s="1"/>
  <c r="AG17" i="3"/>
  <c r="AQ17" i="3" s="1"/>
  <c r="AJ9" i="3"/>
  <c r="AG9" i="3"/>
  <c r="AI8" i="3"/>
  <c r="BA60" i="3" l="1"/>
  <c r="AJ107" i="3"/>
  <c r="BA108" i="3"/>
  <c r="BA193" i="3"/>
  <c r="BA41" i="3"/>
  <c r="BA52" i="3"/>
  <c r="BA131" i="3"/>
  <c r="BA174" i="3"/>
  <c r="BA159" i="3" s="1"/>
  <c r="BA158" i="3" s="1"/>
  <c r="BA205" i="3"/>
  <c r="BA218" i="3"/>
  <c r="BA140" i="3"/>
  <c r="BA139" i="3" s="1"/>
  <c r="BA210" i="3"/>
  <c r="AJ140" i="3"/>
  <c r="AJ139" i="3" s="1"/>
  <c r="AL193" i="3"/>
  <c r="AR193" i="3"/>
  <c r="AJ210" i="3"/>
  <c r="AL86" i="3"/>
  <c r="AR86" i="3"/>
  <c r="AG140" i="3"/>
  <c r="AQ141" i="3"/>
  <c r="AL29" i="3"/>
  <c r="AL60" i="3"/>
  <c r="AJ159" i="3"/>
  <c r="AL154" i="3"/>
  <c r="AQ154" i="3"/>
  <c r="AL35" i="3"/>
  <c r="AL126" i="3"/>
  <c r="AL160" i="3"/>
  <c r="AL201" i="3"/>
  <c r="AK210" i="3"/>
  <c r="AR210" i="3" s="1"/>
  <c r="AL211" i="3"/>
  <c r="AK51" i="3"/>
  <c r="AR51" i="3" s="1"/>
  <c r="AL56" i="3"/>
  <c r="AL77" i="3"/>
  <c r="AL136" i="3"/>
  <c r="AK140" i="3"/>
  <c r="AL141" i="3"/>
  <c r="AL147" i="3"/>
  <c r="AL185" i="3"/>
  <c r="AL17" i="3"/>
  <c r="AL41" i="3"/>
  <c r="AL52" i="3"/>
  <c r="AL103" i="3"/>
  <c r="AK107" i="3"/>
  <c r="AR107" i="3" s="1"/>
  <c r="AL131" i="3"/>
  <c r="AL174" i="3"/>
  <c r="AL205" i="3"/>
  <c r="AL218" i="3"/>
  <c r="AK125" i="3"/>
  <c r="AR125" i="3" s="1"/>
  <c r="AJ51" i="3"/>
  <c r="AJ125" i="3"/>
  <c r="AJ124" i="3" s="1"/>
  <c r="AI158" i="3"/>
  <c r="AK159" i="3"/>
  <c r="AG210" i="3"/>
  <c r="AQ210" i="3" s="1"/>
  <c r="AH158" i="3"/>
  <c r="AJ158" i="3"/>
  <c r="AG159" i="3"/>
  <c r="AG125" i="3"/>
  <c r="AG51" i="3"/>
  <c r="AQ51" i="3" s="1"/>
  <c r="AI7" i="3"/>
  <c r="AJ8" i="3"/>
  <c r="AG8" i="3"/>
  <c r="BA107" i="3" l="1"/>
  <c r="AK139" i="3"/>
  <c r="AR139" i="3" s="1"/>
  <c r="AR140" i="3"/>
  <c r="AK158" i="3"/>
  <c r="AR158" i="3" s="1"/>
  <c r="AR159" i="3"/>
  <c r="AG124" i="3"/>
  <c r="AQ124" i="3" s="1"/>
  <c r="AQ125" i="3"/>
  <c r="AG158" i="3"/>
  <c r="AQ158" i="3" s="1"/>
  <c r="AQ159" i="3"/>
  <c r="AL51" i="3"/>
  <c r="AG139" i="3"/>
  <c r="AQ139" i="3" s="1"/>
  <c r="AQ140" i="3"/>
  <c r="AL140" i="3"/>
  <c r="AJ7" i="3"/>
  <c r="AW7" i="3" s="1"/>
  <c r="AY7" i="3" s="1"/>
  <c r="AL159" i="3"/>
  <c r="AK124" i="3"/>
  <c r="AL125" i="3"/>
  <c r="AL210" i="3"/>
  <c r="AG7" i="3"/>
  <c r="AL124" i="3" l="1"/>
  <c r="AR124" i="3"/>
  <c r="AL158" i="3"/>
  <c r="AL139" i="3"/>
  <c r="R123" i="3" l="1"/>
  <c r="R23" i="3"/>
  <c r="Z222" i="3" l="1"/>
  <c r="Y222" i="3"/>
  <c r="Z221" i="3"/>
  <c r="Y221" i="3"/>
  <c r="Z220" i="3"/>
  <c r="Y220" i="3"/>
  <c r="Z219" i="3"/>
  <c r="Y219" i="3"/>
  <c r="Z217" i="3"/>
  <c r="Y217" i="3"/>
  <c r="Z216" i="3"/>
  <c r="Y216" i="3"/>
  <c r="Z215" i="3"/>
  <c r="Y215" i="3"/>
  <c r="Z214" i="3"/>
  <c r="Y214" i="3"/>
  <c r="Z213" i="3"/>
  <c r="Y213" i="3"/>
  <c r="Z212" i="3"/>
  <c r="Y212" i="3"/>
  <c r="Z209" i="3"/>
  <c r="Y209" i="3"/>
  <c r="Z208" i="3"/>
  <c r="Y208" i="3"/>
  <c r="Z207" i="3"/>
  <c r="Y207" i="3"/>
  <c r="Z206" i="3"/>
  <c r="Y206" i="3"/>
  <c r="Z204" i="3"/>
  <c r="Y204" i="3"/>
  <c r="Z203" i="3"/>
  <c r="Y203" i="3"/>
  <c r="Z202" i="3"/>
  <c r="Y202" i="3"/>
  <c r="Z200" i="3"/>
  <c r="Y200" i="3"/>
  <c r="Z199" i="3"/>
  <c r="Y199" i="3"/>
  <c r="Z198" i="3"/>
  <c r="Y198" i="3"/>
  <c r="Z197" i="3"/>
  <c r="Y197" i="3"/>
  <c r="Z196" i="3"/>
  <c r="Y196" i="3"/>
  <c r="Z195" i="3"/>
  <c r="Y195" i="3"/>
  <c r="Z194" i="3"/>
  <c r="Y194" i="3"/>
  <c r="Z192" i="3"/>
  <c r="AA192" i="3" s="1"/>
  <c r="Y192" i="3"/>
  <c r="Z191" i="3"/>
  <c r="Y191" i="3"/>
  <c r="Z190" i="3"/>
  <c r="Y190" i="3"/>
  <c r="Z189" i="3"/>
  <c r="Y189" i="3"/>
  <c r="Z188" i="3"/>
  <c r="Y188" i="3"/>
  <c r="Z187" i="3"/>
  <c r="Y187" i="3"/>
  <c r="Z186" i="3"/>
  <c r="AA186" i="3" s="1"/>
  <c r="Y186" i="3"/>
  <c r="Z184" i="3"/>
  <c r="Y184" i="3"/>
  <c r="Z183" i="3"/>
  <c r="Y183" i="3"/>
  <c r="Z182" i="3"/>
  <c r="Y182" i="3"/>
  <c r="Z181" i="3"/>
  <c r="Y181" i="3"/>
  <c r="Y180" i="3"/>
  <c r="Z179" i="3"/>
  <c r="Y179" i="3"/>
  <c r="Z178" i="3"/>
  <c r="Y178" i="3"/>
  <c r="Z177" i="3"/>
  <c r="Y177" i="3"/>
  <c r="Z176" i="3"/>
  <c r="Y176" i="3"/>
  <c r="Z175" i="3"/>
  <c r="Y175" i="3"/>
  <c r="Z173" i="3"/>
  <c r="Y173" i="3"/>
  <c r="Z172" i="3"/>
  <c r="Y172" i="3"/>
  <c r="Z171" i="3"/>
  <c r="Y171" i="3"/>
  <c r="Z170" i="3"/>
  <c r="Y170" i="3"/>
  <c r="Z169" i="3"/>
  <c r="Y169" i="3"/>
  <c r="Z168" i="3"/>
  <c r="Y168" i="3"/>
  <c r="Z167" i="3"/>
  <c r="Y167" i="3"/>
  <c r="Z166" i="3"/>
  <c r="Y166" i="3"/>
  <c r="Z165" i="3"/>
  <c r="Y165" i="3"/>
  <c r="Z164" i="3"/>
  <c r="Y164" i="3"/>
  <c r="Z163" i="3"/>
  <c r="Y163" i="3"/>
  <c r="Z162" i="3"/>
  <c r="Y162" i="3"/>
  <c r="Z161" i="3"/>
  <c r="Y161" i="3"/>
  <c r="Z157" i="3"/>
  <c r="Y157" i="3"/>
  <c r="Z156" i="3"/>
  <c r="Y156" i="3"/>
  <c r="Z155" i="3"/>
  <c r="Y155" i="3"/>
  <c r="Z153" i="3"/>
  <c r="Y153" i="3"/>
  <c r="Z152" i="3"/>
  <c r="Y152" i="3"/>
  <c r="Z151" i="3"/>
  <c r="Y151" i="3"/>
  <c r="Z150" i="3"/>
  <c r="Y150" i="3"/>
  <c r="Z149" i="3"/>
  <c r="Y149" i="3"/>
  <c r="Z148" i="3"/>
  <c r="Y148" i="3"/>
  <c r="Z146" i="3"/>
  <c r="Y146" i="3"/>
  <c r="Z145" i="3"/>
  <c r="Y145" i="3"/>
  <c r="Z144" i="3"/>
  <c r="Y144" i="3"/>
  <c r="Z143" i="3"/>
  <c r="Y143" i="3"/>
  <c r="Z142" i="3"/>
  <c r="Y142" i="3"/>
  <c r="Z138" i="3"/>
  <c r="Y138" i="3"/>
  <c r="Z137" i="3"/>
  <c r="Y137" i="3"/>
  <c r="Z135" i="3"/>
  <c r="Y135" i="3"/>
  <c r="Z134" i="3"/>
  <c r="Y134" i="3"/>
  <c r="Z133" i="3"/>
  <c r="Y133" i="3"/>
  <c r="Z132" i="3"/>
  <c r="Y132" i="3"/>
  <c r="Z130" i="3"/>
  <c r="Y130" i="3"/>
  <c r="Z129" i="3"/>
  <c r="Y129" i="3"/>
  <c r="Z128" i="3"/>
  <c r="Y128" i="3"/>
  <c r="Z127" i="3"/>
  <c r="Y127" i="3"/>
  <c r="Z123" i="3"/>
  <c r="Y123" i="3"/>
  <c r="Z122" i="3"/>
  <c r="Y122" i="3"/>
  <c r="Z121" i="3"/>
  <c r="Y121" i="3"/>
  <c r="Z120" i="3"/>
  <c r="Y120" i="3"/>
  <c r="Z119" i="3"/>
  <c r="Y119" i="3"/>
  <c r="Z118" i="3"/>
  <c r="Y118" i="3"/>
  <c r="Z117" i="3"/>
  <c r="Y117" i="3"/>
  <c r="Z116" i="3"/>
  <c r="Y116" i="3"/>
  <c r="Z115" i="3"/>
  <c r="Y115" i="3"/>
  <c r="Z114" i="3"/>
  <c r="Y114" i="3"/>
  <c r="Z113" i="3"/>
  <c r="Y113" i="3"/>
  <c r="Z112" i="3"/>
  <c r="Y112" i="3"/>
  <c r="Z111" i="3"/>
  <c r="Y111" i="3"/>
  <c r="Z110" i="3"/>
  <c r="Y110" i="3"/>
  <c r="Z109" i="3"/>
  <c r="Y109" i="3"/>
  <c r="Z106" i="3"/>
  <c r="Y106" i="3"/>
  <c r="Z105" i="3"/>
  <c r="Y105" i="3"/>
  <c r="Z104" i="3"/>
  <c r="Y104" i="3"/>
  <c r="Z102" i="3"/>
  <c r="Y102" i="3"/>
  <c r="Z101" i="3"/>
  <c r="Y101" i="3"/>
  <c r="Z100" i="3"/>
  <c r="Y100" i="3"/>
  <c r="Z99" i="3"/>
  <c r="Y99" i="3"/>
  <c r="Z98" i="3"/>
  <c r="Y98" i="3"/>
  <c r="Z97" i="3"/>
  <c r="Y97" i="3"/>
  <c r="Z96" i="3"/>
  <c r="Y96" i="3"/>
  <c r="Z95" i="3"/>
  <c r="Y95" i="3"/>
  <c r="Z94" i="3"/>
  <c r="Y94" i="3"/>
  <c r="Z93" i="3"/>
  <c r="Y93" i="3"/>
  <c r="Z92" i="3"/>
  <c r="Y92" i="3"/>
  <c r="Z90" i="3"/>
  <c r="Y90" i="3"/>
  <c r="Z89" i="3"/>
  <c r="Y89" i="3"/>
  <c r="Z88" i="3"/>
  <c r="Y88" i="3"/>
  <c r="Z87" i="3"/>
  <c r="Y87" i="3"/>
  <c r="Z85" i="3"/>
  <c r="Y85" i="3"/>
  <c r="Z84" i="3"/>
  <c r="Y84" i="3"/>
  <c r="Z83" i="3"/>
  <c r="Y83" i="3"/>
  <c r="Z82" i="3"/>
  <c r="Y82" i="3"/>
  <c r="Z81" i="3"/>
  <c r="Y81" i="3"/>
  <c r="Z80" i="3"/>
  <c r="Y80" i="3"/>
  <c r="Z79" i="3"/>
  <c r="Y79" i="3"/>
  <c r="Z78" i="3"/>
  <c r="Y78" i="3"/>
  <c r="Z76" i="3"/>
  <c r="Y76" i="3"/>
  <c r="Z75" i="3"/>
  <c r="Y75" i="3"/>
  <c r="Z74" i="3"/>
  <c r="Y74" i="3"/>
  <c r="Z73" i="3"/>
  <c r="Y73" i="3"/>
  <c r="Z71" i="3"/>
  <c r="Y71" i="3"/>
  <c r="Z70" i="3"/>
  <c r="Y70" i="3"/>
  <c r="Z69" i="3"/>
  <c r="Y69" i="3"/>
  <c r="Z68" i="3"/>
  <c r="Y68" i="3"/>
  <c r="Z64" i="3"/>
  <c r="Y64" i="3"/>
  <c r="Z63" i="3"/>
  <c r="Y63" i="3"/>
  <c r="Z62" i="3"/>
  <c r="Y62" i="3"/>
  <c r="Z61" i="3"/>
  <c r="Y61" i="3"/>
  <c r="Z59" i="3"/>
  <c r="Y59" i="3"/>
  <c r="Z58" i="3"/>
  <c r="Y58" i="3"/>
  <c r="Z57" i="3"/>
  <c r="Y57" i="3"/>
  <c r="Z55" i="3"/>
  <c r="Y55" i="3"/>
  <c r="Z54" i="3"/>
  <c r="Y54" i="3"/>
  <c r="Z53" i="3"/>
  <c r="Y53" i="3"/>
  <c r="Z50" i="3"/>
  <c r="Y50" i="3"/>
  <c r="Z49" i="3"/>
  <c r="Y49" i="3"/>
  <c r="Z48" i="3"/>
  <c r="Y48" i="3"/>
  <c r="Z47" i="3"/>
  <c r="Y47" i="3"/>
  <c r="Z46" i="3"/>
  <c r="Y46" i="3"/>
  <c r="Z45" i="3"/>
  <c r="Y45" i="3"/>
  <c r="Z44" i="3"/>
  <c r="Y44" i="3"/>
  <c r="Z43" i="3"/>
  <c r="Y43" i="3"/>
  <c r="Z42" i="3"/>
  <c r="Y42" i="3"/>
  <c r="Z40" i="3"/>
  <c r="Y40" i="3"/>
  <c r="Z39" i="3"/>
  <c r="Y39" i="3"/>
  <c r="Z38" i="3"/>
  <c r="Y38" i="3"/>
  <c r="Z37" i="3"/>
  <c r="Y37" i="3"/>
  <c r="Z36" i="3"/>
  <c r="Y36" i="3"/>
  <c r="Z34" i="3"/>
  <c r="Y34" i="3"/>
  <c r="Z33" i="3"/>
  <c r="Y33" i="3"/>
  <c r="Z32" i="3"/>
  <c r="Y32" i="3"/>
  <c r="Z31" i="3"/>
  <c r="Y31" i="3"/>
  <c r="Z30" i="3"/>
  <c r="Y30" i="3"/>
  <c r="Z28" i="3"/>
  <c r="Y28" i="3"/>
  <c r="Z27" i="3"/>
  <c r="Y27" i="3"/>
  <c r="Z26" i="3"/>
  <c r="Y26" i="3"/>
  <c r="Z25" i="3"/>
  <c r="Y25" i="3"/>
  <c r="Z24" i="3"/>
  <c r="Y24" i="3"/>
  <c r="Z23" i="3"/>
  <c r="Y23" i="3"/>
  <c r="Z22" i="3"/>
  <c r="Y22" i="3"/>
  <c r="Z20" i="3"/>
  <c r="Y20" i="3"/>
  <c r="Z19" i="3"/>
  <c r="Y19" i="3"/>
  <c r="Z18" i="3"/>
  <c r="Y18" i="3"/>
  <c r="Z16" i="3"/>
  <c r="Y16" i="3"/>
  <c r="Z15" i="3"/>
  <c r="Y15" i="3"/>
  <c r="Z14" i="3"/>
  <c r="Y14" i="3"/>
  <c r="Z13" i="3"/>
  <c r="Y13" i="3"/>
  <c r="Z12" i="3"/>
  <c r="Y12" i="3"/>
  <c r="Z11" i="3"/>
  <c r="Y11" i="3"/>
  <c r="Z10" i="3"/>
  <c r="Y10" i="3"/>
  <c r="AA195" i="3" l="1"/>
  <c r="AA202" i="3"/>
  <c r="AA209" i="3"/>
  <c r="AA177" i="3"/>
  <c r="AA179" i="3"/>
  <c r="AA54" i="3"/>
  <c r="AA99" i="3"/>
  <c r="AA101" i="3"/>
  <c r="AA110" i="3"/>
  <c r="AA137" i="3"/>
  <c r="AA156" i="3"/>
  <c r="AA19" i="3"/>
  <c r="AA75" i="3"/>
  <c r="AA82" i="3"/>
  <c r="AA84" i="3"/>
  <c r="AA148" i="3"/>
  <c r="AA166" i="3"/>
  <c r="AA168" i="3"/>
  <c r="AA11" i="3"/>
  <c r="AA20" i="3"/>
  <c r="AA23" i="3"/>
  <c r="AA27" i="3"/>
  <c r="AA34" i="3"/>
  <c r="AA39" i="3"/>
  <c r="AA57" i="3"/>
  <c r="AA85" i="3"/>
  <c r="AA88" i="3"/>
  <c r="AA93" i="3"/>
  <c r="AA114" i="3"/>
  <c r="AA122" i="3"/>
  <c r="AA129" i="3"/>
  <c r="AA176" i="3"/>
  <c r="AA178" i="3"/>
  <c r="AA184" i="3"/>
  <c r="AA187" i="3"/>
  <c r="AA194" i="3"/>
  <c r="AA200" i="3"/>
  <c r="AA203" i="3"/>
  <c r="AA212" i="3"/>
  <c r="AA216" i="3"/>
  <c r="AA175" i="3"/>
  <c r="AA22" i="3"/>
  <c r="AA24" i="3"/>
  <c r="AA26" i="3"/>
  <c r="AA36" i="3"/>
  <c r="AA38" i="3"/>
  <c r="AA45" i="3"/>
  <c r="AA55" i="3"/>
  <c r="AA58" i="3"/>
  <c r="AA63" i="3"/>
  <c r="AA89" i="3"/>
  <c r="AA111" i="3"/>
  <c r="AA113" i="3"/>
  <c r="AA119" i="3"/>
  <c r="AA121" i="3"/>
  <c r="AA217" i="3"/>
  <c r="AA12" i="3"/>
  <c r="AA14" i="3"/>
  <c r="AA31" i="3"/>
  <c r="AA33" i="3"/>
  <c r="AA46" i="3"/>
  <c r="AA48" i="3"/>
  <c r="AA68" i="3"/>
  <c r="AA70" i="3"/>
  <c r="AA80" i="3"/>
  <c r="AA97" i="3"/>
  <c r="AA104" i="3"/>
  <c r="AA116" i="3"/>
  <c r="AA118" i="3"/>
  <c r="AA130" i="3"/>
  <c r="AA133" i="3"/>
  <c r="AA138" i="3"/>
  <c r="AA143" i="3"/>
  <c r="AA145" i="3"/>
  <c r="AA150" i="3"/>
  <c r="AA152" i="3"/>
  <c r="AA157" i="3"/>
  <c r="AA164" i="3"/>
  <c r="AA172" i="3"/>
  <c r="AA183" i="3"/>
  <c r="AA199" i="3"/>
  <c r="AA221" i="3"/>
  <c r="AA13" i="3"/>
  <c r="AA15" i="3"/>
  <c r="AA47" i="3"/>
  <c r="AA49" i="3"/>
  <c r="AA69" i="3"/>
  <c r="AA76" i="3"/>
  <c r="AA79" i="3"/>
  <c r="AA94" i="3"/>
  <c r="AA96" i="3"/>
  <c r="AA102" i="3"/>
  <c r="AA105" i="3"/>
  <c r="AA134" i="3"/>
  <c r="AA142" i="3"/>
  <c r="AA144" i="3"/>
  <c r="AA149" i="3"/>
  <c r="AA151" i="3"/>
  <c r="AA161" i="3"/>
  <c r="AA163" i="3"/>
  <c r="AA169" i="3"/>
  <c r="AA171" i="3"/>
  <c r="AA191" i="3"/>
  <c r="AA208" i="3"/>
  <c r="AA214" i="3"/>
  <c r="AA220" i="3"/>
  <c r="AA10" i="3"/>
  <c r="AA18" i="3"/>
  <c r="AA25" i="3"/>
  <c r="AA28" i="3"/>
  <c r="AA42" i="3"/>
  <c r="AA44" i="3"/>
  <c r="AA53" i="3"/>
  <c r="AA59" i="3"/>
  <c r="AA62" i="3"/>
  <c r="AA64" i="3"/>
  <c r="AA73" i="3"/>
  <c r="AA78" i="3"/>
  <c r="AA81" i="3"/>
  <c r="AA83" i="3"/>
  <c r="AA92" i="3"/>
  <c r="AA109" i="3"/>
  <c r="AA120" i="3"/>
  <c r="AA123" i="3"/>
  <c r="AA128" i="3"/>
  <c r="AA153" i="3"/>
  <c r="AA170" i="3"/>
  <c r="AA173" i="3"/>
  <c r="AA181" i="3"/>
  <c r="AA189" i="3"/>
  <c r="AA197" i="3"/>
  <c r="AA206" i="3"/>
  <c r="AA213" i="3"/>
  <c r="AA215" i="3"/>
  <c r="AA16" i="3"/>
  <c r="AA30" i="3"/>
  <c r="AA32" i="3"/>
  <c r="AA37" i="3"/>
  <c r="AA40" i="3"/>
  <c r="AA43" i="3"/>
  <c r="AA50" i="3"/>
  <c r="AA61" i="3"/>
  <c r="AA71" i="3"/>
  <c r="AA74" i="3"/>
  <c r="AA87" i="3"/>
  <c r="AA90" i="3"/>
  <c r="AA95" i="3"/>
  <c r="AA98" i="3"/>
  <c r="AA100" i="3"/>
  <c r="AA106" i="3"/>
  <c r="AA112" i="3"/>
  <c r="AA115" i="3"/>
  <c r="AA117" i="3"/>
  <c r="AA127" i="3"/>
  <c r="AA132" i="3"/>
  <c r="AA135" i="3"/>
  <c r="AA146" i="3"/>
  <c r="AA155" i="3"/>
  <c r="AA162" i="3"/>
  <c r="AA165" i="3"/>
  <c r="AA167" i="3"/>
  <c r="AA182" i="3"/>
  <c r="AA188" i="3"/>
  <c r="AA190" i="3"/>
  <c r="AA196" i="3"/>
  <c r="AA198" i="3"/>
  <c r="AA204" i="3"/>
  <c r="AA207" i="3"/>
  <c r="AA219" i="3"/>
  <c r="AA222" i="3"/>
  <c r="R222" i="3"/>
  <c r="R221" i="3"/>
  <c r="R220" i="3"/>
  <c r="R219" i="3"/>
  <c r="R217" i="3"/>
  <c r="R216" i="3"/>
  <c r="R215" i="3"/>
  <c r="R214" i="3"/>
  <c r="R213" i="3"/>
  <c r="R212" i="3"/>
  <c r="R209" i="3"/>
  <c r="R208" i="3"/>
  <c r="R207" i="3"/>
  <c r="R206" i="3"/>
  <c r="R204" i="3"/>
  <c r="R203" i="3"/>
  <c r="R202" i="3"/>
  <c r="R200" i="3"/>
  <c r="R199" i="3"/>
  <c r="R198" i="3"/>
  <c r="R197" i="3"/>
  <c r="R196" i="3"/>
  <c r="R195" i="3"/>
  <c r="R194" i="3"/>
  <c r="R192" i="3"/>
  <c r="R191" i="3"/>
  <c r="R190" i="3"/>
  <c r="R189" i="3"/>
  <c r="R188" i="3"/>
  <c r="R187" i="3"/>
  <c r="R186" i="3"/>
  <c r="R184" i="3"/>
  <c r="R183" i="3"/>
  <c r="R182" i="3"/>
  <c r="R181" i="3"/>
  <c r="R179" i="3"/>
  <c r="R178" i="3"/>
  <c r="R177" i="3"/>
  <c r="R176" i="3"/>
  <c r="R175" i="3"/>
  <c r="R173" i="3"/>
  <c r="R172" i="3"/>
  <c r="R171" i="3"/>
  <c r="R170" i="3"/>
  <c r="R169" i="3"/>
  <c r="R168" i="3"/>
  <c r="R167" i="3"/>
  <c r="R166" i="3"/>
  <c r="R165" i="3"/>
  <c r="R164" i="3"/>
  <c r="R163" i="3"/>
  <c r="R162" i="3"/>
  <c r="R161" i="3"/>
  <c r="R157" i="3"/>
  <c r="R156" i="3"/>
  <c r="R155" i="3"/>
  <c r="R153" i="3"/>
  <c r="R152" i="3"/>
  <c r="R151" i="3"/>
  <c r="R150" i="3"/>
  <c r="R149" i="3"/>
  <c r="R148" i="3"/>
  <c r="R146" i="3"/>
  <c r="R145" i="3"/>
  <c r="R144" i="3"/>
  <c r="R143" i="3"/>
  <c r="R142" i="3"/>
  <c r="R138" i="3"/>
  <c r="R137" i="3"/>
  <c r="R135" i="3"/>
  <c r="R134" i="3"/>
  <c r="R133" i="3"/>
  <c r="R132" i="3"/>
  <c r="R130" i="3"/>
  <c r="R129" i="3"/>
  <c r="R128" i="3"/>
  <c r="R127" i="3"/>
  <c r="R122" i="3"/>
  <c r="R121" i="3"/>
  <c r="R120" i="3"/>
  <c r="R119" i="3"/>
  <c r="R118" i="3"/>
  <c r="R117" i="3"/>
  <c r="R116" i="3"/>
  <c r="R115" i="3"/>
  <c r="R114" i="3"/>
  <c r="R113" i="3"/>
  <c r="R112" i="3"/>
  <c r="R111" i="3"/>
  <c r="R110" i="3"/>
  <c r="R109" i="3"/>
  <c r="R106" i="3"/>
  <c r="R105" i="3"/>
  <c r="R104" i="3"/>
  <c r="R102" i="3"/>
  <c r="R101" i="3"/>
  <c r="R100" i="3"/>
  <c r="R99" i="3"/>
  <c r="R98" i="3"/>
  <c r="R97" i="3"/>
  <c r="R96" i="3"/>
  <c r="R95" i="3"/>
  <c r="R94" i="3"/>
  <c r="R93" i="3"/>
  <c r="R92" i="3"/>
  <c r="R90" i="3"/>
  <c r="R89" i="3"/>
  <c r="R88" i="3"/>
  <c r="R87" i="3"/>
  <c r="R85" i="3"/>
  <c r="R84" i="3"/>
  <c r="R83" i="3"/>
  <c r="R82" i="3"/>
  <c r="R81" i="3"/>
  <c r="R80" i="3"/>
  <c r="R79" i="3"/>
  <c r="R78" i="3"/>
  <c r="R76" i="3"/>
  <c r="R75" i="3"/>
  <c r="R74" i="3"/>
  <c r="R73" i="3"/>
  <c r="R71" i="3"/>
  <c r="R70" i="3"/>
  <c r="R69" i="3"/>
  <c r="R68" i="3"/>
  <c r="R64" i="3"/>
  <c r="R63" i="3"/>
  <c r="R62" i="3"/>
  <c r="R61" i="3"/>
  <c r="R59" i="3"/>
  <c r="R58" i="3"/>
  <c r="R57" i="3"/>
  <c r="R55" i="3"/>
  <c r="R54" i="3"/>
  <c r="R53" i="3"/>
  <c r="R50" i="3"/>
  <c r="R49" i="3"/>
  <c r="R48" i="3"/>
  <c r="R47" i="3"/>
  <c r="R46" i="3"/>
  <c r="R45" i="3"/>
  <c r="R44" i="3"/>
  <c r="R43" i="3"/>
  <c r="R42" i="3"/>
  <c r="R40" i="3"/>
  <c r="R39" i="3"/>
  <c r="R38" i="3"/>
  <c r="R37" i="3"/>
  <c r="R36" i="3"/>
  <c r="R34" i="3"/>
  <c r="R33" i="3"/>
  <c r="R32" i="3"/>
  <c r="R31" i="3"/>
  <c r="R30" i="3"/>
  <c r="R28" i="3"/>
  <c r="R27" i="3"/>
  <c r="R26" i="3"/>
  <c r="R25" i="3"/>
  <c r="R24" i="3"/>
  <c r="R22" i="3"/>
  <c r="R20" i="3"/>
  <c r="R19" i="3"/>
  <c r="R18" i="3"/>
  <c r="R11" i="3"/>
  <c r="R12" i="3"/>
  <c r="R13" i="3"/>
  <c r="R14" i="3"/>
  <c r="R15" i="3"/>
  <c r="R16" i="3"/>
  <c r="R10" i="3"/>
  <c r="R21" i="3" l="1"/>
  <c r="R29" i="3"/>
  <c r="R193" i="3"/>
  <c r="R218" i="3"/>
  <c r="R103" i="3"/>
  <c r="R35" i="3"/>
  <c r="R60" i="3"/>
  <c r="R67" i="3"/>
  <c r="R72" i="3"/>
  <c r="R86" i="3"/>
  <c r="R91" i="3"/>
  <c r="R147" i="3"/>
  <c r="R185" i="3"/>
  <c r="R17" i="3"/>
  <c r="R41" i="3"/>
  <c r="R126" i="3"/>
  <c r="R131" i="3"/>
  <c r="R136" i="3"/>
  <c r="R160" i="3"/>
  <c r="R211" i="3"/>
  <c r="R210" i="3" s="1"/>
  <c r="R9" i="3"/>
  <c r="R52" i="3"/>
  <c r="R56" i="3"/>
  <c r="R77" i="3"/>
  <c r="R108" i="3"/>
  <c r="R107" i="3" s="1"/>
  <c r="R141" i="3"/>
  <c r="R154" i="3"/>
  <c r="R201" i="3"/>
  <c r="R205" i="3"/>
  <c r="Q10" i="3"/>
  <c r="Q11" i="3"/>
  <c r="Q12" i="3"/>
  <c r="Q13" i="3"/>
  <c r="Q14" i="3"/>
  <c r="Q15" i="3"/>
  <c r="Q16" i="3"/>
  <c r="Q18" i="3"/>
  <c r="Q19" i="3"/>
  <c r="Q20" i="3"/>
  <c r="Q22" i="3"/>
  <c r="Q23" i="3"/>
  <c r="Q24" i="3"/>
  <c r="Q25" i="3"/>
  <c r="Q26" i="3"/>
  <c r="Q27" i="3"/>
  <c r="Q28" i="3"/>
  <c r="Q30" i="3"/>
  <c r="Q31" i="3"/>
  <c r="Q32" i="3"/>
  <c r="Q33" i="3"/>
  <c r="Q34" i="3"/>
  <c r="Q36" i="3"/>
  <c r="Q37" i="3"/>
  <c r="Q38" i="3"/>
  <c r="Q39" i="3"/>
  <c r="Q40" i="3"/>
  <c r="Q42" i="3"/>
  <c r="Q43" i="3"/>
  <c r="Q44" i="3"/>
  <c r="Q45" i="3"/>
  <c r="Q46" i="3"/>
  <c r="Q47" i="3"/>
  <c r="Q48" i="3"/>
  <c r="Q49" i="3"/>
  <c r="Q50" i="3"/>
  <c r="Q53" i="3"/>
  <c r="Q54" i="3"/>
  <c r="Q55" i="3"/>
  <c r="Q57" i="3"/>
  <c r="Q58" i="3"/>
  <c r="Q59" i="3"/>
  <c r="Q61" i="3"/>
  <c r="Q62" i="3"/>
  <c r="Q63" i="3"/>
  <c r="Q64" i="3"/>
  <c r="Q68" i="3"/>
  <c r="Q69" i="3"/>
  <c r="Q70" i="3"/>
  <c r="Q71" i="3"/>
  <c r="Q73" i="3"/>
  <c r="Q74" i="3"/>
  <c r="Q75" i="3"/>
  <c r="Q76" i="3"/>
  <c r="Q78" i="3"/>
  <c r="Q79" i="3"/>
  <c r="Q80" i="3"/>
  <c r="Q81" i="3"/>
  <c r="Q82" i="3"/>
  <c r="Q83" i="3"/>
  <c r="Q84" i="3"/>
  <c r="Q85" i="3"/>
  <c r="Q87" i="3"/>
  <c r="Q88" i="3"/>
  <c r="Q89" i="3"/>
  <c r="Q90" i="3"/>
  <c r="Q92" i="3"/>
  <c r="Q93" i="3"/>
  <c r="Q94" i="3"/>
  <c r="Q95" i="3"/>
  <c r="Q96" i="3"/>
  <c r="Q97" i="3"/>
  <c r="Q98" i="3"/>
  <c r="Q99" i="3"/>
  <c r="Q100" i="3"/>
  <c r="Q101" i="3"/>
  <c r="Q102" i="3"/>
  <c r="Q104" i="3"/>
  <c r="Q105" i="3"/>
  <c r="Q106" i="3"/>
  <c r="Q109" i="3"/>
  <c r="Q110" i="3"/>
  <c r="Q111" i="3"/>
  <c r="Q112" i="3"/>
  <c r="Q113" i="3"/>
  <c r="Q114" i="3"/>
  <c r="Q115" i="3"/>
  <c r="Q116" i="3"/>
  <c r="Q117" i="3"/>
  <c r="Q118" i="3"/>
  <c r="Q119" i="3"/>
  <c r="Q120" i="3"/>
  <c r="Q121" i="3"/>
  <c r="Q122" i="3"/>
  <c r="Q123" i="3"/>
  <c r="Q127" i="3"/>
  <c r="Q128" i="3"/>
  <c r="Q129" i="3"/>
  <c r="Q130" i="3"/>
  <c r="Q132" i="3"/>
  <c r="Q133" i="3"/>
  <c r="Q134" i="3"/>
  <c r="Q135" i="3"/>
  <c r="Q137" i="3"/>
  <c r="Q138" i="3"/>
  <c r="Q142" i="3"/>
  <c r="Q143" i="3"/>
  <c r="Q144" i="3"/>
  <c r="Q145" i="3"/>
  <c r="Q146" i="3"/>
  <c r="Q148" i="3"/>
  <c r="Q149" i="3"/>
  <c r="Q150" i="3"/>
  <c r="Q151" i="3"/>
  <c r="Q152" i="3"/>
  <c r="Q153" i="3"/>
  <c r="Q155" i="3"/>
  <c r="Q156" i="3"/>
  <c r="Q157" i="3"/>
  <c r="Q161" i="3"/>
  <c r="Q162" i="3"/>
  <c r="Q163" i="3"/>
  <c r="Q164" i="3"/>
  <c r="Q165" i="3"/>
  <c r="Q166" i="3"/>
  <c r="Q167" i="3"/>
  <c r="Q168" i="3"/>
  <c r="Q169" i="3"/>
  <c r="Q170" i="3"/>
  <c r="Q171" i="3"/>
  <c r="Q172" i="3"/>
  <c r="Q173" i="3"/>
  <c r="Q175" i="3"/>
  <c r="Q176" i="3"/>
  <c r="Q177" i="3"/>
  <c r="Q178" i="3"/>
  <c r="Q179" i="3"/>
  <c r="Q180" i="3"/>
  <c r="Q181" i="3"/>
  <c r="Q182" i="3"/>
  <c r="Q183" i="3"/>
  <c r="Q184" i="3"/>
  <c r="Q186" i="3"/>
  <c r="Q187" i="3"/>
  <c r="Q188" i="3"/>
  <c r="Q189" i="3"/>
  <c r="Q190" i="3"/>
  <c r="Q191" i="3"/>
  <c r="Q192" i="3"/>
  <c r="Q194" i="3"/>
  <c r="Q195" i="3"/>
  <c r="Q196" i="3"/>
  <c r="Q197" i="3"/>
  <c r="Q198" i="3"/>
  <c r="Q199" i="3"/>
  <c r="Q200" i="3"/>
  <c r="Q202" i="3"/>
  <c r="Q203" i="3"/>
  <c r="Q204" i="3"/>
  <c r="Q206" i="3"/>
  <c r="Q207" i="3"/>
  <c r="Q208" i="3"/>
  <c r="Q209" i="3"/>
  <c r="Q212" i="3"/>
  <c r="Q213" i="3"/>
  <c r="Q214" i="3"/>
  <c r="Q215" i="3"/>
  <c r="Q216" i="3"/>
  <c r="Q217" i="3"/>
  <c r="Q219" i="3"/>
  <c r="Q220" i="3"/>
  <c r="Q221" i="3"/>
  <c r="Q222" i="3"/>
  <c r="P10" i="3"/>
  <c r="P11" i="3"/>
  <c r="P12" i="3"/>
  <c r="P13" i="3"/>
  <c r="P14" i="3"/>
  <c r="P15" i="3"/>
  <c r="P16" i="3"/>
  <c r="P18" i="3"/>
  <c r="P19" i="3"/>
  <c r="P20" i="3"/>
  <c r="P22" i="3"/>
  <c r="P23" i="3"/>
  <c r="P24" i="3"/>
  <c r="P25" i="3"/>
  <c r="P26" i="3"/>
  <c r="P27" i="3"/>
  <c r="P28" i="3"/>
  <c r="P30" i="3"/>
  <c r="P31" i="3"/>
  <c r="P32" i="3"/>
  <c r="P33" i="3"/>
  <c r="P34" i="3"/>
  <c r="P36" i="3"/>
  <c r="P37" i="3"/>
  <c r="P38" i="3"/>
  <c r="P39" i="3"/>
  <c r="P40" i="3"/>
  <c r="P42" i="3"/>
  <c r="P43" i="3"/>
  <c r="P44" i="3"/>
  <c r="P45" i="3"/>
  <c r="P46" i="3"/>
  <c r="P47" i="3"/>
  <c r="P48" i="3"/>
  <c r="P49" i="3"/>
  <c r="P50" i="3"/>
  <c r="P53" i="3"/>
  <c r="P54" i="3"/>
  <c r="P55" i="3"/>
  <c r="P57" i="3"/>
  <c r="P58" i="3"/>
  <c r="P59" i="3"/>
  <c r="P61" i="3"/>
  <c r="P62" i="3"/>
  <c r="P63" i="3"/>
  <c r="P64" i="3"/>
  <c r="P68" i="3"/>
  <c r="P69" i="3"/>
  <c r="P70" i="3"/>
  <c r="P71" i="3"/>
  <c r="P73" i="3"/>
  <c r="P74" i="3"/>
  <c r="P75" i="3"/>
  <c r="P76" i="3"/>
  <c r="P78" i="3"/>
  <c r="P79" i="3"/>
  <c r="P80" i="3"/>
  <c r="P81" i="3"/>
  <c r="P82" i="3"/>
  <c r="P83" i="3"/>
  <c r="P84" i="3"/>
  <c r="P85" i="3"/>
  <c r="P87" i="3"/>
  <c r="P88" i="3"/>
  <c r="P89" i="3"/>
  <c r="P90" i="3"/>
  <c r="P92" i="3"/>
  <c r="P93" i="3"/>
  <c r="P94" i="3"/>
  <c r="P95" i="3"/>
  <c r="P96" i="3"/>
  <c r="P97" i="3"/>
  <c r="P98" i="3"/>
  <c r="P99" i="3"/>
  <c r="P100" i="3"/>
  <c r="P101" i="3"/>
  <c r="P102" i="3"/>
  <c r="P104" i="3"/>
  <c r="P105" i="3"/>
  <c r="P106" i="3"/>
  <c r="P109" i="3"/>
  <c r="P110" i="3"/>
  <c r="P111" i="3"/>
  <c r="P112" i="3"/>
  <c r="P113" i="3"/>
  <c r="P114" i="3"/>
  <c r="P115" i="3"/>
  <c r="P116" i="3"/>
  <c r="P117" i="3"/>
  <c r="P118" i="3"/>
  <c r="P119" i="3"/>
  <c r="P120" i="3"/>
  <c r="P121" i="3"/>
  <c r="P122" i="3"/>
  <c r="P123" i="3"/>
  <c r="P127" i="3"/>
  <c r="P128" i="3"/>
  <c r="P129" i="3"/>
  <c r="P130" i="3"/>
  <c r="P132" i="3"/>
  <c r="P133" i="3"/>
  <c r="P134" i="3"/>
  <c r="P135" i="3"/>
  <c r="P137" i="3"/>
  <c r="P138" i="3"/>
  <c r="P142" i="3"/>
  <c r="P143" i="3"/>
  <c r="P144" i="3"/>
  <c r="P145" i="3"/>
  <c r="P146" i="3"/>
  <c r="P148" i="3"/>
  <c r="P149" i="3"/>
  <c r="P150" i="3"/>
  <c r="P151" i="3"/>
  <c r="P152" i="3"/>
  <c r="P153" i="3"/>
  <c r="P155" i="3"/>
  <c r="P156" i="3"/>
  <c r="P157" i="3"/>
  <c r="P161" i="3"/>
  <c r="P162" i="3"/>
  <c r="P163" i="3"/>
  <c r="P164" i="3"/>
  <c r="P165" i="3"/>
  <c r="P166" i="3"/>
  <c r="P167" i="3"/>
  <c r="P168" i="3"/>
  <c r="P169" i="3"/>
  <c r="P170" i="3"/>
  <c r="P171" i="3"/>
  <c r="P172" i="3"/>
  <c r="P173" i="3"/>
  <c r="P175" i="3"/>
  <c r="P176" i="3"/>
  <c r="P177" i="3"/>
  <c r="P178" i="3"/>
  <c r="P179" i="3"/>
  <c r="P180" i="3"/>
  <c r="P181" i="3"/>
  <c r="P182" i="3"/>
  <c r="P183" i="3"/>
  <c r="P184" i="3"/>
  <c r="P186" i="3"/>
  <c r="P187" i="3"/>
  <c r="P188" i="3"/>
  <c r="P189" i="3"/>
  <c r="P190" i="3"/>
  <c r="P191" i="3"/>
  <c r="P192" i="3"/>
  <c r="P194" i="3"/>
  <c r="P195" i="3"/>
  <c r="P196" i="3"/>
  <c r="P197" i="3"/>
  <c r="P198" i="3"/>
  <c r="P199" i="3"/>
  <c r="P200" i="3"/>
  <c r="P202" i="3"/>
  <c r="P203" i="3"/>
  <c r="P204" i="3"/>
  <c r="P206" i="3"/>
  <c r="P207" i="3"/>
  <c r="P208" i="3"/>
  <c r="P209" i="3"/>
  <c r="P212" i="3"/>
  <c r="P213" i="3"/>
  <c r="P214" i="3"/>
  <c r="P215" i="3"/>
  <c r="P216" i="3"/>
  <c r="P217" i="3"/>
  <c r="P219" i="3"/>
  <c r="P220" i="3"/>
  <c r="P221" i="3"/>
  <c r="P222" i="3"/>
  <c r="O127" i="3"/>
  <c r="O222" i="3"/>
  <c r="O221" i="3"/>
  <c r="O220" i="3"/>
  <c r="O219" i="3"/>
  <c r="O217" i="3"/>
  <c r="O216" i="3"/>
  <c r="O215" i="3"/>
  <c r="O214" i="3"/>
  <c r="O213" i="3"/>
  <c r="O212" i="3"/>
  <c r="O209" i="3"/>
  <c r="O208" i="3"/>
  <c r="O207" i="3"/>
  <c r="O206" i="3"/>
  <c r="O204" i="3"/>
  <c r="O203" i="3"/>
  <c r="O202" i="3"/>
  <c r="O200" i="3"/>
  <c r="O199" i="3"/>
  <c r="O198" i="3"/>
  <c r="O197" i="3"/>
  <c r="O196" i="3"/>
  <c r="O195" i="3"/>
  <c r="O194" i="3"/>
  <c r="O192" i="3"/>
  <c r="O191" i="3"/>
  <c r="O190" i="3"/>
  <c r="O189" i="3"/>
  <c r="O188" i="3"/>
  <c r="O187" i="3"/>
  <c r="O186" i="3"/>
  <c r="O184" i="3"/>
  <c r="O183" i="3"/>
  <c r="O182" i="3"/>
  <c r="O181" i="3"/>
  <c r="O180" i="3"/>
  <c r="O179" i="3"/>
  <c r="O178" i="3"/>
  <c r="O177" i="3"/>
  <c r="O176" i="3"/>
  <c r="O175" i="3"/>
  <c r="O173" i="3"/>
  <c r="O172" i="3"/>
  <c r="O171" i="3"/>
  <c r="O170" i="3"/>
  <c r="O169" i="3"/>
  <c r="O168" i="3"/>
  <c r="O167" i="3"/>
  <c r="O166" i="3"/>
  <c r="O165" i="3"/>
  <c r="O164" i="3"/>
  <c r="O163" i="3"/>
  <c r="O162" i="3"/>
  <c r="O161" i="3"/>
  <c r="O157" i="3"/>
  <c r="O156" i="3"/>
  <c r="O155" i="3"/>
  <c r="O153" i="3"/>
  <c r="O152" i="3"/>
  <c r="O151" i="3"/>
  <c r="O150" i="3"/>
  <c r="O149" i="3"/>
  <c r="O148" i="3"/>
  <c r="O146" i="3"/>
  <c r="O145" i="3"/>
  <c r="O144" i="3"/>
  <c r="O143" i="3"/>
  <c r="O142" i="3"/>
  <c r="O138" i="3"/>
  <c r="O137" i="3"/>
  <c r="O135" i="3"/>
  <c r="O134" i="3"/>
  <c r="O133" i="3"/>
  <c r="O132" i="3"/>
  <c r="O130" i="3"/>
  <c r="O129" i="3"/>
  <c r="O128" i="3"/>
  <c r="O123" i="3"/>
  <c r="O122" i="3"/>
  <c r="O121" i="3"/>
  <c r="O120" i="3"/>
  <c r="O119" i="3"/>
  <c r="O118" i="3"/>
  <c r="O117" i="3"/>
  <c r="O116" i="3"/>
  <c r="O115" i="3"/>
  <c r="O114" i="3"/>
  <c r="O113" i="3"/>
  <c r="O112" i="3"/>
  <c r="O111" i="3"/>
  <c r="O110" i="3"/>
  <c r="O109" i="3"/>
  <c r="O106" i="3"/>
  <c r="O105" i="3"/>
  <c r="O104" i="3"/>
  <c r="O102" i="3"/>
  <c r="O101" i="3"/>
  <c r="O100" i="3"/>
  <c r="O99" i="3"/>
  <c r="O98" i="3"/>
  <c r="O97" i="3"/>
  <c r="O96" i="3"/>
  <c r="O95" i="3"/>
  <c r="O94" i="3"/>
  <c r="O93" i="3"/>
  <c r="O92" i="3"/>
  <c r="O90" i="3"/>
  <c r="O89" i="3"/>
  <c r="O88" i="3"/>
  <c r="O87" i="3"/>
  <c r="O85" i="3"/>
  <c r="O84" i="3"/>
  <c r="O83" i="3"/>
  <c r="O82" i="3"/>
  <c r="O81" i="3"/>
  <c r="O80" i="3"/>
  <c r="O79" i="3"/>
  <c r="O78" i="3"/>
  <c r="O76" i="3"/>
  <c r="O75" i="3"/>
  <c r="O74" i="3"/>
  <c r="O73" i="3"/>
  <c r="O71" i="3"/>
  <c r="O70" i="3"/>
  <c r="O69" i="3"/>
  <c r="O68" i="3"/>
  <c r="O64" i="3"/>
  <c r="O63" i="3"/>
  <c r="O62" i="3"/>
  <c r="O61" i="3"/>
  <c r="O59" i="3"/>
  <c r="O58" i="3"/>
  <c r="O57" i="3"/>
  <c r="O55" i="3"/>
  <c r="O54" i="3"/>
  <c r="O53" i="3"/>
  <c r="O50" i="3"/>
  <c r="O49" i="3"/>
  <c r="O48" i="3"/>
  <c r="O47" i="3"/>
  <c r="O46" i="3"/>
  <c r="O45" i="3"/>
  <c r="O44" i="3"/>
  <c r="O43" i="3"/>
  <c r="O42" i="3"/>
  <c r="O40" i="3"/>
  <c r="O39" i="3"/>
  <c r="O38" i="3"/>
  <c r="O37" i="3"/>
  <c r="O36" i="3"/>
  <c r="O34" i="3"/>
  <c r="O33" i="3"/>
  <c r="O32" i="3"/>
  <c r="O31" i="3"/>
  <c r="O30" i="3"/>
  <c r="O28" i="3"/>
  <c r="O27" i="3"/>
  <c r="O26" i="3"/>
  <c r="O25" i="3"/>
  <c r="O24" i="3"/>
  <c r="O23" i="3"/>
  <c r="O22" i="3"/>
  <c r="O20" i="3"/>
  <c r="O19" i="3"/>
  <c r="O18" i="3"/>
  <c r="Q67" i="3" l="1"/>
  <c r="R140" i="3"/>
  <c r="R139" i="3" s="1"/>
  <c r="R125" i="3"/>
  <c r="R124" i="3" s="1"/>
  <c r="R66" i="3"/>
  <c r="R65" i="3" s="1"/>
  <c r="R51" i="3"/>
  <c r="Q205" i="3"/>
  <c r="Q136" i="3"/>
  <c r="Q126" i="3"/>
  <c r="Q56" i="3"/>
  <c r="Q17" i="3"/>
  <c r="P193" i="3"/>
  <c r="Q211" i="3"/>
  <c r="P108" i="3"/>
  <c r="P107" i="3" s="1"/>
  <c r="P52" i="3"/>
  <c r="P9" i="3"/>
  <c r="Q91" i="3"/>
  <c r="Q86" i="3"/>
  <c r="Q174" i="3"/>
  <c r="Q41" i="3"/>
  <c r="P174" i="3"/>
  <c r="P72" i="3"/>
  <c r="P60" i="3"/>
  <c r="P35" i="3"/>
  <c r="P21" i="3"/>
  <c r="Q154" i="3"/>
  <c r="Q141" i="3"/>
  <c r="Q185" i="3"/>
  <c r="Q160" i="3"/>
  <c r="Q103" i="3"/>
  <c r="Q77" i="3"/>
  <c r="Q72" i="3"/>
  <c r="Q60" i="3"/>
  <c r="Q35" i="3"/>
  <c r="Q21" i="3"/>
  <c r="Q193" i="3"/>
  <c r="Q131" i="3"/>
  <c r="Q108" i="3"/>
  <c r="Q107" i="3" s="1"/>
  <c r="Q29" i="3"/>
  <c r="P136" i="3"/>
  <c r="P126" i="3"/>
  <c r="P56" i="3"/>
  <c r="P17" i="3"/>
  <c r="Q218" i="3"/>
  <c r="Q201" i="3"/>
  <c r="Q147" i="3"/>
  <c r="Q52" i="3"/>
  <c r="Q9" i="3"/>
  <c r="P41" i="3"/>
  <c r="P91" i="3"/>
  <c r="P86" i="3"/>
  <c r="P141" i="3"/>
  <c r="P218" i="3"/>
  <c r="P201" i="3"/>
  <c r="P154" i="3"/>
  <c r="P211" i="3"/>
  <c r="P205" i="3"/>
  <c r="P160" i="3"/>
  <c r="P103" i="3"/>
  <c r="P77" i="3"/>
  <c r="P67" i="3"/>
  <c r="P185" i="3"/>
  <c r="P131" i="3"/>
  <c r="P29" i="3"/>
  <c r="P147" i="3"/>
  <c r="O136" i="3"/>
  <c r="O201" i="3"/>
  <c r="O108" i="3"/>
  <c r="O107" i="3" s="1"/>
  <c r="O193" i="3"/>
  <c r="O218" i="3"/>
  <c r="O126" i="3"/>
  <c r="O147" i="3"/>
  <c r="O185" i="3"/>
  <c r="O29" i="3"/>
  <c r="O77" i="3"/>
  <c r="O91" i="3"/>
  <c r="O131" i="3"/>
  <c r="O141" i="3"/>
  <c r="O160" i="3"/>
  <c r="O205" i="3"/>
  <c r="O211" i="3"/>
  <c r="O67" i="3"/>
  <c r="O86" i="3"/>
  <c r="O154" i="3"/>
  <c r="O174" i="3"/>
  <c r="O41" i="3"/>
  <c r="O103" i="3"/>
  <c r="O21" i="3"/>
  <c r="O52" i="3"/>
  <c r="O60" i="3"/>
  <c r="O72" i="3"/>
  <c r="O35" i="3"/>
  <c r="O56" i="3"/>
  <c r="Q125" i="3" l="1"/>
  <c r="Q124" i="3" s="1"/>
  <c r="P125" i="3"/>
  <c r="P124" i="3" s="1"/>
  <c r="Q51" i="3"/>
  <c r="Q210" i="3"/>
  <c r="P210" i="3"/>
  <c r="Q140" i="3"/>
  <c r="Q139" i="3" s="1"/>
  <c r="O140" i="3"/>
  <c r="Q8" i="3"/>
  <c r="Q66" i="3"/>
  <c r="Q65" i="3" s="1"/>
  <c r="Q159" i="3"/>
  <c r="O210" i="3"/>
  <c r="P8" i="3"/>
  <c r="P140" i="3"/>
  <c r="P139" i="3" s="1"/>
  <c r="P66" i="3"/>
  <c r="P65" i="3" s="1"/>
  <c r="P159" i="3"/>
  <c r="P51" i="3"/>
  <c r="O125" i="3"/>
  <c r="O124" i="3" s="1"/>
  <c r="O159" i="3"/>
  <c r="O51" i="3"/>
  <c r="O158" i="3" l="1"/>
  <c r="Q7" i="3"/>
  <c r="P158" i="3"/>
  <c r="Q158" i="3"/>
  <c r="P7" i="3"/>
  <c r="P223" i="3" l="1"/>
  <c r="Q223" i="3"/>
  <c r="O17" i="3"/>
  <c r="O11" i="3"/>
  <c r="O12" i="3"/>
  <c r="O13" i="3"/>
  <c r="O14" i="3"/>
  <c r="O15" i="3"/>
  <c r="O16" i="3"/>
  <c r="O10" i="3"/>
  <c r="O9" i="3" l="1"/>
  <c r="A3" i="3" l="1"/>
  <c r="F211" i="21"/>
  <c r="E211" i="21"/>
  <c r="D211" i="21"/>
  <c r="C211" i="21"/>
  <c r="C210" i="21"/>
  <c r="D210" i="21" s="1"/>
  <c r="CA209" i="21"/>
  <c r="CE209" i="21" s="1"/>
  <c r="D209" i="21"/>
  <c r="CB209" i="21" s="1"/>
  <c r="CF209" i="21" s="1"/>
  <c r="C209" i="21"/>
  <c r="C208" i="21"/>
  <c r="D208" i="21" s="1"/>
  <c r="C207" i="21"/>
  <c r="D207" i="21" s="1"/>
  <c r="CN206" i="21"/>
  <c r="CM206" i="21"/>
  <c r="CL206" i="21"/>
  <c r="BZ206" i="21"/>
  <c r="BY206" i="21"/>
  <c r="BX206" i="21"/>
  <c r="BW206" i="21"/>
  <c r="BV206" i="21"/>
  <c r="BU206" i="21"/>
  <c r="BT206" i="21"/>
  <c r="BS206" i="21"/>
  <c r="BR206" i="21"/>
  <c r="BQ206" i="21"/>
  <c r="BP206" i="21"/>
  <c r="BO206" i="21"/>
  <c r="BN206" i="21"/>
  <c r="BM206" i="21"/>
  <c r="BJ206" i="21"/>
  <c r="BI206" i="21"/>
  <c r="BH206" i="21"/>
  <c r="BG206" i="21"/>
  <c r="BF206" i="21"/>
  <c r="BE206" i="21"/>
  <c r="BD206" i="21"/>
  <c r="BC206" i="21"/>
  <c r="BB206" i="21"/>
  <c r="BA206" i="21"/>
  <c r="AZ206" i="21"/>
  <c r="AY206" i="21"/>
  <c r="AX206" i="21"/>
  <c r="AW206" i="21"/>
  <c r="AV206" i="21"/>
  <c r="AU206" i="21"/>
  <c r="AP206" i="21"/>
  <c r="AO206" i="21"/>
  <c r="AN206" i="21"/>
  <c r="AM206" i="21"/>
  <c r="AH206" i="21"/>
  <c r="AG206" i="21"/>
  <c r="AF206" i="21"/>
  <c r="AE206" i="21"/>
  <c r="AD206" i="21"/>
  <c r="AC206" i="21"/>
  <c r="AB206" i="21"/>
  <c r="AA206" i="21"/>
  <c r="Z206" i="21"/>
  <c r="Y206" i="21"/>
  <c r="X206" i="21"/>
  <c r="W206" i="21"/>
  <c r="V206" i="21"/>
  <c r="U206" i="21"/>
  <c r="T206" i="21"/>
  <c r="S206" i="21"/>
  <c r="R206" i="21"/>
  <c r="Q206" i="21"/>
  <c r="P206" i="21"/>
  <c r="O206" i="21"/>
  <c r="N206" i="21"/>
  <c r="M206" i="21"/>
  <c r="L206" i="21"/>
  <c r="K206" i="21"/>
  <c r="J206" i="21"/>
  <c r="I206" i="21"/>
  <c r="H206" i="21"/>
  <c r="G206" i="21"/>
  <c r="D205" i="21"/>
  <c r="E205" i="21" s="1"/>
  <c r="C205" i="21"/>
  <c r="CA205" i="21" s="1"/>
  <c r="CE205" i="21" s="1"/>
  <c r="C204" i="21"/>
  <c r="CA204" i="21" s="1"/>
  <c r="CE204" i="21" s="1"/>
  <c r="C203" i="21"/>
  <c r="CA203" i="21" s="1"/>
  <c r="CE203" i="21" s="1"/>
  <c r="C202" i="21"/>
  <c r="CA202" i="21" s="1"/>
  <c r="CE202" i="21" s="1"/>
  <c r="D201" i="21"/>
  <c r="E201" i="21" s="1"/>
  <c r="C201" i="21"/>
  <c r="CA201" i="21" s="1"/>
  <c r="CE201" i="21" s="1"/>
  <c r="C200" i="21"/>
  <c r="CA200" i="21" s="1"/>
  <c r="CN199" i="21"/>
  <c r="CM199" i="21"/>
  <c r="CL199" i="21"/>
  <c r="BZ199" i="21"/>
  <c r="BY199" i="21"/>
  <c r="BX199" i="21"/>
  <c r="BW199" i="21"/>
  <c r="BV199" i="21"/>
  <c r="BU199" i="21"/>
  <c r="BT199" i="21"/>
  <c r="BS199" i="21"/>
  <c r="BR199" i="21"/>
  <c r="BQ199" i="21"/>
  <c r="BP199" i="21"/>
  <c r="BO199" i="21"/>
  <c r="BN199" i="21"/>
  <c r="BM199" i="21"/>
  <c r="BL199" i="21"/>
  <c r="BK199" i="21"/>
  <c r="BF199" i="21"/>
  <c r="BE199" i="21"/>
  <c r="BD199" i="21"/>
  <c r="BC199" i="21"/>
  <c r="BB199" i="21"/>
  <c r="BA199" i="21"/>
  <c r="AZ199" i="21"/>
  <c r="AY199" i="21"/>
  <c r="AX199" i="21"/>
  <c r="AW199" i="21"/>
  <c r="AV199" i="21"/>
  <c r="AU199" i="21"/>
  <c r="AT199" i="21"/>
  <c r="AS199" i="21"/>
  <c r="AR199" i="21"/>
  <c r="AQ199" i="21"/>
  <c r="AP199" i="21"/>
  <c r="AO199" i="21"/>
  <c r="AN199" i="21"/>
  <c r="AM199" i="21"/>
  <c r="AH199" i="21"/>
  <c r="AG199" i="21"/>
  <c r="AF199" i="21"/>
  <c r="AE199" i="21"/>
  <c r="AD199" i="21"/>
  <c r="AC199" i="21"/>
  <c r="AB199" i="21"/>
  <c r="AA199" i="21"/>
  <c r="Z199" i="21"/>
  <c r="Y199" i="21"/>
  <c r="X199" i="21"/>
  <c r="W199" i="21"/>
  <c r="V199" i="21"/>
  <c r="U199" i="21"/>
  <c r="T199" i="21"/>
  <c r="S199" i="21"/>
  <c r="R199" i="21"/>
  <c r="Q199" i="21"/>
  <c r="P199" i="21"/>
  <c r="O199" i="21"/>
  <c r="N199" i="21"/>
  <c r="M199" i="21"/>
  <c r="L199" i="21"/>
  <c r="K199" i="21"/>
  <c r="J199" i="21"/>
  <c r="I199" i="21"/>
  <c r="H199" i="21"/>
  <c r="G199" i="21"/>
  <c r="CA198" i="21"/>
  <c r="CE198" i="21" s="1"/>
  <c r="C198" i="21"/>
  <c r="D198" i="21" s="1"/>
  <c r="CB198" i="21" s="1"/>
  <c r="CF198" i="21" s="1"/>
  <c r="C197" i="21"/>
  <c r="D197" i="21" s="1"/>
  <c r="C196" i="21"/>
  <c r="D196" i="21" s="1"/>
  <c r="C195" i="21"/>
  <c r="D195" i="21" s="1"/>
  <c r="CN194" i="21"/>
  <c r="CM194" i="21"/>
  <c r="CL194" i="21"/>
  <c r="BZ194" i="21"/>
  <c r="BY194" i="21"/>
  <c r="BX194" i="21"/>
  <c r="BW194" i="21"/>
  <c r="BV194" i="21"/>
  <c r="BU194" i="21"/>
  <c r="BT194" i="21"/>
  <c r="BS194" i="21"/>
  <c r="BR194" i="21"/>
  <c r="BQ194" i="21"/>
  <c r="BP194" i="21"/>
  <c r="BO194" i="21"/>
  <c r="BN194" i="21"/>
  <c r="BM194" i="21"/>
  <c r="BL194" i="21"/>
  <c r="BK194" i="21"/>
  <c r="BJ194" i="21"/>
  <c r="BI194" i="21"/>
  <c r="BH194" i="21"/>
  <c r="BG194" i="21"/>
  <c r="BF194" i="21"/>
  <c r="BE194" i="21"/>
  <c r="BD194" i="21"/>
  <c r="BC194" i="21"/>
  <c r="BB194" i="21"/>
  <c r="BA194" i="21"/>
  <c r="AZ194" i="21"/>
  <c r="AY194" i="21"/>
  <c r="AX194" i="21"/>
  <c r="AW194" i="21"/>
  <c r="AV194" i="21"/>
  <c r="AU194" i="21"/>
  <c r="AP194" i="21"/>
  <c r="AO194" i="21"/>
  <c r="AN194" i="21"/>
  <c r="AM194" i="21"/>
  <c r="AH194" i="21"/>
  <c r="AG194" i="21"/>
  <c r="AF194" i="21"/>
  <c r="AE194" i="21"/>
  <c r="AD194" i="21"/>
  <c r="AC194" i="21"/>
  <c r="AB194" i="21"/>
  <c r="AA194" i="21"/>
  <c r="Z194" i="21"/>
  <c r="Y194" i="21"/>
  <c r="X194" i="21"/>
  <c r="W194" i="21"/>
  <c r="V194" i="21"/>
  <c r="U194" i="21"/>
  <c r="T194" i="21"/>
  <c r="S194" i="21"/>
  <c r="R194" i="21"/>
  <c r="Q194" i="21"/>
  <c r="P194" i="21"/>
  <c r="O194" i="21"/>
  <c r="N194" i="21"/>
  <c r="M194" i="21"/>
  <c r="L194" i="21"/>
  <c r="K194" i="21"/>
  <c r="J194" i="21"/>
  <c r="I194" i="21"/>
  <c r="H194" i="21"/>
  <c r="G194" i="21"/>
  <c r="C193" i="21"/>
  <c r="D193" i="21" s="1"/>
  <c r="C192" i="21"/>
  <c r="CA192" i="21" s="1"/>
  <c r="CE192" i="21" s="1"/>
  <c r="C191" i="21"/>
  <c r="D191" i="21" s="1"/>
  <c r="E191" i="21" s="1"/>
  <c r="CN190" i="21"/>
  <c r="CM190" i="21"/>
  <c r="CL190" i="21"/>
  <c r="BZ190" i="21"/>
  <c r="BY190" i="21"/>
  <c r="BX190" i="21"/>
  <c r="BW190" i="21"/>
  <c r="BV190" i="21"/>
  <c r="BU190" i="21"/>
  <c r="BT190" i="21"/>
  <c r="BS190" i="21"/>
  <c r="BR190" i="21"/>
  <c r="BQ190" i="21"/>
  <c r="BP190" i="21"/>
  <c r="BO190" i="21"/>
  <c r="BN190" i="21"/>
  <c r="BM190" i="21"/>
  <c r="BL190" i="21"/>
  <c r="BK190" i="21"/>
  <c r="BJ190" i="21"/>
  <c r="BI190" i="21"/>
  <c r="BH190" i="21"/>
  <c r="BG190" i="21"/>
  <c r="BF190" i="21"/>
  <c r="BE190" i="21"/>
  <c r="BD190" i="21"/>
  <c r="BC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C189" i="21"/>
  <c r="C188" i="21"/>
  <c r="D188" i="21" s="1"/>
  <c r="C187" i="21"/>
  <c r="CA186" i="21"/>
  <c r="CE186" i="21" s="1"/>
  <c r="C186" i="21"/>
  <c r="D186" i="21" s="1"/>
  <c r="CH185" i="21"/>
  <c r="C185" i="21"/>
  <c r="CA185" i="21" s="1"/>
  <c r="CE185" i="21" s="1"/>
  <c r="C184" i="21"/>
  <c r="CA184" i="21" s="1"/>
  <c r="CE184" i="21" s="1"/>
  <c r="D183" i="21"/>
  <c r="E183" i="21" s="1"/>
  <c r="C183" i="21"/>
  <c r="CA183" i="21" s="1"/>
  <c r="CE183" i="21" s="1"/>
  <c r="C182" i="21"/>
  <c r="CA182" i="21" s="1"/>
  <c r="CN181" i="21"/>
  <c r="CH181" i="21" s="1"/>
  <c r="CM181" i="21"/>
  <c r="CL181" i="21"/>
  <c r="BZ181" i="21"/>
  <c r="BY181" i="21"/>
  <c r="BX181" i="21"/>
  <c r="BW181" i="21"/>
  <c r="BV181" i="21"/>
  <c r="BU181" i="21"/>
  <c r="BT181" i="21"/>
  <c r="BS181" i="21"/>
  <c r="BR181" i="21"/>
  <c r="BQ181" i="21"/>
  <c r="BP181" i="21"/>
  <c r="BO181" i="21"/>
  <c r="BN181" i="21"/>
  <c r="BM181" i="21"/>
  <c r="BL181" i="21"/>
  <c r="BK181" i="21"/>
  <c r="BJ181" i="21"/>
  <c r="BI181" i="21"/>
  <c r="BH181" i="21"/>
  <c r="BG181" i="21"/>
  <c r="BF181" i="21"/>
  <c r="BE181" i="21"/>
  <c r="BD181" i="21"/>
  <c r="BC181" i="21"/>
  <c r="BB181" i="21"/>
  <c r="BA181" i="21"/>
  <c r="AZ181" i="21"/>
  <c r="AY181" i="21"/>
  <c r="AX181" i="21"/>
  <c r="AW181" i="21"/>
  <c r="AV181" i="21"/>
  <c r="AU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C180" i="21"/>
  <c r="CA180" i="21" s="1"/>
  <c r="CE180" i="21" s="1"/>
  <c r="C179" i="21"/>
  <c r="CA178" i="21"/>
  <c r="CE178" i="21" s="1"/>
  <c r="C178" i="21"/>
  <c r="C177" i="21"/>
  <c r="C176" i="21"/>
  <c r="CA176" i="21" s="1"/>
  <c r="CE176" i="21" s="1"/>
  <c r="C175" i="21"/>
  <c r="CA174" i="21"/>
  <c r="C174" i="21"/>
  <c r="D174" i="21" s="1"/>
  <c r="CN173" i="21"/>
  <c r="CM173" i="21"/>
  <c r="CL173" i="21"/>
  <c r="BZ173" i="21"/>
  <c r="BY173" i="21"/>
  <c r="BX173" i="21"/>
  <c r="BW173" i="21"/>
  <c r="BV173" i="21"/>
  <c r="BU173" i="21"/>
  <c r="BT173" i="21"/>
  <c r="BS173" i="21"/>
  <c r="BR173" i="21"/>
  <c r="BQ173" i="21"/>
  <c r="BP173" i="21"/>
  <c r="BO173" i="21"/>
  <c r="BN173" i="21"/>
  <c r="BM173" i="21"/>
  <c r="BL173" i="21"/>
  <c r="BK173" i="21"/>
  <c r="BJ173" i="21"/>
  <c r="BI173" i="21"/>
  <c r="BH173" i="21"/>
  <c r="BG173" i="21"/>
  <c r="BF173" i="21"/>
  <c r="BE173" i="21"/>
  <c r="BD173" i="21"/>
  <c r="BC173" i="21"/>
  <c r="BB173" i="21"/>
  <c r="BA173" i="21"/>
  <c r="AZ173" i="21"/>
  <c r="AY173" i="21"/>
  <c r="AX173" i="21"/>
  <c r="AW173" i="21"/>
  <c r="AV173" i="21"/>
  <c r="AU173" i="21"/>
  <c r="AT173" i="21"/>
  <c r="AS173" i="21"/>
  <c r="AR173" i="21"/>
  <c r="AQ173" i="21"/>
  <c r="AP173" i="21"/>
  <c r="AO173" i="21"/>
  <c r="AN173" i="21"/>
  <c r="AM173" i="21"/>
  <c r="AH173" i="21"/>
  <c r="AG173" i="21"/>
  <c r="AF173" i="21"/>
  <c r="AD173" i="21"/>
  <c r="AC173" i="21"/>
  <c r="AB173" i="21"/>
  <c r="AA173" i="21"/>
  <c r="Z173" i="21"/>
  <c r="Y173" i="21"/>
  <c r="X173" i="21"/>
  <c r="W173" i="21"/>
  <c r="V173" i="21"/>
  <c r="U173" i="21"/>
  <c r="T173" i="21"/>
  <c r="S173" i="21"/>
  <c r="J173" i="21"/>
  <c r="I173" i="21"/>
  <c r="H173" i="21"/>
  <c r="G173" i="21"/>
  <c r="C172" i="21"/>
  <c r="CA172" i="21" s="1"/>
  <c r="CE172" i="21" s="1"/>
  <c r="C171" i="21"/>
  <c r="D171" i="21" s="1"/>
  <c r="CB171" i="21" s="1"/>
  <c r="CF171" i="21" s="1"/>
  <c r="C170" i="21"/>
  <c r="CA170" i="21" s="1"/>
  <c r="CE170" i="21" s="1"/>
  <c r="C169" i="21"/>
  <c r="D169" i="21" s="1"/>
  <c r="CB169" i="21" s="1"/>
  <c r="CF169" i="21" s="1"/>
  <c r="C168" i="21"/>
  <c r="CA168" i="21" s="1"/>
  <c r="CE168" i="21" s="1"/>
  <c r="E167" i="21"/>
  <c r="C167" i="21"/>
  <c r="D167" i="21" s="1"/>
  <c r="CB167" i="21" s="1"/>
  <c r="CF167" i="21" s="1"/>
  <c r="D166" i="21"/>
  <c r="C166" i="21"/>
  <c r="CA166" i="21" s="1"/>
  <c r="CE166" i="21" s="1"/>
  <c r="CB165" i="21"/>
  <c r="CF165" i="21" s="1"/>
  <c r="E165" i="21"/>
  <c r="C165" i="21"/>
  <c r="D165" i="21" s="1"/>
  <c r="D164" i="21"/>
  <c r="C164" i="21"/>
  <c r="CA164" i="21" s="1"/>
  <c r="C163" i="21"/>
  <c r="D163" i="21" s="1"/>
  <c r="E163" i="21" s="1"/>
  <c r="CN162" i="21"/>
  <c r="CM162" i="21"/>
  <c r="CL162" i="21"/>
  <c r="BZ162" i="21"/>
  <c r="BY162" i="21"/>
  <c r="BX162" i="21"/>
  <c r="BW162" i="21"/>
  <c r="BR162" i="21"/>
  <c r="BQ162" i="21"/>
  <c r="BP162" i="21"/>
  <c r="BO162" i="21"/>
  <c r="BN162" i="21"/>
  <c r="BM162" i="21"/>
  <c r="BL162" i="21"/>
  <c r="BK162" i="21"/>
  <c r="BJ162" i="21"/>
  <c r="BI162" i="21"/>
  <c r="BH162" i="21"/>
  <c r="BG162" i="21"/>
  <c r="BF162" i="21"/>
  <c r="BE162" i="21"/>
  <c r="BD162" i="21"/>
  <c r="BC162" i="21"/>
  <c r="BB162" i="21"/>
  <c r="BA162" i="21"/>
  <c r="AZ162" i="21"/>
  <c r="AY162" i="21"/>
  <c r="AX162" i="21"/>
  <c r="AW162" i="21"/>
  <c r="AV162" i="21"/>
  <c r="AU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C161" i="21"/>
  <c r="CA160" i="21"/>
  <c r="CE160" i="21" s="1"/>
  <c r="C160" i="21"/>
  <c r="D160" i="21" s="1"/>
  <c r="C159" i="21"/>
  <c r="C158" i="21"/>
  <c r="D158" i="21" s="1"/>
  <c r="C157" i="21"/>
  <c r="C156" i="21"/>
  <c r="CA156" i="21" s="1"/>
  <c r="CE156" i="21" s="1"/>
  <c r="C155" i="21"/>
  <c r="C154" i="21"/>
  <c r="D154" i="21" s="1"/>
  <c r="C153" i="21"/>
  <c r="C152" i="21"/>
  <c r="CA152" i="21" s="1"/>
  <c r="CE152" i="21" s="1"/>
  <c r="C151" i="21"/>
  <c r="C150" i="21"/>
  <c r="D150" i="21" s="1"/>
  <c r="C149" i="21"/>
  <c r="C148" i="21"/>
  <c r="CA148" i="21" s="1"/>
  <c r="CN147" i="21"/>
  <c r="CM147" i="21"/>
  <c r="CL147" i="21"/>
  <c r="BZ147" i="21"/>
  <c r="BY147" i="21"/>
  <c r="BX147" i="21"/>
  <c r="BW147" i="21"/>
  <c r="BR147" i="21"/>
  <c r="BQ147" i="21"/>
  <c r="BP147" i="21"/>
  <c r="BO147" i="21"/>
  <c r="BN147" i="21"/>
  <c r="BM147" i="21"/>
  <c r="BL147" i="21"/>
  <c r="BK147" i="21"/>
  <c r="BJ147" i="21"/>
  <c r="BI147" i="21"/>
  <c r="BH147" i="21"/>
  <c r="BG147" i="21"/>
  <c r="BF147" i="21"/>
  <c r="BE147" i="21"/>
  <c r="BD147" i="21"/>
  <c r="BC147" i="21"/>
  <c r="BB147" i="21"/>
  <c r="BA147" i="21"/>
  <c r="AZ147" i="21"/>
  <c r="AY147" i="21"/>
  <c r="AP147" i="21"/>
  <c r="AO147" i="21"/>
  <c r="AN147" i="21"/>
  <c r="AM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C145" i="21"/>
  <c r="CA145" i="21" s="1"/>
  <c r="CE145" i="21" s="1"/>
  <c r="CN143" i="21"/>
  <c r="CM143" i="21"/>
  <c r="CL143" i="21"/>
  <c r="CF143" i="21" s="1"/>
  <c r="BZ143" i="21"/>
  <c r="BY143" i="21"/>
  <c r="BX143" i="21"/>
  <c r="BW143" i="21"/>
  <c r="BV143" i="21"/>
  <c r="BU143" i="21"/>
  <c r="BT143" i="21"/>
  <c r="BS143" i="21"/>
  <c r="BR143" i="21"/>
  <c r="BQ143" i="21"/>
  <c r="BP143" i="21"/>
  <c r="BO143" i="21"/>
  <c r="BN143" i="21"/>
  <c r="BM143" i="21"/>
  <c r="BL143" i="21"/>
  <c r="BK143" i="21"/>
  <c r="BJ143" i="21"/>
  <c r="BI143" i="21"/>
  <c r="BH143" i="21"/>
  <c r="BG143" i="21"/>
  <c r="BF143" i="21"/>
  <c r="BE143" i="21"/>
  <c r="BD143" i="21"/>
  <c r="BC143" i="21"/>
  <c r="BB143" i="21"/>
  <c r="BA143" i="21"/>
  <c r="AZ143" i="21"/>
  <c r="AY143" i="21"/>
  <c r="AX143" i="21"/>
  <c r="AW143" i="21"/>
  <c r="AV143" i="21"/>
  <c r="AU143" i="21"/>
  <c r="AT143" i="21"/>
  <c r="AS143" i="21"/>
  <c r="AR143" i="21"/>
  <c r="AQ143" i="21"/>
  <c r="AP143" i="21"/>
  <c r="AO143" i="21"/>
  <c r="AN143" i="21"/>
  <c r="AM143" i="21"/>
  <c r="AL143" i="21"/>
  <c r="AK143" i="21"/>
  <c r="AJ143" i="21"/>
  <c r="AH143" i="21"/>
  <c r="AG143" i="21"/>
  <c r="AF143" i="21"/>
  <c r="AE143" i="21"/>
  <c r="AD143" i="21"/>
  <c r="AC143" i="21"/>
  <c r="AB143" i="21"/>
  <c r="AA143" i="21"/>
  <c r="Y143" i="21"/>
  <c r="X143" i="21"/>
  <c r="W143" i="21"/>
  <c r="V143" i="21"/>
  <c r="U143" i="21"/>
  <c r="S143" i="21"/>
  <c r="R143" i="21"/>
  <c r="Q143" i="21"/>
  <c r="P143" i="21"/>
  <c r="O143" i="21"/>
  <c r="N143" i="21"/>
  <c r="M143" i="21"/>
  <c r="L143" i="21"/>
  <c r="K143" i="21"/>
  <c r="J143" i="21"/>
  <c r="I143" i="21"/>
  <c r="H143" i="21"/>
  <c r="G143" i="21"/>
  <c r="B143" i="21"/>
  <c r="B211" i="21" s="1"/>
  <c r="C142" i="21"/>
  <c r="CA142" i="21" s="1"/>
  <c r="CE142" i="21" s="1"/>
  <c r="D141" i="21"/>
  <c r="CB141" i="21" s="1"/>
  <c r="CF141" i="21" s="1"/>
  <c r="C141" i="21"/>
  <c r="CA141" i="21" s="1"/>
  <c r="CE141" i="21" s="1"/>
  <c r="C140" i="21"/>
  <c r="CA140" i="21" s="1"/>
  <c r="CE140" i="21" s="1"/>
  <c r="D139" i="21"/>
  <c r="CB139" i="21" s="1"/>
  <c r="CF139" i="21" s="1"/>
  <c r="C139" i="21"/>
  <c r="CA139" i="21" s="1"/>
  <c r="CE139" i="21" s="1"/>
  <c r="C138" i="21"/>
  <c r="CA138" i="21" s="1"/>
  <c r="CE138" i="21" s="1"/>
  <c r="D137" i="21"/>
  <c r="CB137" i="21" s="1"/>
  <c r="C137" i="21"/>
  <c r="CA137" i="21" s="1"/>
  <c r="CE137" i="21" s="1"/>
  <c r="CN136" i="21"/>
  <c r="CM136" i="21"/>
  <c r="CL136" i="21"/>
  <c r="BZ136" i="21"/>
  <c r="BY136" i="21"/>
  <c r="BX136" i="21"/>
  <c r="BW136" i="21"/>
  <c r="BV136" i="21"/>
  <c r="BU136" i="21"/>
  <c r="BT136" i="21"/>
  <c r="BS136" i="21"/>
  <c r="BR136" i="21"/>
  <c r="BQ136" i="21"/>
  <c r="BP136"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T136" i="21"/>
  <c r="AS136" i="21"/>
  <c r="AR136" i="21"/>
  <c r="AQ136" i="21"/>
  <c r="AP136" i="21"/>
  <c r="AO136" i="21"/>
  <c r="AN136" i="21"/>
  <c r="AM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CA135" i="21"/>
  <c r="CE135" i="21" s="1"/>
  <c r="C135" i="21"/>
  <c r="D135" i="21" s="1"/>
  <c r="E135" i="21" s="1"/>
  <c r="C134" i="21"/>
  <c r="CA134" i="21" s="1"/>
  <c r="CE134" i="21" s="1"/>
  <c r="CC133" i="21"/>
  <c r="CG133" i="21" s="1"/>
  <c r="D133" i="21"/>
  <c r="E133" i="21" s="1"/>
  <c r="F133" i="21" s="1"/>
  <c r="CD133" i="21" s="1"/>
  <c r="CH133" i="21" s="1"/>
  <c r="C133" i="21"/>
  <c r="CA133" i="21" s="1"/>
  <c r="CE133" i="21" s="1"/>
  <c r="C132" i="21"/>
  <c r="CA132" i="21" s="1"/>
  <c r="CE132" i="21" s="1"/>
  <c r="C131" i="21"/>
  <c r="CA131" i="21" s="1"/>
  <c r="CE131" i="21" s="1"/>
  <c r="CN130" i="21"/>
  <c r="CM130" i="21"/>
  <c r="CL130" i="21"/>
  <c r="BZ130" i="21"/>
  <c r="BY130" i="21"/>
  <c r="BX130" i="21"/>
  <c r="BW130" i="21"/>
  <c r="BV130" i="21"/>
  <c r="BU130" i="21"/>
  <c r="BT130" i="21"/>
  <c r="BS130" i="21"/>
  <c r="BR130" i="21"/>
  <c r="BQ130" i="21"/>
  <c r="BP130" i="21"/>
  <c r="BO130" i="21"/>
  <c r="BN130" i="21"/>
  <c r="BM130" i="21"/>
  <c r="BL130" i="21"/>
  <c r="BK130" i="21"/>
  <c r="BJ130" i="21"/>
  <c r="BI130" i="21"/>
  <c r="BH130" i="21"/>
  <c r="BG130" i="21"/>
  <c r="BF130" i="21"/>
  <c r="BE130" i="21"/>
  <c r="BD130" i="21"/>
  <c r="BC130" i="21"/>
  <c r="BB130" i="21"/>
  <c r="BA130" i="21"/>
  <c r="AZ130" i="21"/>
  <c r="AY130" i="21"/>
  <c r="AX130" i="21"/>
  <c r="AW130" i="21"/>
  <c r="AV130" i="21"/>
  <c r="AU130" i="21"/>
  <c r="AT130" i="21"/>
  <c r="AS130" i="21"/>
  <c r="AR130" i="21"/>
  <c r="AQ130" i="21"/>
  <c r="AP130" i="21"/>
  <c r="AO130" i="21"/>
  <c r="AN130" i="21"/>
  <c r="AM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CA129" i="21"/>
  <c r="CE129" i="21" s="1"/>
  <c r="C129" i="21"/>
  <c r="D129" i="21" s="1"/>
  <c r="C128" i="21"/>
  <c r="D128" i="21" s="1"/>
  <c r="E128" i="21" s="1"/>
  <c r="CN127" i="21"/>
  <c r="CM127" i="21"/>
  <c r="CL127" i="21"/>
  <c r="BZ127" i="21"/>
  <c r="BY127" i="21"/>
  <c r="BX127" i="21"/>
  <c r="BW127" i="21"/>
  <c r="BV127" i="21"/>
  <c r="BU127" i="21"/>
  <c r="BT127" i="21"/>
  <c r="BS127" i="21"/>
  <c r="BR127" i="21"/>
  <c r="BQ127" i="21"/>
  <c r="BP127" i="21"/>
  <c r="BO127" i="21"/>
  <c r="BN127" i="21"/>
  <c r="BM127" i="21"/>
  <c r="BL127" i="21"/>
  <c r="BK127" i="21"/>
  <c r="BJ127" i="21"/>
  <c r="BI127" i="21"/>
  <c r="BH127" i="21"/>
  <c r="BG127" i="21"/>
  <c r="BF127" i="21"/>
  <c r="BE127" i="21"/>
  <c r="BD127" i="21"/>
  <c r="BC127" i="21"/>
  <c r="BB127" i="21"/>
  <c r="BA127" i="21"/>
  <c r="AZ127" i="21"/>
  <c r="AY127" i="21"/>
  <c r="AX127" i="21"/>
  <c r="AW127" i="21"/>
  <c r="AV127" i="21"/>
  <c r="AU127" i="21"/>
  <c r="AT127" i="21"/>
  <c r="AS127" i="21"/>
  <c r="AR127" i="21"/>
  <c r="AQ127" i="21"/>
  <c r="AP127" i="21"/>
  <c r="AO127" i="21"/>
  <c r="AN127" i="21"/>
  <c r="AM127" i="21"/>
  <c r="AL127" i="21"/>
  <c r="AK127" i="21"/>
  <c r="AJ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CA126" i="21"/>
  <c r="CE126" i="21" s="1"/>
  <c r="D126" i="21"/>
  <c r="CB126" i="21" s="1"/>
  <c r="CF126" i="21" s="1"/>
  <c r="C126" i="21"/>
  <c r="C125" i="21"/>
  <c r="CA124" i="21"/>
  <c r="CE124" i="21" s="1"/>
  <c r="D124" i="21"/>
  <c r="CB124" i="21" s="1"/>
  <c r="CF124" i="21" s="1"/>
  <c r="C124" i="21"/>
  <c r="C123" i="21"/>
  <c r="CN122" i="21"/>
  <c r="CM122" i="21"/>
  <c r="CL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C121" i="21"/>
  <c r="CA120" i="21"/>
  <c r="CE120" i="21" s="1"/>
  <c r="D120" i="21"/>
  <c r="E120" i="21" s="1"/>
  <c r="F120" i="21" s="1"/>
  <c r="CD120" i="21" s="1"/>
  <c r="CH120" i="21" s="1"/>
  <c r="C120" i="21"/>
  <c r="C119" i="21"/>
  <c r="CA118" i="21"/>
  <c r="C118" i="21"/>
  <c r="D118" i="21" s="1"/>
  <c r="E118" i="21" s="1"/>
  <c r="CN117" i="21"/>
  <c r="CM117" i="21"/>
  <c r="CL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CA116" i="21"/>
  <c r="CE116" i="21" s="1"/>
  <c r="C116" i="21"/>
  <c r="D116" i="21" s="1"/>
  <c r="C115" i="21"/>
  <c r="CA114" i="21"/>
  <c r="CE114" i="21" s="1"/>
  <c r="C114" i="21"/>
  <c r="D114" i="21" s="1"/>
  <c r="CB114" i="21" s="1"/>
  <c r="CF114" i="21" s="1"/>
  <c r="C113" i="21"/>
  <c r="CA112" i="21"/>
  <c r="CE112" i="21" s="1"/>
  <c r="C112" i="21"/>
  <c r="D112" i="21" s="1"/>
  <c r="CB112" i="21" s="1"/>
  <c r="CF112" i="21" s="1"/>
  <c r="C111" i="21"/>
  <c r="CA110" i="21"/>
  <c r="CE110" i="21" s="1"/>
  <c r="C110" i="21"/>
  <c r="D110" i="21" s="1"/>
  <c r="CB110" i="21" s="1"/>
  <c r="CF110" i="21" s="1"/>
  <c r="C109" i="21"/>
  <c r="CA108" i="21"/>
  <c r="CE108" i="21" s="1"/>
  <c r="C108" i="21"/>
  <c r="D108" i="21" s="1"/>
  <c r="CB108" i="21" s="1"/>
  <c r="CF108" i="21" s="1"/>
  <c r="C107" i="21"/>
  <c r="CA106" i="21"/>
  <c r="CE106" i="21" s="1"/>
  <c r="C106" i="21"/>
  <c r="D106" i="21" s="1"/>
  <c r="CB106" i="21" s="1"/>
  <c r="CF106" i="21" s="1"/>
  <c r="C105" i="21"/>
  <c r="CA104" i="21"/>
  <c r="CE104" i="21" s="1"/>
  <c r="C104" i="21"/>
  <c r="D104" i="21" s="1"/>
  <c r="CB104" i="21" s="1"/>
  <c r="CF104" i="21" s="1"/>
  <c r="CD103" i="21"/>
  <c r="CH103" i="21" s="1"/>
  <c r="CC103" i="21"/>
  <c r="CG103" i="21" s="1"/>
  <c r="CB103" i="21"/>
  <c r="CF103" i="21" s="1"/>
  <c r="CA103" i="21"/>
  <c r="CE103" i="21" s="1"/>
  <c r="CD102" i="21"/>
  <c r="CH102" i="21" s="1"/>
  <c r="CC102" i="21"/>
  <c r="CG102" i="21" s="1"/>
  <c r="CB102" i="21"/>
  <c r="CF102" i="21" s="1"/>
  <c r="CA102" i="21"/>
  <c r="CE102" i="21" s="1"/>
  <c r="CN101" i="21"/>
  <c r="CM101" i="21"/>
  <c r="CL101" i="21"/>
  <c r="BZ101" i="21"/>
  <c r="BY101" i="21"/>
  <c r="BX101" i="21"/>
  <c r="BW101" i="21"/>
  <c r="BV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R101" i="21"/>
  <c r="Q101" i="21"/>
  <c r="P101" i="21"/>
  <c r="O101" i="21"/>
  <c r="N101" i="21"/>
  <c r="M101" i="21"/>
  <c r="L101" i="21"/>
  <c r="K101" i="21"/>
  <c r="J101" i="21"/>
  <c r="I101" i="21"/>
  <c r="H101" i="21"/>
  <c r="G101" i="21"/>
  <c r="CA100" i="21"/>
  <c r="CE100" i="21" s="1"/>
  <c r="C100" i="21"/>
  <c r="D100" i="21" s="1"/>
  <c r="CB100" i="21" s="1"/>
  <c r="CF100" i="21" s="1"/>
  <c r="C99" i="21"/>
  <c r="CA99" i="21" s="1"/>
  <c r="CE99" i="21" s="1"/>
  <c r="CA98" i="21"/>
  <c r="CE98" i="21" s="1"/>
  <c r="C98" i="21"/>
  <c r="D98" i="21" s="1"/>
  <c r="CB98" i="21" s="1"/>
  <c r="CN97" i="21"/>
  <c r="CM97" i="21"/>
  <c r="CL97" i="21"/>
  <c r="BZ97" i="21"/>
  <c r="BY97" i="21"/>
  <c r="BX97" i="21"/>
  <c r="BW97" i="21"/>
  <c r="BV97" i="21"/>
  <c r="BU97" i="21"/>
  <c r="BT97" i="21"/>
  <c r="BS97" i="21"/>
  <c r="BR97" i="21"/>
  <c r="BQ97" i="21"/>
  <c r="BP97" i="21"/>
  <c r="BO97" i="21"/>
  <c r="BN97" i="21"/>
  <c r="BM97" i="21"/>
  <c r="BL97" i="21"/>
  <c r="BK97" i="21"/>
  <c r="BJ97" i="21"/>
  <c r="BI97" i="21"/>
  <c r="BH97" i="21"/>
  <c r="BF97" i="21"/>
  <c r="BE97" i="21"/>
  <c r="BD97" i="21"/>
  <c r="BC97" i="21"/>
  <c r="BB97" i="21"/>
  <c r="BA97" i="21"/>
  <c r="AZ97" i="21"/>
  <c r="AY97" i="21"/>
  <c r="AX97" i="21"/>
  <c r="AW97" i="21"/>
  <c r="AV97" i="21"/>
  <c r="AU97" i="21"/>
  <c r="AT97" i="21"/>
  <c r="AS97" i="21"/>
  <c r="AR97" i="21"/>
  <c r="AQ97" i="21"/>
  <c r="AP97" i="21"/>
  <c r="AO97" i="21"/>
  <c r="AN97" i="21"/>
  <c r="AM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C96" i="21"/>
  <c r="D96" i="21" s="1"/>
  <c r="E96" i="21" s="1"/>
  <c r="D95" i="21"/>
  <c r="C95" i="21"/>
  <c r="CA95" i="21" s="1"/>
  <c r="CE95" i="21" s="1"/>
  <c r="C94" i="21"/>
  <c r="D94" i="21" s="1"/>
  <c r="E94" i="21" s="1"/>
  <c r="D93" i="21"/>
  <c r="C93" i="21"/>
  <c r="CA93" i="21" s="1"/>
  <c r="CE93" i="21" s="1"/>
  <c r="C92" i="21"/>
  <c r="D92" i="21" s="1"/>
  <c r="E92" i="21" s="1"/>
  <c r="C91" i="21"/>
  <c r="CA91" i="21" s="1"/>
  <c r="CE91" i="21" s="1"/>
  <c r="C90" i="21"/>
  <c r="D90" i="21" s="1"/>
  <c r="E90" i="21" s="1"/>
  <c r="C89" i="21"/>
  <c r="CA89" i="21" s="1"/>
  <c r="CE89" i="21" s="1"/>
  <c r="CB88" i="21"/>
  <c r="CF88" i="21" s="1"/>
  <c r="CA88" i="21"/>
  <c r="CE88" i="21" s="1"/>
  <c r="C88" i="21"/>
  <c r="D88" i="21" s="1"/>
  <c r="E88" i="21" s="1"/>
  <c r="C87" i="21"/>
  <c r="CA87" i="21" s="1"/>
  <c r="CE87" i="21" s="1"/>
  <c r="CH86" i="21"/>
  <c r="CD86" i="21"/>
  <c r="CC86" i="21"/>
  <c r="CG86" i="21" s="1"/>
  <c r="CB86" i="21"/>
  <c r="CA86" i="21"/>
  <c r="CN85" i="21"/>
  <c r="CM85" i="21"/>
  <c r="CL85" i="21"/>
  <c r="BZ85" i="21"/>
  <c r="BY85" i="21"/>
  <c r="BX85" i="21"/>
  <c r="BW85" i="21"/>
  <c r="BR85" i="21"/>
  <c r="BQ85" i="21"/>
  <c r="BP85" i="21"/>
  <c r="BO85" i="21"/>
  <c r="BJ85" i="21"/>
  <c r="BI85" i="21"/>
  <c r="BH85" i="21"/>
  <c r="BG85" i="21"/>
  <c r="BB85" i="21"/>
  <c r="BA85" i="21"/>
  <c r="AZ85" i="21"/>
  <c r="AY85" i="21"/>
  <c r="AX85" i="21"/>
  <c r="AW85" i="21"/>
  <c r="AT85" i="21"/>
  <c r="AS85" i="21"/>
  <c r="AR85" i="21"/>
  <c r="AQ85" i="21"/>
  <c r="AP85" i="21"/>
  <c r="AL85" i="21"/>
  <c r="AK85" i="21"/>
  <c r="AJ85" i="21"/>
  <c r="AI85" i="21"/>
  <c r="AH85" i="21"/>
  <c r="AG85" i="21"/>
  <c r="AF85" i="21"/>
  <c r="AE85" i="21"/>
  <c r="Z85" i="21"/>
  <c r="Y85" i="21"/>
  <c r="X85" i="21"/>
  <c r="W85" i="21"/>
  <c r="V85" i="21"/>
  <c r="U85" i="21"/>
  <c r="T85" i="21"/>
  <c r="S85" i="21"/>
  <c r="R85" i="21"/>
  <c r="Q85" i="21"/>
  <c r="P85" i="21"/>
  <c r="O85" i="21"/>
  <c r="N85" i="21"/>
  <c r="M85" i="21"/>
  <c r="L85" i="21"/>
  <c r="K85" i="21"/>
  <c r="J85" i="21"/>
  <c r="I85" i="21"/>
  <c r="H85" i="21"/>
  <c r="G85" i="21"/>
  <c r="CA84" i="21"/>
  <c r="CE84" i="21" s="1"/>
  <c r="D84" i="21"/>
  <c r="CB84" i="21" s="1"/>
  <c r="CF84" i="21" s="1"/>
  <c r="C84" i="21"/>
  <c r="C83" i="21"/>
  <c r="CA83" i="21" s="1"/>
  <c r="CE83" i="21" s="1"/>
  <c r="CA82" i="21"/>
  <c r="CE82" i="21" s="1"/>
  <c r="D82" i="21"/>
  <c r="CB82" i="21" s="1"/>
  <c r="CF82" i="21" s="1"/>
  <c r="C82" i="21"/>
  <c r="C81" i="21"/>
  <c r="CA81" i="21" s="1"/>
  <c r="CE81" i="21" s="1"/>
  <c r="CA80" i="21"/>
  <c r="CE80" i="21" s="1"/>
  <c r="D80" i="21"/>
  <c r="CB80" i="21" s="1"/>
  <c r="C80" i="21"/>
  <c r="CN79" i="21"/>
  <c r="CM79" i="21"/>
  <c r="CL79" i="21"/>
  <c r="BZ79" i="21"/>
  <c r="BY79" i="21"/>
  <c r="BX79" i="21"/>
  <c r="BW79" i="21"/>
  <c r="BV79" i="21"/>
  <c r="BU79" i="21"/>
  <c r="BT79" i="21"/>
  <c r="BS79" i="21"/>
  <c r="BR79" i="21"/>
  <c r="BQ79" i="21"/>
  <c r="BP79" i="21"/>
  <c r="BO79" i="21"/>
  <c r="BN79" i="21"/>
  <c r="BM79" i="21"/>
  <c r="BL79" i="21"/>
  <c r="BK79" i="21"/>
  <c r="BJ79" i="21"/>
  <c r="BI79" i="21"/>
  <c r="BH79" i="21"/>
  <c r="BG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Z79" i="21"/>
  <c r="Y79" i="21"/>
  <c r="X79" i="21"/>
  <c r="W79" i="21"/>
  <c r="V79" i="21"/>
  <c r="U79" i="21"/>
  <c r="T79" i="21"/>
  <c r="S79" i="21"/>
  <c r="R79" i="21"/>
  <c r="Q79" i="21"/>
  <c r="P79" i="21"/>
  <c r="O79" i="21"/>
  <c r="N79" i="21"/>
  <c r="M79" i="21"/>
  <c r="L79" i="21"/>
  <c r="K79" i="21"/>
  <c r="J79" i="21"/>
  <c r="I79" i="21"/>
  <c r="H79" i="21"/>
  <c r="G79" i="21"/>
  <c r="C78" i="21"/>
  <c r="CA78" i="21" s="1"/>
  <c r="CE78" i="21" s="1"/>
  <c r="C77" i="21"/>
  <c r="D77" i="21" s="1"/>
  <c r="C76" i="21"/>
  <c r="CA76" i="21" s="1"/>
  <c r="CE76" i="21" s="1"/>
  <c r="C75" i="21"/>
  <c r="D75" i="21" s="1"/>
  <c r="C74" i="21"/>
  <c r="CA74" i="21" s="1"/>
  <c r="CE74" i="21" s="1"/>
  <c r="CA73" i="21"/>
  <c r="CE73" i="21" s="1"/>
  <c r="C73" i="21"/>
  <c r="D73" i="21" s="1"/>
  <c r="C72" i="21"/>
  <c r="CA72" i="21" s="1"/>
  <c r="CE72" i="21" s="1"/>
  <c r="C71" i="21"/>
  <c r="D71" i="21" s="1"/>
  <c r="C70" i="21"/>
  <c r="CA70" i="21" s="1"/>
  <c r="CE70" i="21" s="1"/>
  <c r="C69" i="21"/>
  <c r="D69" i="21" s="1"/>
  <c r="CN68" i="21"/>
  <c r="CM68" i="21"/>
  <c r="CL68" i="21"/>
  <c r="BZ68" i="21"/>
  <c r="BY68" i="21"/>
  <c r="BX68" i="21"/>
  <c r="BW68" i="21"/>
  <c r="BR68" i="21"/>
  <c r="BQ68" i="21"/>
  <c r="BP68" i="21"/>
  <c r="BO68" i="21"/>
  <c r="BN68" i="21"/>
  <c r="BM68" i="21"/>
  <c r="BL68" i="21"/>
  <c r="BK68" i="21"/>
  <c r="BJ68" i="21"/>
  <c r="BI68" i="21"/>
  <c r="BH68" i="21"/>
  <c r="BG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Z68" i="21"/>
  <c r="Y68" i="21"/>
  <c r="X68" i="21"/>
  <c r="W68" i="21"/>
  <c r="V68" i="21"/>
  <c r="U68" i="21"/>
  <c r="T68" i="21"/>
  <c r="S68" i="21"/>
  <c r="R68" i="21"/>
  <c r="Q68" i="21"/>
  <c r="P68" i="21"/>
  <c r="O68" i="21"/>
  <c r="N68" i="21"/>
  <c r="M68" i="21"/>
  <c r="L68" i="21"/>
  <c r="K68" i="21"/>
  <c r="J68" i="21"/>
  <c r="I68" i="21"/>
  <c r="H68" i="21"/>
  <c r="G68" i="21"/>
  <c r="C67" i="21"/>
  <c r="CA67" i="21" s="1"/>
  <c r="CE67" i="21" s="1"/>
  <c r="C66" i="21"/>
  <c r="D66" i="21" s="1"/>
  <c r="E66" i="21" s="1"/>
  <c r="CD65" i="21"/>
  <c r="CH65" i="21" s="1"/>
  <c r="CC65" i="21"/>
  <c r="CG65" i="21" s="1"/>
  <c r="CB65" i="21"/>
  <c r="CF65" i="21" s="1"/>
  <c r="CA65" i="21"/>
  <c r="CE65" i="21" s="1"/>
  <c r="CD64" i="21"/>
  <c r="CC64" i="21"/>
  <c r="CG64" i="21" s="1"/>
  <c r="CB64" i="21"/>
  <c r="CF64" i="21" s="1"/>
  <c r="CA64" i="21"/>
  <c r="CE64" i="21" s="1"/>
  <c r="CN63" i="21"/>
  <c r="CM63" i="21"/>
  <c r="CL63" i="21"/>
  <c r="BZ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C62" i="21"/>
  <c r="CA62" i="21" s="1"/>
  <c r="CE62" i="21" s="1"/>
  <c r="CA61" i="21"/>
  <c r="CE61" i="21" s="1"/>
  <c r="C61" i="21"/>
  <c r="D61" i="21" s="1"/>
  <c r="E61" i="21" s="1"/>
  <c r="CD60" i="21"/>
  <c r="CH60" i="21" s="1"/>
  <c r="CC60" i="21"/>
  <c r="CG60" i="21" s="1"/>
  <c r="CB60" i="21"/>
  <c r="CF60" i="21" s="1"/>
  <c r="CA60" i="21"/>
  <c r="CA58" i="21" s="1"/>
  <c r="CE58" i="21" s="1"/>
  <c r="CD59" i="21"/>
  <c r="CC59" i="21"/>
  <c r="CG59" i="21" s="1"/>
  <c r="CB59" i="21"/>
  <c r="CF59" i="21" s="1"/>
  <c r="CA59" i="21"/>
  <c r="CE59" i="21" s="1"/>
  <c r="CN58" i="21"/>
  <c r="CM58" i="21"/>
  <c r="CL58" i="21"/>
  <c r="BZ58" i="21"/>
  <c r="BY58" i="21"/>
  <c r="BX58" i="21"/>
  <c r="BW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Z58" i="21"/>
  <c r="Y58" i="21"/>
  <c r="X58" i="21"/>
  <c r="W58" i="21"/>
  <c r="V58" i="21"/>
  <c r="U58" i="21"/>
  <c r="T58" i="21"/>
  <c r="S58" i="21"/>
  <c r="R58" i="21"/>
  <c r="Q58" i="21"/>
  <c r="P58" i="21"/>
  <c r="O58" i="21"/>
  <c r="N58" i="21"/>
  <c r="M58" i="21"/>
  <c r="L58" i="21"/>
  <c r="K58" i="21"/>
  <c r="J58" i="21"/>
  <c r="I58" i="21"/>
  <c r="H58" i="21"/>
  <c r="G58" i="21"/>
  <c r="CE57" i="21"/>
  <c r="C57" i="21"/>
  <c r="CA57" i="21" s="1"/>
  <c r="C56" i="21"/>
  <c r="D56" i="21" s="1"/>
  <c r="CB56" i="21" s="1"/>
  <c r="CF56" i="21" s="1"/>
  <c r="C55" i="21"/>
  <c r="CA55" i="21" s="1"/>
  <c r="CE55" i="21" s="1"/>
  <c r="C54" i="21"/>
  <c r="D54" i="21" s="1"/>
  <c r="CB54" i="21" s="1"/>
  <c r="CN53" i="21"/>
  <c r="CM53" i="21"/>
  <c r="CL53" i="21"/>
  <c r="BZ53" i="21"/>
  <c r="BY53" i="21"/>
  <c r="BX53" i="21"/>
  <c r="BW53" i="21"/>
  <c r="BV53" i="21"/>
  <c r="BV52" i="21" s="1"/>
  <c r="BV51" i="21" s="1"/>
  <c r="BV50" i="21" s="1"/>
  <c r="BV49" i="21" s="1"/>
  <c r="BU53" i="21"/>
  <c r="BT53" i="21"/>
  <c r="BS53" i="21"/>
  <c r="BS52" i="21" s="1"/>
  <c r="BS51" i="21" s="1"/>
  <c r="BS50" i="21" s="1"/>
  <c r="BS49" i="21" s="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U52" i="21"/>
  <c r="BU51" i="21" s="1"/>
  <c r="BU50" i="21" s="1"/>
  <c r="BU49" i="21" s="1"/>
  <c r="BT52" i="21"/>
  <c r="BT51" i="21" s="1"/>
  <c r="BT50" i="21" s="1"/>
  <c r="BT49" i="21" s="1"/>
  <c r="C52" i="21"/>
  <c r="D52" i="21" s="1"/>
  <c r="D51" i="21"/>
  <c r="C51" i="21"/>
  <c r="C50" i="21"/>
  <c r="D50" i="21" s="1"/>
  <c r="CN49" i="21"/>
  <c r="CM49" i="21"/>
  <c r="CL49" i="21"/>
  <c r="BZ49" i="21"/>
  <c r="BY49" i="21"/>
  <c r="BX49" i="21"/>
  <c r="BW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C48" i="21"/>
  <c r="CA48" i="21" s="1"/>
  <c r="CE48" i="21" s="1"/>
  <c r="C47" i="21"/>
  <c r="D47" i="21" s="1"/>
  <c r="C46" i="21"/>
  <c r="D46" i="21" s="1"/>
  <c r="CN45" i="21"/>
  <c r="CM45" i="21"/>
  <c r="CL45" i="21"/>
  <c r="BZ45" i="21"/>
  <c r="BY45" i="21"/>
  <c r="BX45" i="21"/>
  <c r="BW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C44" i="21"/>
  <c r="D44" i="21" s="1"/>
  <c r="C43" i="21"/>
  <c r="D43" i="21" s="1"/>
  <c r="E43" i="21" s="1"/>
  <c r="F43" i="21" s="1"/>
  <c r="C42" i="21"/>
  <c r="D42" i="21" s="1"/>
  <c r="C41" i="21"/>
  <c r="C40" i="21"/>
  <c r="D40" i="21" s="1"/>
  <c r="C39" i="21"/>
  <c r="C38" i="21"/>
  <c r="D38" i="21" s="1"/>
  <c r="E38" i="21" s="1"/>
  <c r="CC38" i="21" s="1"/>
  <c r="CG38" i="21" s="1"/>
  <c r="C37" i="21"/>
  <c r="D37" i="21" s="1"/>
  <c r="E37" i="21" s="1"/>
  <c r="C36" i="21"/>
  <c r="D36" i="21" s="1"/>
  <c r="CN35" i="21"/>
  <c r="CM35" i="21"/>
  <c r="CL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D34" i="21"/>
  <c r="CB34" i="21" s="1"/>
  <c r="CF34" i="21" s="1"/>
  <c r="C34" i="21"/>
  <c r="CA34" i="21" s="1"/>
  <c r="CE34" i="21" s="1"/>
  <c r="C33" i="21"/>
  <c r="CA33" i="21" s="1"/>
  <c r="CE33" i="21" s="1"/>
  <c r="C32" i="21"/>
  <c r="D32" i="21" s="1"/>
  <c r="E32" i="21" s="1"/>
  <c r="C31" i="21"/>
  <c r="CA31" i="21" s="1"/>
  <c r="CE31" i="21" s="1"/>
  <c r="CB30" i="21"/>
  <c r="C30" i="21"/>
  <c r="D30" i="21" s="1"/>
  <c r="E30" i="21" s="1"/>
  <c r="CN29" i="21"/>
  <c r="CM29" i="21"/>
  <c r="CL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C28" i="21"/>
  <c r="D28" i="21" s="1"/>
  <c r="C27" i="21"/>
  <c r="CA26" i="21"/>
  <c r="CE26" i="21" s="1"/>
  <c r="C26" i="21"/>
  <c r="D26" i="21" s="1"/>
  <c r="C25" i="21"/>
  <c r="CA24" i="21"/>
  <c r="C24" i="21"/>
  <c r="D24" i="21" s="1"/>
  <c r="CN23" i="21"/>
  <c r="CM23" i="21"/>
  <c r="CL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CH22" i="21"/>
  <c r="CG22" i="21"/>
  <c r="CF22" i="21"/>
  <c r="CE22" i="21"/>
  <c r="D22" i="21"/>
  <c r="E22" i="21" s="1"/>
  <c r="F22" i="21" s="1"/>
  <c r="C22" i="21"/>
  <c r="CH21" i="21"/>
  <c r="CG21" i="21"/>
  <c r="CF21" i="21"/>
  <c r="CE21" i="21"/>
  <c r="C21" i="21"/>
  <c r="D21" i="21" s="1"/>
  <c r="E21" i="21" s="1"/>
  <c r="F21" i="21" s="1"/>
  <c r="CH20" i="21"/>
  <c r="CG20" i="21"/>
  <c r="CF20" i="21"/>
  <c r="CE20" i="21"/>
  <c r="D20" i="21"/>
  <c r="E20" i="21" s="1"/>
  <c r="F20" i="21" s="1"/>
  <c r="C20" i="21"/>
  <c r="CH19" i="21"/>
  <c r="CG19" i="21"/>
  <c r="CF19" i="21"/>
  <c r="CE19" i="21"/>
  <c r="C19" i="21"/>
  <c r="D19" i="21" s="1"/>
  <c r="E19" i="21" s="1"/>
  <c r="F19" i="21" s="1"/>
  <c r="CH18" i="21"/>
  <c r="CG18" i="21"/>
  <c r="CF18" i="21"/>
  <c r="CE18" i="21"/>
  <c r="D18" i="21"/>
  <c r="E18" i="21" s="1"/>
  <c r="F18" i="21" s="1"/>
  <c r="C18" i="21"/>
  <c r="CH17" i="21"/>
  <c r="CG17" i="21"/>
  <c r="CF17" i="21"/>
  <c r="CE17" i="21"/>
  <c r="C17" i="21"/>
  <c r="D17" i="21" s="1"/>
  <c r="E17" i="21" s="1"/>
  <c r="F17" i="21" s="1"/>
  <c r="CH16" i="21"/>
  <c r="CG16" i="21"/>
  <c r="CF16" i="21"/>
  <c r="CE16" i="21"/>
  <c r="D16" i="21"/>
  <c r="E16" i="21" s="1"/>
  <c r="F16" i="21" s="1"/>
  <c r="C16" i="21"/>
  <c r="CN15" i="21"/>
  <c r="CM15" i="21"/>
  <c r="CL15" i="21"/>
  <c r="CD15" i="21"/>
  <c r="CC15" i="21"/>
  <c r="CB15" i="21"/>
  <c r="CA15" i="21"/>
  <c r="CE15" i="21" s="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C14" i="21"/>
  <c r="D14" i="21" s="1"/>
  <c r="C13" i="21"/>
  <c r="CA13" i="21" s="1"/>
  <c r="CE13" i="21" s="1"/>
  <c r="CA12" i="21"/>
  <c r="CE12" i="21" s="1"/>
  <c r="C12" i="21"/>
  <c r="D12" i="21" s="1"/>
  <c r="C11" i="21"/>
  <c r="CA11" i="21" s="1"/>
  <c r="CN10" i="21"/>
  <c r="CM10" i="21"/>
  <c r="CL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CA9" i="21"/>
  <c r="CE9" i="21" s="1"/>
  <c r="D9" i="21"/>
  <c r="C9" i="21"/>
  <c r="C8" i="21"/>
  <c r="D8" i="21" s="1"/>
  <c r="E8" i="21" s="1"/>
  <c r="CA7" i="21"/>
  <c r="CE7" i="21" s="1"/>
  <c r="D7" i="21"/>
  <c r="C7" i="21"/>
  <c r="C6" i="21"/>
  <c r="D6" i="21" s="1"/>
  <c r="E6" i="21" s="1"/>
  <c r="CC6" i="21" s="1"/>
  <c r="CG6" i="21" s="1"/>
  <c r="CA5" i="21"/>
  <c r="CE5" i="21" s="1"/>
  <c r="D5" i="21"/>
  <c r="C5" i="21"/>
  <c r="C4" i="21"/>
  <c r="D4" i="21" s="1"/>
  <c r="E4" i="21" s="1"/>
  <c r="CC4" i="21" s="1"/>
  <c r="CG4" i="21" s="1"/>
  <c r="C3" i="21"/>
  <c r="D3" i="21" s="1"/>
  <c r="CN2" i="21"/>
  <c r="CM2" i="21"/>
  <c r="CL2" i="21"/>
  <c r="BZ2" i="21"/>
  <c r="BY2" i="21"/>
  <c r="BX2" i="21"/>
  <c r="BW2" i="21"/>
  <c r="BV2" i="21"/>
  <c r="BU2" i="21"/>
  <c r="BT2" i="21"/>
  <c r="BR2" i="21"/>
  <c r="BQ2" i="21"/>
  <c r="BP2" i="21"/>
  <c r="BO2" i="21"/>
  <c r="BN2" i="21"/>
  <c r="BM2" i="21"/>
  <c r="BL2" i="21"/>
  <c r="BK2" i="21"/>
  <c r="BJ2" i="21"/>
  <c r="BI2" i="21"/>
  <c r="BH2" i="21"/>
  <c r="BG2" i="21"/>
  <c r="BF2" i="21"/>
  <c r="BE2" i="21"/>
  <c r="BD2" i="21"/>
  <c r="BC2" i="21"/>
  <c r="BB2" i="21"/>
  <c r="BA2" i="21"/>
  <c r="AZ2" i="21"/>
  <c r="AY2" i="21"/>
  <c r="AX2" i="21"/>
  <c r="AW2" i="21"/>
  <c r="AV2" i="21"/>
  <c r="AU2" i="21"/>
  <c r="AT2" i="21"/>
  <c r="AS2" i="21"/>
  <c r="AR2" i="21"/>
  <c r="AQ2" i="21"/>
  <c r="AP2" i="21"/>
  <c r="AO2" i="21"/>
  <c r="AN2" i="21"/>
  <c r="AM2" i="21"/>
  <c r="AL2" i="21"/>
  <c r="AK2" i="21"/>
  <c r="AJ2" i="21"/>
  <c r="AI2" i="21"/>
  <c r="AH2" i="21"/>
  <c r="AG2" i="21"/>
  <c r="AF2" i="21"/>
  <c r="AE2" i="21"/>
  <c r="Z2" i="21"/>
  <c r="Y2" i="21"/>
  <c r="X2" i="21"/>
  <c r="W2" i="21"/>
  <c r="V2" i="21"/>
  <c r="U2" i="21"/>
  <c r="T2" i="21"/>
  <c r="S2" i="21"/>
  <c r="R2" i="21"/>
  <c r="Q2" i="21"/>
  <c r="P2" i="21"/>
  <c r="O2" i="21"/>
  <c r="N2" i="21"/>
  <c r="M2" i="21"/>
  <c r="L2" i="21"/>
  <c r="K2" i="21"/>
  <c r="J2" i="21"/>
  <c r="I2" i="21"/>
  <c r="H2" i="21"/>
  <c r="G2" i="21"/>
  <c r="CN211" i="21" l="1"/>
  <c r="F118" i="21"/>
  <c r="CD118" i="21" s="1"/>
  <c r="CC118" i="21"/>
  <c r="CG118" i="21" s="1"/>
  <c r="F135" i="21"/>
  <c r="CD135" i="21" s="1"/>
  <c r="CH135" i="21" s="1"/>
  <c r="CC135" i="21"/>
  <c r="CG135" i="21" s="1"/>
  <c r="CB50" i="21"/>
  <c r="CF50" i="21" s="1"/>
  <c r="E50" i="21"/>
  <c r="F50" i="21" s="1"/>
  <c r="CD50" i="21" s="1"/>
  <c r="CB116" i="21"/>
  <c r="CF116" i="21" s="1"/>
  <c r="E116" i="21"/>
  <c r="CC116" i="21" s="1"/>
  <c r="CG116" i="21" s="1"/>
  <c r="CB51" i="21"/>
  <c r="CF51" i="21" s="1"/>
  <c r="E150" i="21"/>
  <c r="CC150" i="21" s="1"/>
  <c r="CG150" i="21" s="1"/>
  <c r="CB150" i="21"/>
  <c r="CF150" i="21" s="1"/>
  <c r="E154" i="21"/>
  <c r="CC154" i="21" s="1"/>
  <c r="CG154" i="21" s="1"/>
  <c r="CB154" i="21"/>
  <c r="CF154" i="21" s="1"/>
  <c r="CB207" i="21"/>
  <c r="E207" i="21"/>
  <c r="E52" i="21"/>
  <c r="F52" i="21" s="1"/>
  <c r="CD52" i="21" s="1"/>
  <c r="CH52" i="21" s="1"/>
  <c r="CB52" i="21"/>
  <c r="CF52" i="21" s="1"/>
  <c r="F4" i="21"/>
  <c r="CD4" i="21" s="1"/>
  <c r="CH4" i="21" s="1"/>
  <c r="D31" i="21"/>
  <c r="CA3" i="21"/>
  <c r="CA2" i="21" s="1"/>
  <c r="AB211" i="21"/>
  <c r="CF15" i="21"/>
  <c r="CA46" i="21"/>
  <c r="D57" i="21"/>
  <c r="CB57" i="21" s="1"/>
  <c r="CF57" i="21" s="1"/>
  <c r="CB66" i="21"/>
  <c r="CA75" i="21"/>
  <c r="CE75" i="21" s="1"/>
  <c r="D89" i="21"/>
  <c r="D91" i="21"/>
  <c r="CB91" i="21" s="1"/>
  <c r="CF91" i="21" s="1"/>
  <c r="CB96" i="21"/>
  <c r="CF96" i="21" s="1"/>
  <c r="D148" i="21"/>
  <c r="CA150" i="21"/>
  <c r="CE150" i="21" s="1"/>
  <c r="D152" i="21"/>
  <c r="CA154" i="21"/>
  <c r="CE154" i="21" s="1"/>
  <c r="D156" i="21"/>
  <c r="CA165" i="21"/>
  <c r="CE165" i="21" s="1"/>
  <c r="D168" i="21"/>
  <c r="E168" i="21" s="1"/>
  <c r="F168" i="21" s="1"/>
  <c r="CD168" i="21" s="1"/>
  <c r="CH168" i="21" s="1"/>
  <c r="D170" i="21"/>
  <c r="E170" i="21" s="1"/>
  <c r="D172" i="21"/>
  <c r="E172" i="21" s="1"/>
  <c r="D192" i="21"/>
  <c r="CA196" i="21"/>
  <c r="CE196" i="21" s="1"/>
  <c r="D203" i="21"/>
  <c r="E203" i="21" s="1"/>
  <c r="CA207" i="21"/>
  <c r="E209" i="21"/>
  <c r="CA188" i="21"/>
  <c r="CE188" i="21" s="1"/>
  <c r="CE60" i="21"/>
  <c r="D33" i="21"/>
  <c r="CA47" i="21"/>
  <c r="CE47" i="21" s="1"/>
  <c r="E51" i="21"/>
  <c r="CC51" i="21" s="1"/>
  <c r="CG51" i="21" s="1"/>
  <c r="CA54" i="21"/>
  <c r="CE54" i="21" s="1"/>
  <c r="CA56" i="21"/>
  <c r="CE56" i="21" s="1"/>
  <c r="D67" i="21"/>
  <c r="CA71" i="21"/>
  <c r="CE71" i="21" s="1"/>
  <c r="CA90" i="21"/>
  <c r="CE90" i="21" s="1"/>
  <c r="CA92" i="21"/>
  <c r="CE92" i="21" s="1"/>
  <c r="CB128" i="21"/>
  <c r="D131" i="21"/>
  <c r="E131" i="21" s="1"/>
  <c r="CA158" i="21"/>
  <c r="CE158" i="21" s="1"/>
  <c r="CA163" i="21"/>
  <c r="CE163" i="21" s="1"/>
  <c r="CA167" i="21"/>
  <c r="CE167" i="21" s="1"/>
  <c r="CA169" i="21"/>
  <c r="CE169" i="21" s="1"/>
  <c r="CA171" i="21"/>
  <c r="CE171" i="21" s="1"/>
  <c r="D178" i="21"/>
  <c r="D185" i="21"/>
  <c r="E185" i="21" s="1"/>
  <c r="CG15" i="21"/>
  <c r="N211" i="21"/>
  <c r="V211" i="21"/>
  <c r="AH211" i="21"/>
  <c r="AP211" i="21"/>
  <c r="AX211" i="21"/>
  <c r="BF211" i="21"/>
  <c r="BN211" i="21"/>
  <c r="BW211" i="21"/>
  <c r="CB4" i="21"/>
  <c r="CF4" i="21" s="1"/>
  <c r="CA14" i="21"/>
  <c r="CE14" i="21" s="1"/>
  <c r="CA28" i="21"/>
  <c r="CE28" i="21" s="1"/>
  <c r="D62" i="21"/>
  <c r="CB62" i="21" s="1"/>
  <c r="CF62" i="21" s="1"/>
  <c r="CA66" i="21"/>
  <c r="CE66" i="21" s="1"/>
  <c r="CA69" i="21"/>
  <c r="CE69" i="21" s="1"/>
  <c r="CA77" i="21"/>
  <c r="CE77" i="21" s="1"/>
  <c r="D87" i="21"/>
  <c r="CB87" i="21" s="1"/>
  <c r="CF87" i="21" s="1"/>
  <c r="CB92" i="21"/>
  <c r="CF92" i="21" s="1"/>
  <c r="CA94" i="21"/>
  <c r="CE94" i="21" s="1"/>
  <c r="CA96" i="21"/>
  <c r="CE96" i="21" s="1"/>
  <c r="CB163" i="21"/>
  <c r="CF163" i="21" s="1"/>
  <c r="F6" i="21"/>
  <c r="CD6" i="21" s="1"/>
  <c r="CH6" i="21" s="1"/>
  <c r="CC8" i="21"/>
  <c r="CG8" i="21" s="1"/>
  <c r="F8" i="21"/>
  <c r="CD8" i="21" s="1"/>
  <c r="CH8" i="21" s="1"/>
  <c r="E36" i="21"/>
  <c r="E42" i="21"/>
  <c r="CD49" i="21"/>
  <c r="CH49" i="21" s="1"/>
  <c r="CH50" i="21"/>
  <c r="CB32" i="21"/>
  <c r="CF32" i="21" s="1"/>
  <c r="CA45" i="21"/>
  <c r="CE45" i="21" s="1"/>
  <c r="CE46" i="21"/>
  <c r="CB6" i="21"/>
  <c r="CF6" i="21" s="1"/>
  <c r="CB8" i="21"/>
  <c r="CF8" i="21" s="1"/>
  <c r="CH15" i="21"/>
  <c r="CA27" i="21"/>
  <c r="CE27" i="21" s="1"/>
  <c r="D27" i="21"/>
  <c r="CC30" i="21"/>
  <c r="F30" i="21"/>
  <c r="CD30" i="21" s="1"/>
  <c r="D39" i="21"/>
  <c r="E47" i="21"/>
  <c r="CB47" i="21"/>
  <c r="CF47" i="21" s="1"/>
  <c r="CB5" i="21"/>
  <c r="CF5" i="21" s="1"/>
  <c r="E5" i="21"/>
  <c r="E14" i="21"/>
  <c r="CB14" i="21"/>
  <c r="CF14" i="21" s="1"/>
  <c r="E40" i="21"/>
  <c r="CE24" i="21"/>
  <c r="CB31" i="21"/>
  <c r="CF31" i="21" s="1"/>
  <c r="E31" i="21"/>
  <c r="CB3" i="21"/>
  <c r="E3" i="21"/>
  <c r="CF30" i="21"/>
  <c r="CB9" i="21"/>
  <c r="CF9" i="21" s="1"/>
  <c r="E9" i="21"/>
  <c r="CB24" i="21"/>
  <c r="E24" i="21"/>
  <c r="F37" i="21"/>
  <c r="CC37" i="21"/>
  <c r="CG37" i="21" s="1"/>
  <c r="E12" i="21"/>
  <c r="CB12" i="21"/>
  <c r="CF12" i="21" s="1"/>
  <c r="CA25" i="21"/>
  <c r="CE25" i="21" s="1"/>
  <c r="D25" i="21"/>
  <c r="CA10" i="21"/>
  <c r="CE10" i="21" s="1"/>
  <c r="CE11" i="21"/>
  <c r="CB33" i="21"/>
  <c r="CF33" i="21" s="1"/>
  <c r="E33" i="21"/>
  <c r="CD43" i="21"/>
  <c r="CH43" i="21" s="1"/>
  <c r="G43" i="21"/>
  <c r="H43" i="21" s="1"/>
  <c r="CB43" i="21" s="1"/>
  <c r="CF43" i="21" s="1"/>
  <c r="CF54" i="21"/>
  <c r="CB7" i="21"/>
  <c r="CF7" i="21" s="1"/>
  <c r="E7" i="21"/>
  <c r="L211" i="21"/>
  <c r="T211" i="21"/>
  <c r="AF211" i="21"/>
  <c r="AN211" i="21"/>
  <c r="AV211" i="21"/>
  <c r="BD211" i="21"/>
  <c r="BL211" i="21"/>
  <c r="BU211" i="21"/>
  <c r="CB28" i="21"/>
  <c r="CF28" i="21" s="1"/>
  <c r="E28" i="21"/>
  <c r="CB26" i="21"/>
  <c r="CF26" i="21" s="1"/>
  <c r="E26" i="21"/>
  <c r="CC32" i="21"/>
  <c r="CG32" i="21" s="1"/>
  <c r="F32" i="21"/>
  <c r="CD32" i="21" s="1"/>
  <c r="CH32" i="21" s="1"/>
  <c r="CB46" i="21"/>
  <c r="E46" i="21"/>
  <c r="E57" i="21"/>
  <c r="M211" i="21"/>
  <c r="U211" i="21"/>
  <c r="AG211" i="21"/>
  <c r="AO211" i="21"/>
  <c r="AW211" i="21"/>
  <c r="BE211" i="21"/>
  <c r="BM211" i="21"/>
  <c r="BV211" i="21"/>
  <c r="CE3" i="21"/>
  <c r="CA4" i="21"/>
  <c r="CE4" i="21" s="1"/>
  <c r="CA6" i="21"/>
  <c r="CE6" i="21" s="1"/>
  <c r="CA8" i="21"/>
  <c r="CE8" i="21" s="1"/>
  <c r="AA211" i="21"/>
  <c r="D11" i="21"/>
  <c r="D13" i="21"/>
  <c r="CA30" i="21"/>
  <c r="CA32" i="21"/>
  <c r="CE32" i="21" s="1"/>
  <c r="F38" i="21"/>
  <c r="E44" i="21"/>
  <c r="D48" i="21"/>
  <c r="F51" i="21"/>
  <c r="CD51" i="21" s="1"/>
  <c r="CH51" i="21" s="1"/>
  <c r="E54" i="21"/>
  <c r="CH59" i="21"/>
  <c r="CC66" i="21"/>
  <c r="F66" i="21"/>
  <c r="CD66" i="21" s="1"/>
  <c r="CH66" i="21" s="1"/>
  <c r="E75" i="21"/>
  <c r="CB75" i="21"/>
  <c r="CF75" i="21" s="1"/>
  <c r="E87" i="21"/>
  <c r="CC90" i="21"/>
  <c r="CG90" i="21" s="1"/>
  <c r="F90" i="21"/>
  <c r="CD90" i="21" s="1"/>
  <c r="CH90" i="21" s="1"/>
  <c r="CB95" i="21"/>
  <c r="CF95" i="21" s="1"/>
  <c r="E95" i="21"/>
  <c r="CB49" i="21"/>
  <c r="CF49" i="21" s="1"/>
  <c r="G211" i="21"/>
  <c r="O211" i="21"/>
  <c r="W211" i="21"/>
  <c r="AI211" i="21"/>
  <c r="AQ211" i="21"/>
  <c r="AY211" i="21"/>
  <c r="BG211" i="21"/>
  <c r="BO211" i="21"/>
  <c r="BX211" i="21"/>
  <c r="AC211" i="21"/>
  <c r="CC43" i="21"/>
  <c r="CG43" i="21" s="1"/>
  <c r="CC50" i="21"/>
  <c r="E56" i="21"/>
  <c r="CF66" i="21"/>
  <c r="E73" i="21"/>
  <c r="CB73" i="21"/>
  <c r="CF73" i="21" s="1"/>
  <c r="CA85" i="21"/>
  <c r="CE85" i="21" s="1"/>
  <c r="CC88" i="21"/>
  <c r="CG88" i="21" s="1"/>
  <c r="F88" i="21"/>
  <c r="CD88" i="21" s="1"/>
  <c r="CH88" i="21" s="1"/>
  <c r="CB90" i="21"/>
  <c r="CF90" i="21" s="1"/>
  <c r="CB93" i="21"/>
  <c r="CF93" i="21" s="1"/>
  <c r="E93" i="21"/>
  <c r="CC96" i="21"/>
  <c r="CG96" i="21" s="1"/>
  <c r="F96" i="21"/>
  <c r="CD96" i="21" s="1"/>
  <c r="CH96" i="21" s="1"/>
  <c r="CF137" i="21"/>
  <c r="CF80" i="21"/>
  <c r="X211" i="21"/>
  <c r="BP211" i="21"/>
  <c r="CC61" i="21"/>
  <c r="F61" i="21"/>
  <c r="CD61" i="21" s="1"/>
  <c r="CH61" i="21" s="1"/>
  <c r="CF86" i="21"/>
  <c r="CA50" i="21"/>
  <c r="P211" i="21"/>
  <c r="BH211" i="21"/>
  <c r="Q211" i="21"/>
  <c r="BQ211" i="21"/>
  <c r="E34" i="21"/>
  <c r="CB67" i="21"/>
  <c r="CF67" i="21" s="1"/>
  <c r="E67" i="21"/>
  <c r="E71" i="21"/>
  <c r="CB71" i="21"/>
  <c r="CF71" i="21" s="1"/>
  <c r="CC94" i="21"/>
  <c r="CG94" i="21" s="1"/>
  <c r="F94" i="21"/>
  <c r="CD94" i="21" s="1"/>
  <c r="CH94" i="21" s="1"/>
  <c r="F170" i="21"/>
  <c r="CD170" i="21" s="1"/>
  <c r="CH170" i="21" s="1"/>
  <c r="CC170" i="21"/>
  <c r="CG170" i="21" s="1"/>
  <c r="CA52" i="21"/>
  <c r="CE52" i="21" s="1"/>
  <c r="H211" i="21"/>
  <c r="AR211" i="21"/>
  <c r="AZ211" i="21"/>
  <c r="Y211" i="21"/>
  <c r="BA211" i="21"/>
  <c r="BS211" i="21"/>
  <c r="J211" i="21"/>
  <c r="R211" i="21"/>
  <c r="Z211" i="21"/>
  <c r="AL211" i="21"/>
  <c r="AT211" i="21"/>
  <c r="BB211" i="21"/>
  <c r="BJ211" i="21"/>
  <c r="BR211" i="21"/>
  <c r="CL211" i="21"/>
  <c r="CA51" i="21"/>
  <c r="CE51" i="21" s="1"/>
  <c r="D55" i="21"/>
  <c r="CB61" i="21"/>
  <c r="CF98" i="21"/>
  <c r="CH118" i="21"/>
  <c r="CA53" i="21"/>
  <c r="CE53" i="21" s="1"/>
  <c r="CF128" i="21"/>
  <c r="AJ211" i="21"/>
  <c r="BY211" i="21"/>
  <c r="AD211" i="21"/>
  <c r="I211" i="21"/>
  <c r="AK211" i="21"/>
  <c r="AS211" i="21"/>
  <c r="BI211" i="21"/>
  <c r="BZ211" i="21"/>
  <c r="K211" i="21"/>
  <c r="S211" i="21"/>
  <c r="AE211" i="21"/>
  <c r="AM211" i="21"/>
  <c r="AU211" i="21"/>
  <c r="BC211" i="21"/>
  <c r="BK211" i="21"/>
  <c r="BT211" i="21"/>
  <c r="CM211" i="21"/>
  <c r="D41" i="21"/>
  <c r="CA63" i="21"/>
  <c r="CE63" i="21" s="1"/>
  <c r="E69" i="21"/>
  <c r="CB69" i="21"/>
  <c r="E77" i="21"/>
  <c r="CB77" i="21"/>
  <c r="CF77" i="21" s="1"/>
  <c r="CB89" i="21"/>
  <c r="CF89" i="21" s="1"/>
  <c r="E89" i="21"/>
  <c r="CC92" i="21"/>
  <c r="CG92" i="21" s="1"/>
  <c r="F92" i="21"/>
  <c r="CD92" i="21" s="1"/>
  <c r="CH92" i="21" s="1"/>
  <c r="CB94" i="21"/>
  <c r="CF94" i="21" s="1"/>
  <c r="D105" i="21"/>
  <c r="CA105" i="21"/>
  <c r="CE105" i="21" s="1"/>
  <c r="D107" i="21"/>
  <c r="CA107" i="21"/>
  <c r="CE107" i="21" s="1"/>
  <c r="D109" i="21"/>
  <c r="CA109" i="21"/>
  <c r="CE109" i="21" s="1"/>
  <c r="D111" i="21"/>
  <c r="CA111" i="21"/>
  <c r="CE111" i="21" s="1"/>
  <c r="D113" i="21"/>
  <c r="CA113" i="21"/>
  <c r="CE113" i="21" s="1"/>
  <c r="D115" i="21"/>
  <c r="CA115" i="21"/>
  <c r="CE115" i="21" s="1"/>
  <c r="F116" i="21"/>
  <c r="CD116" i="21" s="1"/>
  <c r="CH116" i="21" s="1"/>
  <c r="E193" i="21"/>
  <c r="CB193" i="21"/>
  <c r="CF193" i="21" s="1"/>
  <c r="CA68" i="21"/>
  <c r="CE68" i="21" s="1"/>
  <c r="D70" i="21"/>
  <c r="D72" i="21"/>
  <c r="D74" i="21"/>
  <c r="D76" i="21"/>
  <c r="D78" i="21"/>
  <c r="E80" i="21"/>
  <c r="E82" i="21"/>
  <c r="E84" i="21"/>
  <c r="E98" i="21"/>
  <c r="E100" i="21"/>
  <c r="E104" i="21"/>
  <c r="E106" i="21"/>
  <c r="E108" i="21"/>
  <c r="E110" i="21"/>
  <c r="E112" i="21"/>
  <c r="E114" i="21"/>
  <c r="CE118" i="21"/>
  <c r="CC128" i="21"/>
  <c r="F128" i="21"/>
  <c r="CD128" i="21" s="1"/>
  <c r="CE164" i="21"/>
  <c r="CA161" i="21"/>
  <c r="CE161" i="21" s="1"/>
  <c r="D161" i="21"/>
  <c r="F203" i="21"/>
  <c r="CD203" i="21" s="1"/>
  <c r="CH203" i="21" s="1"/>
  <c r="CC203" i="21"/>
  <c r="CG203" i="21" s="1"/>
  <c r="CH64" i="21"/>
  <c r="CA79" i="21"/>
  <c r="CE79" i="21" s="1"/>
  <c r="D81" i="21"/>
  <c r="D83" i="21"/>
  <c r="CA97" i="21"/>
  <c r="CE97" i="21" s="1"/>
  <c r="D99" i="21"/>
  <c r="CA119" i="21"/>
  <c r="CE119" i="21" s="1"/>
  <c r="D119" i="21"/>
  <c r="CB129" i="21"/>
  <c r="CF129" i="21" s="1"/>
  <c r="E129" i="21"/>
  <c r="CA155" i="21"/>
  <c r="CE155" i="21" s="1"/>
  <c r="D155" i="21"/>
  <c r="CB178" i="21"/>
  <c r="CF178" i="21" s="1"/>
  <c r="CA189" i="21"/>
  <c r="CE189" i="21" s="1"/>
  <c r="D189" i="21"/>
  <c r="CE86" i="21"/>
  <c r="CC120" i="21"/>
  <c r="CG120" i="21" s="1"/>
  <c r="CE148" i="21"/>
  <c r="CA153" i="21"/>
  <c r="CE153" i="21" s="1"/>
  <c r="D153" i="21"/>
  <c r="CB196" i="21"/>
  <c r="CF196" i="21" s="1"/>
  <c r="E196" i="21"/>
  <c r="CA123" i="21"/>
  <c r="D123" i="21"/>
  <c r="CA125" i="21"/>
  <c r="CE125" i="21" s="1"/>
  <c r="D125" i="21"/>
  <c r="CA151" i="21"/>
  <c r="CE151" i="21" s="1"/>
  <c r="D151" i="21"/>
  <c r="CC163" i="21"/>
  <c r="F163" i="21"/>
  <c r="CD163" i="21" s="1"/>
  <c r="CB174" i="21"/>
  <c r="E174" i="21"/>
  <c r="CA121" i="21"/>
  <c r="CE121" i="21" s="1"/>
  <c r="D121" i="21"/>
  <c r="CA149" i="21"/>
  <c r="CE149" i="21" s="1"/>
  <c r="D149" i="21"/>
  <c r="CA159" i="21"/>
  <c r="CE159" i="21" s="1"/>
  <c r="D159" i="21"/>
  <c r="CA177" i="21"/>
  <c r="CE177" i="21" s="1"/>
  <c r="D177" i="21"/>
  <c r="E178" i="21" s="1"/>
  <c r="CB188" i="21"/>
  <c r="CF188" i="21" s="1"/>
  <c r="E188" i="21"/>
  <c r="E195" i="21"/>
  <c r="CB195" i="21"/>
  <c r="CE200" i="21"/>
  <c r="CA199" i="21"/>
  <c r="CE199" i="21" s="1"/>
  <c r="F205" i="21"/>
  <c r="CD205" i="21" s="1"/>
  <c r="CH205" i="21" s="1"/>
  <c r="CC205" i="21"/>
  <c r="CG205" i="21" s="1"/>
  <c r="E210" i="21"/>
  <c r="CB210" i="21"/>
  <c r="CF210" i="21" s="1"/>
  <c r="CB118" i="21"/>
  <c r="CB120" i="21"/>
  <c r="CF120" i="21" s="1"/>
  <c r="E124" i="21"/>
  <c r="E126" i="21"/>
  <c r="CA128" i="21"/>
  <c r="CA130" i="21"/>
  <c r="CE130" i="21" s="1"/>
  <c r="CB131" i="21"/>
  <c r="D132" i="21"/>
  <c r="CB133" i="21"/>
  <c r="CF133" i="21" s="1"/>
  <c r="D134" i="21"/>
  <c r="CB135" i="21"/>
  <c r="CF135" i="21" s="1"/>
  <c r="E137" i="21"/>
  <c r="E139" i="21"/>
  <c r="E141" i="21"/>
  <c r="F150" i="21"/>
  <c r="CD150" i="21" s="1"/>
  <c r="CH150" i="21" s="1"/>
  <c r="F185" i="21"/>
  <c r="CC185" i="21"/>
  <c r="CG185" i="21" s="1"/>
  <c r="E198" i="21"/>
  <c r="E208" i="21"/>
  <c r="CB208" i="21"/>
  <c r="CF208" i="21" s="1"/>
  <c r="E164" i="21"/>
  <c r="CB164" i="21"/>
  <c r="CF164" i="21" s="1"/>
  <c r="CE174" i="21"/>
  <c r="F183" i="21"/>
  <c r="CD183" i="21" s="1"/>
  <c r="CH183" i="21" s="1"/>
  <c r="CC183" i="21"/>
  <c r="CG183" i="21" s="1"/>
  <c r="CA136" i="21"/>
  <c r="CE136" i="21" s="1"/>
  <c r="D138" i="21"/>
  <c r="D140" i="21"/>
  <c r="D142" i="21"/>
  <c r="D145" i="21"/>
  <c r="CB158" i="21"/>
  <c r="CF158" i="21" s="1"/>
  <c r="E158" i="21"/>
  <c r="E166" i="21"/>
  <c r="CB166" i="21"/>
  <c r="CF166" i="21" s="1"/>
  <c r="CC168" i="21"/>
  <c r="CG168" i="21" s="1"/>
  <c r="CA175" i="21"/>
  <c r="CE175" i="21" s="1"/>
  <c r="D175" i="21"/>
  <c r="CA179" i="21"/>
  <c r="CE179" i="21" s="1"/>
  <c r="D179" i="21"/>
  <c r="CB186" i="21"/>
  <c r="CF186" i="21" s="1"/>
  <c r="E186" i="21"/>
  <c r="CC191" i="21"/>
  <c r="F191" i="21"/>
  <c r="CD191" i="21" s="1"/>
  <c r="F201" i="21"/>
  <c r="CD201" i="21" s="1"/>
  <c r="CH201" i="21" s="1"/>
  <c r="CC201" i="21"/>
  <c r="CG201" i="21" s="1"/>
  <c r="E171" i="21"/>
  <c r="CB191" i="21"/>
  <c r="CB206" i="21"/>
  <c r="CF206" i="21" s="1"/>
  <c r="CF207" i="21"/>
  <c r="CC209" i="21"/>
  <c r="CG209" i="21" s="1"/>
  <c r="F209" i="21"/>
  <c r="CD209" i="21" s="1"/>
  <c r="CH209" i="21" s="1"/>
  <c r="CA157" i="21"/>
  <c r="CE157" i="21" s="1"/>
  <c r="D157" i="21"/>
  <c r="CB160" i="21"/>
  <c r="CF160" i="21" s="1"/>
  <c r="E160" i="21"/>
  <c r="E169" i="21"/>
  <c r="D176" i="21"/>
  <c r="D180" i="21"/>
  <c r="CA187" i="21"/>
  <c r="CE187" i="21" s="1"/>
  <c r="D187" i="21"/>
  <c r="E197" i="21"/>
  <c r="CB197" i="21"/>
  <c r="CF197" i="21" s="1"/>
  <c r="CC207" i="21"/>
  <c r="F207" i="21"/>
  <c r="CD207" i="21" s="1"/>
  <c r="C144" i="21"/>
  <c r="C146" i="21"/>
  <c r="CC165" i="21"/>
  <c r="CG165" i="21" s="1"/>
  <c r="F165" i="21"/>
  <c r="CD165" i="21" s="1"/>
  <c r="CH165" i="21" s="1"/>
  <c r="CC167" i="21"/>
  <c r="CG167" i="21" s="1"/>
  <c r="F167" i="21"/>
  <c r="CD167" i="21" s="1"/>
  <c r="CH167" i="21" s="1"/>
  <c r="CE182" i="21"/>
  <c r="CB192" i="21"/>
  <c r="CF192" i="21" s="1"/>
  <c r="E192" i="21"/>
  <c r="D182" i="21"/>
  <c r="CB183" i="21"/>
  <c r="CF183" i="21" s="1"/>
  <c r="D184" i="21"/>
  <c r="CB185" i="21"/>
  <c r="CF185" i="21" s="1"/>
  <c r="CA195" i="21"/>
  <c r="CA197" i="21"/>
  <c r="CE197" i="21" s="1"/>
  <c r="D200" i="21"/>
  <c r="CB201" i="21"/>
  <c r="CF201" i="21" s="1"/>
  <c r="D202" i="21"/>
  <c r="CB203" i="21"/>
  <c r="CF203" i="21" s="1"/>
  <c r="D204" i="21"/>
  <c r="CB205" i="21"/>
  <c r="CF205" i="21" s="1"/>
  <c r="CE207" i="21"/>
  <c r="CA208" i="21"/>
  <c r="CE208" i="21" s="1"/>
  <c r="CA210" i="21"/>
  <c r="CE210" i="21" s="1"/>
  <c r="CB170" i="21"/>
  <c r="CF170" i="21" s="1"/>
  <c r="CB172" i="21"/>
  <c r="CF172" i="21" s="1"/>
  <c r="CA191" i="21"/>
  <c r="CA193" i="21"/>
  <c r="CE193" i="21" s="1"/>
  <c r="F131" i="21" l="1"/>
  <c r="CD131" i="21" s="1"/>
  <c r="CH131" i="21" s="1"/>
  <c r="CC131" i="21"/>
  <c r="CG131" i="21" s="1"/>
  <c r="CB152" i="21"/>
  <c r="CF152" i="21" s="1"/>
  <c r="E152" i="21"/>
  <c r="CB168" i="21"/>
  <c r="CF168" i="21" s="1"/>
  <c r="CB127" i="21"/>
  <c r="CF127" i="21" s="1"/>
  <c r="E91" i="21"/>
  <c r="CC52" i="21"/>
  <c r="CG52" i="21" s="1"/>
  <c r="E62" i="21"/>
  <c r="F172" i="21"/>
  <c r="CD172" i="21" s="1"/>
  <c r="CH172" i="21" s="1"/>
  <c r="CC172" i="21"/>
  <c r="CG172" i="21" s="1"/>
  <c r="CB156" i="21"/>
  <c r="CF156" i="21" s="1"/>
  <c r="E156" i="21"/>
  <c r="CB148" i="21"/>
  <c r="CF148" i="21" s="1"/>
  <c r="E148" i="21"/>
  <c r="F154" i="21"/>
  <c r="CD154" i="21" s="1"/>
  <c r="CH154" i="21" s="1"/>
  <c r="CA181" i="21"/>
  <c r="CE181" i="21" s="1"/>
  <c r="CA162" i="21"/>
  <c r="CE162" i="21" s="1"/>
  <c r="CB63" i="21"/>
  <c r="CF63" i="21" s="1"/>
  <c r="CC178" i="21"/>
  <c r="CG178" i="21" s="1"/>
  <c r="CE191" i="21"/>
  <c r="CA190" i="21"/>
  <c r="CE190" i="21" s="1"/>
  <c r="CB184" i="21"/>
  <c r="CF184" i="21" s="1"/>
  <c r="E184" i="21"/>
  <c r="CA173" i="21"/>
  <c r="CE173" i="21" s="1"/>
  <c r="CC174" i="21"/>
  <c r="F174" i="21"/>
  <c r="CD174" i="21" s="1"/>
  <c r="CC110" i="21"/>
  <c r="CG110" i="21" s="1"/>
  <c r="F110" i="21"/>
  <c r="CD110" i="21" s="1"/>
  <c r="CH110" i="21" s="1"/>
  <c r="CB175" i="21"/>
  <c r="CF175" i="21" s="1"/>
  <c r="E175" i="21"/>
  <c r="CF174" i="21"/>
  <c r="CC62" i="21"/>
  <c r="CG62" i="21" s="1"/>
  <c r="F62" i="21"/>
  <c r="CD62" i="21" s="1"/>
  <c r="CH62" i="21" s="1"/>
  <c r="CC26" i="21"/>
  <c r="CG26" i="21" s="1"/>
  <c r="F26" i="21"/>
  <c r="CD26" i="21" s="1"/>
  <c r="CH26" i="21" s="1"/>
  <c r="CA23" i="21"/>
  <c r="CE23" i="21" s="1"/>
  <c r="CC42" i="21"/>
  <c r="CG42" i="21" s="1"/>
  <c r="F42" i="21"/>
  <c r="CB187" i="21"/>
  <c r="CF187" i="21" s="1"/>
  <c r="E187" i="21"/>
  <c r="E142" i="21"/>
  <c r="CB142" i="21"/>
  <c r="CF142" i="21" s="1"/>
  <c r="CB134" i="21"/>
  <c r="CF134" i="21" s="1"/>
  <c r="E134" i="21"/>
  <c r="CF195" i="21"/>
  <c r="CB194" i="21"/>
  <c r="CF194" i="21" s="1"/>
  <c r="CB159" i="21"/>
  <c r="CF159" i="21" s="1"/>
  <c r="E159" i="21"/>
  <c r="CH163" i="21"/>
  <c r="CC196" i="21"/>
  <c r="CG196" i="21" s="1"/>
  <c r="F196" i="21"/>
  <c r="CD196" i="21" s="1"/>
  <c r="CH196" i="21" s="1"/>
  <c r="CB189" i="21"/>
  <c r="CF189" i="21" s="1"/>
  <c r="E189" i="21"/>
  <c r="CC129" i="21"/>
  <c r="CG129" i="21" s="1"/>
  <c r="F129" i="21"/>
  <c r="CD129" i="21" s="1"/>
  <c r="CH129" i="21" s="1"/>
  <c r="CD127" i="21"/>
  <c r="CH127" i="21" s="1"/>
  <c r="CH128" i="21"/>
  <c r="CC106" i="21"/>
  <c r="CG106" i="21" s="1"/>
  <c r="F106" i="21"/>
  <c r="CD106" i="21" s="1"/>
  <c r="CH106" i="21" s="1"/>
  <c r="CB78" i="21"/>
  <c r="CF78" i="21" s="1"/>
  <c r="E78" i="21"/>
  <c r="CA101" i="21"/>
  <c r="CE101" i="21" s="1"/>
  <c r="F77" i="21"/>
  <c r="CD77" i="21" s="1"/>
  <c r="CH77" i="21" s="1"/>
  <c r="CC77" i="21"/>
  <c r="CG77" i="21" s="1"/>
  <c r="CB55" i="21"/>
  <c r="E55" i="21"/>
  <c r="CB48" i="21"/>
  <c r="CF48" i="21" s="1"/>
  <c r="E48" i="21"/>
  <c r="F47" i="21"/>
  <c r="CD47" i="21" s="1"/>
  <c r="CH47" i="21" s="1"/>
  <c r="CC47" i="21"/>
  <c r="CG47" i="21" s="1"/>
  <c r="CB204" i="21"/>
  <c r="CF204" i="21" s="1"/>
  <c r="E204" i="21"/>
  <c r="CB25" i="21"/>
  <c r="CF25" i="21" s="1"/>
  <c r="E25" i="21"/>
  <c r="CC9" i="21"/>
  <c r="CG9" i="21" s="1"/>
  <c r="F9" i="21"/>
  <c r="CD9" i="21" s="1"/>
  <c r="CH9" i="21" s="1"/>
  <c r="CC124" i="21"/>
  <c r="CG124" i="21" s="1"/>
  <c r="F124" i="21"/>
  <c r="CD124" i="21" s="1"/>
  <c r="CH124" i="21" s="1"/>
  <c r="CC108" i="21"/>
  <c r="CG108" i="21" s="1"/>
  <c r="F108" i="21"/>
  <c r="CD108" i="21" s="1"/>
  <c r="CH108" i="21" s="1"/>
  <c r="CC91" i="21"/>
  <c r="CG91" i="21" s="1"/>
  <c r="F91" i="21"/>
  <c r="CD91" i="21" s="1"/>
  <c r="CH91" i="21" s="1"/>
  <c r="CB202" i="21"/>
  <c r="CF202" i="21" s="1"/>
  <c r="E202" i="21"/>
  <c r="CB182" i="21"/>
  <c r="E182" i="21"/>
  <c r="CA206" i="21"/>
  <c r="CE206" i="21" s="1"/>
  <c r="CH191" i="21"/>
  <c r="E140" i="21"/>
  <c r="CB140" i="21"/>
  <c r="CF140" i="21" s="1"/>
  <c r="F164" i="21"/>
  <c r="CD164" i="21" s="1"/>
  <c r="CH164" i="21" s="1"/>
  <c r="CC164" i="21"/>
  <c r="CG164" i="21" s="1"/>
  <c r="CF118" i="21"/>
  <c r="F195" i="21"/>
  <c r="CD195" i="21" s="1"/>
  <c r="CC195" i="21"/>
  <c r="CG163" i="21"/>
  <c r="CG128" i="21"/>
  <c r="CC127" i="21"/>
  <c r="CG127" i="21" s="1"/>
  <c r="CC104" i="21"/>
  <c r="F104" i="21"/>
  <c r="CD104" i="21" s="1"/>
  <c r="CB76" i="21"/>
  <c r="CF76" i="21" s="1"/>
  <c r="E76" i="21"/>
  <c r="E111" i="21"/>
  <c r="CB111" i="21"/>
  <c r="CF111" i="21" s="1"/>
  <c r="CF69" i="21"/>
  <c r="CC56" i="21"/>
  <c r="CG56" i="21" s="1"/>
  <c r="F56" i="21"/>
  <c r="CD56" i="21" s="1"/>
  <c r="CH56" i="21" s="1"/>
  <c r="F75" i="21"/>
  <c r="CD75" i="21" s="1"/>
  <c r="CH75" i="21" s="1"/>
  <c r="CC75" i="21"/>
  <c r="CG75" i="21" s="1"/>
  <c r="F44" i="21"/>
  <c r="CC44" i="21"/>
  <c r="CG44" i="21" s="1"/>
  <c r="F57" i="21"/>
  <c r="CD57" i="21" s="1"/>
  <c r="CH57" i="21" s="1"/>
  <c r="CC57" i="21"/>
  <c r="CG57" i="21" s="1"/>
  <c r="CC28" i="21"/>
  <c r="CG28" i="21" s="1"/>
  <c r="F28" i="21"/>
  <c r="CD28" i="21" s="1"/>
  <c r="CH28" i="21" s="1"/>
  <c r="CC33" i="21"/>
  <c r="CG33" i="21" s="1"/>
  <c r="F33" i="21"/>
  <c r="CD33" i="21" s="1"/>
  <c r="CH33" i="21" s="1"/>
  <c r="F12" i="21"/>
  <c r="CD12" i="21" s="1"/>
  <c r="CH12" i="21" s="1"/>
  <c r="CC12" i="21"/>
  <c r="CG12" i="21" s="1"/>
  <c r="CB29" i="21"/>
  <c r="CF29" i="21" s="1"/>
  <c r="F36" i="21"/>
  <c r="CC36" i="21"/>
  <c r="CC171" i="21"/>
  <c r="CG171" i="21" s="1"/>
  <c r="F171" i="21"/>
  <c r="CD171" i="21" s="1"/>
  <c r="CH171" i="21" s="1"/>
  <c r="CC126" i="21"/>
  <c r="CG126" i="21" s="1"/>
  <c r="F126" i="21"/>
  <c r="CD126" i="21" s="1"/>
  <c r="CH126" i="21" s="1"/>
  <c r="E123" i="21"/>
  <c r="CB123" i="21"/>
  <c r="E83" i="21"/>
  <c r="CB83" i="21"/>
  <c r="CF83" i="21" s="1"/>
  <c r="CC87" i="21"/>
  <c r="F87" i="21"/>
  <c r="CD87" i="21" s="1"/>
  <c r="CC54" i="21"/>
  <c r="F54" i="21"/>
  <c r="CD54" i="21" s="1"/>
  <c r="CB13" i="21"/>
  <c r="CF13" i="21" s="1"/>
  <c r="E13" i="21"/>
  <c r="F197" i="21"/>
  <c r="CD197" i="21" s="1"/>
  <c r="CH197" i="21" s="1"/>
  <c r="CC197" i="21"/>
  <c r="CG197" i="21" s="1"/>
  <c r="CA122" i="21"/>
  <c r="CE122" i="21" s="1"/>
  <c r="CE123" i="21"/>
  <c r="CC93" i="21"/>
  <c r="CG93" i="21" s="1"/>
  <c r="F93" i="21"/>
  <c r="CD93" i="21" s="1"/>
  <c r="CH93" i="21" s="1"/>
  <c r="CB200" i="21"/>
  <c r="E200" i="21"/>
  <c r="CC192" i="21"/>
  <c r="CG192" i="21" s="1"/>
  <c r="F192" i="21"/>
  <c r="CD192" i="21" s="1"/>
  <c r="CH192" i="21" s="1"/>
  <c r="CA146" i="21"/>
  <c r="CE146" i="21" s="1"/>
  <c r="D146" i="21"/>
  <c r="CB180" i="21"/>
  <c r="CF180" i="21" s="1"/>
  <c r="E180" i="21"/>
  <c r="CG191" i="21"/>
  <c r="E138" i="21"/>
  <c r="CB138" i="21"/>
  <c r="CB132" i="21"/>
  <c r="CF132" i="21" s="1"/>
  <c r="E132" i="21"/>
  <c r="CC188" i="21"/>
  <c r="CG188" i="21" s="1"/>
  <c r="F188" i="21"/>
  <c r="CD188" i="21" s="1"/>
  <c r="CH188" i="21" s="1"/>
  <c r="CB149" i="21"/>
  <c r="E149" i="21"/>
  <c r="CB151" i="21"/>
  <c r="CF151" i="21" s="1"/>
  <c r="E151" i="21"/>
  <c r="CB153" i="21"/>
  <c r="CF153" i="21" s="1"/>
  <c r="E153" i="21"/>
  <c r="CB119" i="21"/>
  <c r="CF119" i="21" s="1"/>
  <c r="E119" i="21"/>
  <c r="CA117" i="21"/>
  <c r="CE117" i="21" s="1"/>
  <c r="CB74" i="21"/>
  <c r="CF74" i="21" s="1"/>
  <c r="E74" i="21"/>
  <c r="F69" i="21"/>
  <c r="CD69" i="21" s="1"/>
  <c r="CC69" i="21"/>
  <c r="F71" i="21"/>
  <c r="CD71" i="21" s="1"/>
  <c r="CH71" i="21" s="1"/>
  <c r="CC71" i="21"/>
  <c r="CG71" i="21" s="1"/>
  <c r="CE50" i="21"/>
  <c r="CA49" i="21"/>
  <c r="CE49" i="21" s="1"/>
  <c r="CC95" i="21"/>
  <c r="CG95" i="21" s="1"/>
  <c r="F95" i="21"/>
  <c r="CD95" i="21" s="1"/>
  <c r="CH95" i="21" s="1"/>
  <c r="CA43" i="21"/>
  <c r="CE43" i="21" s="1"/>
  <c r="F40" i="21"/>
  <c r="CC40" i="21"/>
  <c r="CG40" i="21" s="1"/>
  <c r="E39" i="21"/>
  <c r="E81" i="21"/>
  <c r="CB81" i="21"/>
  <c r="E113" i="21"/>
  <c r="CB113" i="21"/>
  <c r="CF113" i="21" s="1"/>
  <c r="CA144" i="21"/>
  <c r="D144" i="21"/>
  <c r="CB176" i="21"/>
  <c r="CF176" i="21" s="1"/>
  <c r="E176" i="21"/>
  <c r="CC186" i="21"/>
  <c r="CG186" i="21" s="1"/>
  <c r="F186" i="21"/>
  <c r="CD186" i="21" s="1"/>
  <c r="CH186" i="21" s="1"/>
  <c r="F166" i="21"/>
  <c r="CD166" i="21" s="1"/>
  <c r="CH166" i="21" s="1"/>
  <c r="CC166" i="21"/>
  <c r="CG166" i="21" s="1"/>
  <c r="F208" i="21"/>
  <c r="CD208" i="21" s="1"/>
  <c r="CH208" i="21" s="1"/>
  <c r="CC208" i="21"/>
  <c r="CG208" i="21" s="1"/>
  <c r="CF131" i="21"/>
  <c r="F210" i="21"/>
  <c r="CD210" i="21" s="1"/>
  <c r="CH210" i="21" s="1"/>
  <c r="CC210" i="21"/>
  <c r="CG210" i="21" s="1"/>
  <c r="CC100" i="21"/>
  <c r="CG100" i="21" s="1"/>
  <c r="F100" i="21"/>
  <c r="CD100" i="21" s="1"/>
  <c r="CH100" i="21" s="1"/>
  <c r="CB72" i="21"/>
  <c r="CF72" i="21" s="1"/>
  <c r="E72" i="21"/>
  <c r="E109" i="21"/>
  <c r="CB109" i="21"/>
  <c r="CF109" i="21" s="1"/>
  <c r="CC67" i="21"/>
  <c r="CG67" i="21" s="1"/>
  <c r="F67" i="21"/>
  <c r="CD67" i="21" s="1"/>
  <c r="CC49" i="21"/>
  <c r="CG49" i="21" s="1"/>
  <c r="CG50" i="21"/>
  <c r="CG66" i="21"/>
  <c r="CD38" i="21"/>
  <c r="CH38" i="21" s="1"/>
  <c r="G38" i="21"/>
  <c r="CC46" i="21"/>
  <c r="F46" i="21"/>
  <c r="CD46" i="21" s="1"/>
  <c r="CC7" i="21"/>
  <c r="CG7" i="21" s="1"/>
  <c r="F7" i="21"/>
  <c r="CD7" i="21" s="1"/>
  <c r="CH7" i="21" s="1"/>
  <c r="G37" i="21"/>
  <c r="CD37" i="21"/>
  <c r="CH37" i="21" s="1"/>
  <c r="CC3" i="21"/>
  <c r="F3" i="21"/>
  <c r="CD3" i="21" s="1"/>
  <c r="CH30" i="21"/>
  <c r="CB11" i="21"/>
  <c r="E11" i="21"/>
  <c r="CE195" i="21"/>
  <c r="CA194" i="21"/>
  <c r="CE194" i="21" s="1"/>
  <c r="CH207" i="21"/>
  <c r="CC169" i="21"/>
  <c r="CG169" i="21" s="1"/>
  <c r="F169" i="21"/>
  <c r="CD169" i="21" s="1"/>
  <c r="CH169" i="21" s="1"/>
  <c r="F158" i="21"/>
  <c r="CD158" i="21" s="1"/>
  <c r="CH158" i="21" s="1"/>
  <c r="CC158" i="21"/>
  <c r="CG158" i="21" s="1"/>
  <c r="CC198" i="21"/>
  <c r="CG198" i="21" s="1"/>
  <c r="F198" i="21"/>
  <c r="CD198" i="21" s="1"/>
  <c r="CH198" i="21" s="1"/>
  <c r="CC141" i="21"/>
  <c r="CG141" i="21" s="1"/>
  <c r="F141" i="21"/>
  <c r="CD141" i="21" s="1"/>
  <c r="CH141" i="21" s="1"/>
  <c r="CB177" i="21"/>
  <c r="CF177" i="21" s="1"/>
  <c r="E177" i="21"/>
  <c r="CB121" i="21"/>
  <c r="CF121" i="21" s="1"/>
  <c r="E121" i="21"/>
  <c r="E125" i="21"/>
  <c r="CB125" i="21"/>
  <c r="CF125" i="21" s="1"/>
  <c r="CA147" i="21"/>
  <c r="CE147" i="21" s="1"/>
  <c r="CB155" i="21"/>
  <c r="CF155" i="21" s="1"/>
  <c r="E155" i="21"/>
  <c r="E99" i="21"/>
  <c r="CB99" i="21"/>
  <c r="CB161" i="21"/>
  <c r="CF161" i="21" s="1"/>
  <c r="E161" i="21"/>
  <c r="CC114" i="21"/>
  <c r="CG114" i="21" s="1"/>
  <c r="F114" i="21"/>
  <c r="CD114" i="21" s="1"/>
  <c r="CH114" i="21" s="1"/>
  <c r="CC98" i="21"/>
  <c r="F98" i="21"/>
  <c r="CD98" i="21" s="1"/>
  <c r="CB70" i="21"/>
  <c r="CF70" i="21" s="1"/>
  <c r="E70" i="21"/>
  <c r="E41" i="21"/>
  <c r="CB85" i="21"/>
  <c r="CF85" i="21" s="1"/>
  <c r="CB45" i="21"/>
  <c r="CF45" i="21" s="1"/>
  <c r="CF46" i="21"/>
  <c r="CC24" i="21"/>
  <c r="F24" i="21"/>
  <c r="CD24" i="21" s="1"/>
  <c r="CB2" i="21"/>
  <c r="CF3" i="21"/>
  <c r="F14" i="21"/>
  <c r="CD14" i="21" s="1"/>
  <c r="CH14" i="21" s="1"/>
  <c r="CC14" i="21"/>
  <c r="CG14" i="21" s="1"/>
  <c r="CG30" i="21"/>
  <c r="CC137" i="21"/>
  <c r="F137" i="21"/>
  <c r="CD137" i="21" s="1"/>
  <c r="CC82" i="21"/>
  <c r="CG82" i="21" s="1"/>
  <c r="F82" i="21"/>
  <c r="CD82" i="21" s="1"/>
  <c r="CH82" i="21" s="1"/>
  <c r="CG61" i="21"/>
  <c r="F73" i="21"/>
  <c r="CD73" i="21" s="1"/>
  <c r="CH73" i="21" s="1"/>
  <c r="CC73" i="21"/>
  <c r="CG73" i="21" s="1"/>
  <c r="CB157" i="21"/>
  <c r="CF157" i="21" s="1"/>
  <c r="E157" i="21"/>
  <c r="E145" i="21"/>
  <c r="CB145" i="21"/>
  <c r="CF145" i="21" s="1"/>
  <c r="CB162" i="21"/>
  <c r="CF162" i="21" s="1"/>
  <c r="CC80" i="21"/>
  <c r="F80" i="21"/>
  <c r="CD80" i="21" s="1"/>
  <c r="CC193" i="21"/>
  <c r="CG193" i="21" s="1"/>
  <c r="F193" i="21"/>
  <c r="CD193" i="21" s="1"/>
  <c r="CH193" i="21" s="1"/>
  <c r="E105" i="21"/>
  <c r="CB105" i="21"/>
  <c r="CF61" i="21"/>
  <c r="CB58" i="21"/>
  <c r="CF58" i="21" s="1"/>
  <c r="CG207" i="21"/>
  <c r="F160" i="21"/>
  <c r="CD160" i="21" s="1"/>
  <c r="CH160" i="21" s="1"/>
  <c r="CC160" i="21"/>
  <c r="CG160" i="21" s="1"/>
  <c r="CF191" i="21"/>
  <c r="CB190" i="21"/>
  <c r="CF190" i="21" s="1"/>
  <c r="CB179" i="21"/>
  <c r="CF179" i="21" s="1"/>
  <c r="E179" i="21"/>
  <c r="CC139" i="21"/>
  <c r="CG139" i="21" s="1"/>
  <c r="F139" i="21"/>
  <c r="CD139" i="21" s="1"/>
  <c r="CH139" i="21" s="1"/>
  <c r="CE128" i="21"/>
  <c r="CA127" i="21"/>
  <c r="CE127" i="21" s="1"/>
  <c r="CC112" i="21"/>
  <c r="CG112" i="21" s="1"/>
  <c r="F112" i="21"/>
  <c r="CD112" i="21" s="1"/>
  <c r="CH112" i="21" s="1"/>
  <c r="CC84" i="21"/>
  <c r="CG84" i="21" s="1"/>
  <c r="F84" i="21"/>
  <c r="CD84" i="21" s="1"/>
  <c r="CH84" i="21" s="1"/>
  <c r="E115" i="21"/>
  <c r="CB115" i="21"/>
  <c r="CF115" i="21" s="1"/>
  <c r="E107" i="21"/>
  <c r="CB107" i="21"/>
  <c r="CF107" i="21" s="1"/>
  <c r="CC89" i="21"/>
  <c r="CG89" i="21" s="1"/>
  <c r="F89" i="21"/>
  <c r="CD89" i="21" s="1"/>
  <c r="CH89" i="21" s="1"/>
  <c r="CC34" i="21"/>
  <c r="CG34" i="21" s="1"/>
  <c r="F34" i="21"/>
  <c r="CD34" i="21" s="1"/>
  <c r="CH34" i="21" s="1"/>
  <c r="CD58" i="21"/>
  <c r="CH58" i="21" s="1"/>
  <c r="CE30" i="21"/>
  <c r="CA29" i="21"/>
  <c r="CE29" i="21" s="1"/>
  <c r="CF24" i="21"/>
  <c r="CB23" i="21"/>
  <c r="CF23" i="21" s="1"/>
  <c r="CC31" i="21"/>
  <c r="CG31" i="21" s="1"/>
  <c r="F31" i="21"/>
  <c r="CD31" i="21" s="1"/>
  <c r="CH31" i="21" s="1"/>
  <c r="CC5" i="21"/>
  <c r="CG5" i="21" s="1"/>
  <c r="F5" i="21"/>
  <c r="CD5" i="21" s="1"/>
  <c r="CH5" i="21" s="1"/>
  <c r="CB27" i="21"/>
  <c r="CF27" i="21" s="1"/>
  <c r="E27" i="21"/>
  <c r="CC152" i="21" l="1"/>
  <c r="CG152" i="21" s="1"/>
  <c r="F152" i="21"/>
  <c r="CD152" i="21" s="1"/>
  <c r="CH152" i="21" s="1"/>
  <c r="CC148" i="21"/>
  <c r="CG148" i="21" s="1"/>
  <c r="F148" i="21"/>
  <c r="CD148" i="21" s="1"/>
  <c r="CH148" i="21" s="1"/>
  <c r="CC156" i="21"/>
  <c r="CG156" i="21" s="1"/>
  <c r="F156" i="21"/>
  <c r="CD156" i="21" s="1"/>
  <c r="CH156" i="21" s="1"/>
  <c r="CH137" i="21"/>
  <c r="F99" i="21"/>
  <c r="CD99" i="21" s="1"/>
  <c r="CH99" i="21" s="1"/>
  <c r="CC99" i="21"/>
  <c r="CG99" i="21" s="1"/>
  <c r="F151" i="21"/>
  <c r="CD151" i="21" s="1"/>
  <c r="CH151" i="21" s="1"/>
  <c r="CC151" i="21"/>
  <c r="CG151" i="21" s="1"/>
  <c r="CG36" i="21"/>
  <c r="F187" i="21"/>
  <c r="CD187" i="21" s="1"/>
  <c r="CH187" i="21" s="1"/>
  <c r="CC187" i="21"/>
  <c r="CG187" i="21" s="1"/>
  <c r="CG137" i="21"/>
  <c r="CG24" i="21"/>
  <c r="CH98" i="21"/>
  <c r="F155" i="21"/>
  <c r="CD155" i="21" s="1"/>
  <c r="CH155" i="21" s="1"/>
  <c r="CC155" i="21"/>
  <c r="CG155" i="21" s="1"/>
  <c r="CD29" i="21"/>
  <c r="CH29" i="21" s="1"/>
  <c r="CG46" i="21"/>
  <c r="CC113" i="21"/>
  <c r="CG113" i="21" s="1"/>
  <c r="F113" i="21"/>
  <c r="CD113" i="21" s="1"/>
  <c r="CH113" i="21" s="1"/>
  <c r="CC74" i="21"/>
  <c r="CG74" i="21" s="1"/>
  <c r="F74" i="21"/>
  <c r="CD74" i="21" s="1"/>
  <c r="CH74" i="21" s="1"/>
  <c r="F138" i="21"/>
  <c r="CD138" i="21" s="1"/>
  <c r="CH138" i="21" s="1"/>
  <c r="CC138" i="21"/>
  <c r="CG138" i="21" s="1"/>
  <c r="F83" i="21"/>
  <c r="CD83" i="21" s="1"/>
  <c r="CH83" i="21" s="1"/>
  <c r="CC83" i="21"/>
  <c r="CG83" i="21" s="1"/>
  <c r="G36" i="21"/>
  <c r="CD36" i="21"/>
  <c r="CB68" i="21"/>
  <c r="CF68" i="21" s="1"/>
  <c r="CB181" i="21"/>
  <c r="CF181" i="21" s="1"/>
  <c r="CF182" i="21"/>
  <c r="CB173" i="21"/>
  <c r="CF173" i="21" s="1"/>
  <c r="CC157" i="21"/>
  <c r="CG157" i="21" s="1"/>
  <c r="F157" i="21"/>
  <c r="CD157" i="21" s="1"/>
  <c r="CH157" i="21" s="1"/>
  <c r="CH67" i="21"/>
  <c r="CD63" i="21"/>
  <c r="CH63" i="21" s="1"/>
  <c r="CH69" i="21"/>
  <c r="CG104" i="21"/>
  <c r="CC182" i="21"/>
  <c r="F182" i="21"/>
  <c r="CD182" i="21" s="1"/>
  <c r="CH182" i="21" s="1"/>
  <c r="CG174" i="21"/>
  <c r="F27" i="21"/>
  <c r="CD27" i="21" s="1"/>
  <c r="CH27" i="21" s="1"/>
  <c r="CC27" i="21"/>
  <c r="CG27" i="21" s="1"/>
  <c r="CC107" i="21"/>
  <c r="CG107" i="21" s="1"/>
  <c r="F107" i="21"/>
  <c r="CD107" i="21" s="1"/>
  <c r="CH107" i="21" s="1"/>
  <c r="CC29" i="21"/>
  <c r="CG29" i="21" s="1"/>
  <c r="CC97" i="21"/>
  <c r="CG97" i="21" s="1"/>
  <c r="CG98" i="21"/>
  <c r="CD206" i="21"/>
  <c r="CH206" i="21" s="1"/>
  <c r="CH3" i="21"/>
  <c r="CD2" i="21"/>
  <c r="CA38" i="21"/>
  <c r="CE38" i="21" s="1"/>
  <c r="H38" i="21"/>
  <c r="CB38" i="21" s="1"/>
  <c r="CF38" i="21" s="1"/>
  <c r="CB130" i="21"/>
  <c r="CF130" i="21" s="1"/>
  <c r="CF81" i="21"/>
  <c r="CB79" i="21"/>
  <c r="CF79" i="21" s="1"/>
  <c r="F149" i="21"/>
  <c r="CD149" i="21" s="1"/>
  <c r="CC149" i="21"/>
  <c r="CC190" i="21"/>
  <c r="CG190" i="21" s="1"/>
  <c r="CC200" i="21"/>
  <c r="F200" i="21"/>
  <c r="CD200" i="21" s="1"/>
  <c r="CC13" i="21"/>
  <c r="CG13" i="21" s="1"/>
  <c r="F13" i="21"/>
  <c r="CD13" i="21" s="1"/>
  <c r="CH13" i="21" s="1"/>
  <c r="CF123" i="21"/>
  <c r="CB122" i="21"/>
  <c r="CF122" i="21" s="1"/>
  <c r="CC202" i="21"/>
  <c r="CG202" i="21" s="1"/>
  <c r="F202" i="21"/>
  <c r="CD202" i="21" s="1"/>
  <c r="CH202" i="21" s="1"/>
  <c r="CE2" i="21"/>
  <c r="CC78" i="21"/>
  <c r="CG78" i="21" s="1"/>
  <c r="F78" i="21"/>
  <c r="CD78" i="21" s="1"/>
  <c r="CH78" i="21" s="1"/>
  <c r="F189" i="21"/>
  <c r="CD189" i="21" s="1"/>
  <c r="CH189" i="21" s="1"/>
  <c r="CC189" i="21"/>
  <c r="CG189" i="21" s="1"/>
  <c r="G42" i="21"/>
  <c r="CD42" i="21"/>
  <c r="CH42" i="21" s="1"/>
  <c r="CC184" i="21"/>
  <c r="CG184" i="21" s="1"/>
  <c r="F184" i="21"/>
  <c r="CD184" i="21" s="1"/>
  <c r="CH184" i="21" s="1"/>
  <c r="CD23" i="21"/>
  <c r="CH23" i="21" s="1"/>
  <c r="CH24" i="21"/>
  <c r="F177" i="21"/>
  <c r="CD177" i="21" s="1"/>
  <c r="CH177" i="21" s="1"/>
  <c r="CC177" i="21"/>
  <c r="CG177" i="21" s="1"/>
  <c r="CH80" i="21"/>
  <c r="CG3" i="21"/>
  <c r="CC2" i="21"/>
  <c r="CC109" i="21"/>
  <c r="CG109" i="21" s="1"/>
  <c r="F109" i="21"/>
  <c r="CD109" i="21" s="1"/>
  <c r="CH109" i="21" s="1"/>
  <c r="F81" i="21"/>
  <c r="CD81" i="21" s="1"/>
  <c r="CH81" i="21" s="1"/>
  <c r="CC81" i="21"/>
  <c r="CG81" i="21" s="1"/>
  <c r="CF149" i="21"/>
  <c r="CB147" i="21"/>
  <c r="CF147" i="21" s="1"/>
  <c r="CB199" i="21"/>
  <c r="CF199" i="21" s="1"/>
  <c r="CF200" i="21"/>
  <c r="F123" i="21"/>
  <c r="CD123" i="21" s="1"/>
  <c r="CC123" i="21"/>
  <c r="CC48" i="21"/>
  <c r="CG48" i="21" s="1"/>
  <c r="F48" i="21"/>
  <c r="CD48" i="21" s="1"/>
  <c r="CH48" i="21" s="1"/>
  <c r="F175" i="21"/>
  <c r="CD175" i="21" s="1"/>
  <c r="CH175" i="21" s="1"/>
  <c r="CC175" i="21"/>
  <c r="CG175" i="21" s="1"/>
  <c r="CC115" i="21"/>
  <c r="CG115" i="21" s="1"/>
  <c r="F115" i="21"/>
  <c r="CD115" i="21" s="1"/>
  <c r="CH115" i="21" s="1"/>
  <c r="CC206" i="21"/>
  <c r="CG206" i="21" s="1"/>
  <c r="CC79" i="21"/>
  <c r="CG79" i="21" s="1"/>
  <c r="CG80" i="21"/>
  <c r="CC58" i="21"/>
  <c r="CG58" i="21" s="1"/>
  <c r="CC63" i="21"/>
  <c r="CG63" i="21" s="1"/>
  <c r="CC72" i="21"/>
  <c r="CG72" i="21" s="1"/>
  <c r="F72" i="21"/>
  <c r="CD72" i="21" s="1"/>
  <c r="CH72" i="21" s="1"/>
  <c r="CC176" i="21"/>
  <c r="CG176" i="21" s="1"/>
  <c r="F176" i="21"/>
  <c r="CD176" i="21" s="1"/>
  <c r="CH176" i="21" s="1"/>
  <c r="CC119" i="21"/>
  <c r="F119" i="21"/>
  <c r="CD119" i="21" s="1"/>
  <c r="CC180" i="21"/>
  <c r="CG180" i="21" s="1"/>
  <c r="F180" i="21"/>
  <c r="CD180" i="21" s="1"/>
  <c r="CH180" i="21" s="1"/>
  <c r="CH54" i="21"/>
  <c r="G44" i="21"/>
  <c r="CD44" i="21"/>
  <c r="CH44" i="21" s="1"/>
  <c r="CC111" i="21"/>
  <c r="CG111" i="21" s="1"/>
  <c r="F111" i="21"/>
  <c r="CD111" i="21" s="1"/>
  <c r="CH111" i="21" s="1"/>
  <c r="CC162" i="21"/>
  <c r="CG162" i="21" s="1"/>
  <c r="F140" i="21"/>
  <c r="CD140" i="21" s="1"/>
  <c r="CH140" i="21" s="1"/>
  <c r="CC140" i="21"/>
  <c r="CG140" i="21" s="1"/>
  <c r="F25" i="21"/>
  <c r="CD25" i="21" s="1"/>
  <c r="CH25" i="21" s="1"/>
  <c r="CC25" i="21"/>
  <c r="CG25" i="21" s="1"/>
  <c r="CC134" i="21"/>
  <c r="CG134" i="21" s="1"/>
  <c r="F134" i="21"/>
  <c r="CD134" i="21" s="1"/>
  <c r="CH134" i="21" s="1"/>
  <c r="CC159" i="21"/>
  <c r="CG159" i="21" s="1"/>
  <c r="F159" i="21"/>
  <c r="CD159" i="21" s="1"/>
  <c r="CH159" i="21" s="1"/>
  <c r="F179" i="21"/>
  <c r="CD179" i="21" s="1"/>
  <c r="CH179" i="21" s="1"/>
  <c r="CC179" i="21"/>
  <c r="CG179" i="21" s="1"/>
  <c r="CC41" i="21"/>
  <c r="CG41" i="21" s="1"/>
  <c r="F41" i="21"/>
  <c r="CC161" i="21"/>
  <c r="CG161" i="21" s="1"/>
  <c r="F161" i="21"/>
  <c r="CD161" i="21" s="1"/>
  <c r="CH161" i="21" s="1"/>
  <c r="F125" i="21"/>
  <c r="CD125" i="21" s="1"/>
  <c r="CH125" i="21" s="1"/>
  <c r="CC125" i="21"/>
  <c r="CG125" i="21" s="1"/>
  <c r="H37" i="21"/>
  <c r="CB37" i="21" s="1"/>
  <c r="CF37" i="21" s="1"/>
  <c r="CA37" i="21"/>
  <c r="CE37" i="21" s="1"/>
  <c r="F39" i="21"/>
  <c r="CC39" i="21"/>
  <c r="CG39" i="21" s="1"/>
  <c r="CG54" i="21"/>
  <c r="CC76" i="21"/>
  <c r="CG76" i="21" s="1"/>
  <c r="F76" i="21"/>
  <c r="CD76" i="21" s="1"/>
  <c r="CH76" i="21" s="1"/>
  <c r="CG195" i="21"/>
  <c r="CC194" i="21"/>
  <c r="CG194" i="21" s="1"/>
  <c r="F55" i="21"/>
  <c r="CD55" i="21" s="1"/>
  <c r="CH55" i="21" s="1"/>
  <c r="CC55" i="21"/>
  <c r="CG55" i="21" s="1"/>
  <c r="CC121" i="21"/>
  <c r="CG121" i="21" s="1"/>
  <c r="F121" i="21"/>
  <c r="CD121" i="21" s="1"/>
  <c r="CH121" i="21" s="1"/>
  <c r="CC11" i="21"/>
  <c r="F11" i="21"/>
  <c r="CD11" i="21" s="1"/>
  <c r="CB144" i="21"/>
  <c r="CF144" i="21" s="1"/>
  <c r="E144" i="21"/>
  <c r="F153" i="21"/>
  <c r="CD153" i="21" s="1"/>
  <c r="CH153" i="21" s="1"/>
  <c r="CC153" i="21"/>
  <c r="CG153" i="21" s="1"/>
  <c r="CC132" i="21"/>
  <c r="F132" i="21"/>
  <c r="CD132" i="21" s="1"/>
  <c r="CB146" i="21"/>
  <c r="CF146" i="21" s="1"/>
  <c r="E146" i="21"/>
  <c r="CH87" i="21"/>
  <c r="CD85" i="21"/>
  <c r="CH85" i="21" s="1"/>
  <c r="CH195" i="21"/>
  <c r="CD194" i="21"/>
  <c r="CH194" i="21" s="1"/>
  <c r="CD190" i="21"/>
  <c r="CH190" i="21" s="1"/>
  <c r="CC204" i="21"/>
  <c r="CG204" i="21" s="1"/>
  <c r="F204" i="21"/>
  <c r="CD204" i="21" s="1"/>
  <c r="CH204" i="21" s="1"/>
  <c r="CF55" i="21"/>
  <c r="CB53" i="21"/>
  <c r="CF53" i="21" s="1"/>
  <c r="CD162" i="21"/>
  <c r="CH162" i="21" s="1"/>
  <c r="F178" i="21"/>
  <c r="CD178" i="21" s="1"/>
  <c r="CH178" i="21" s="1"/>
  <c r="CC105" i="21"/>
  <c r="CG105" i="21" s="1"/>
  <c r="F105" i="21"/>
  <c r="CD105" i="21" s="1"/>
  <c r="CH105" i="21" s="1"/>
  <c r="CH46" i="21"/>
  <c r="CD45" i="21"/>
  <c r="CH45" i="21" s="1"/>
  <c r="CF138" i="21"/>
  <c r="CB136" i="21"/>
  <c r="CF136" i="21" s="1"/>
  <c r="CF105" i="21"/>
  <c r="CB101" i="21"/>
  <c r="CF101" i="21" s="1"/>
  <c r="F145" i="21"/>
  <c r="CD145" i="21" s="1"/>
  <c r="CH145" i="21" s="1"/>
  <c r="CC145" i="21"/>
  <c r="CG145" i="21" s="1"/>
  <c r="CF2" i="21"/>
  <c r="CC70" i="21"/>
  <c r="CG70" i="21" s="1"/>
  <c r="F70" i="21"/>
  <c r="CD70" i="21" s="1"/>
  <c r="CH70" i="21" s="1"/>
  <c r="CF99" i="21"/>
  <c r="CB97" i="21"/>
  <c r="CF97" i="21" s="1"/>
  <c r="CB10" i="21"/>
  <c r="CF10" i="21" s="1"/>
  <c r="CF11" i="21"/>
  <c r="CE144" i="21"/>
  <c r="CA143" i="21"/>
  <c r="CE143" i="21" s="1"/>
  <c r="G40" i="21"/>
  <c r="CD40" i="21"/>
  <c r="CH40" i="21" s="1"/>
  <c r="CG69" i="21"/>
  <c r="CG87" i="21"/>
  <c r="CC85" i="21"/>
  <c r="CG85" i="21" s="1"/>
  <c r="CH104" i="21"/>
  <c r="CD101" i="21"/>
  <c r="CH101" i="21" s="1"/>
  <c r="CB117" i="21"/>
  <c r="CF117" i="21" s="1"/>
  <c r="F142" i="21"/>
  <c r="CD142" i="21" s="1"/>
  <c r="CH142" i="21" s="1"/>
  <c r="CC142" i="21"/>
  <c r="CG142" i="21" s="1"/>
  <c r="CH174" i="21"/>
  <c r="CD79" i="21" l="1"/>
  <c r="CH79" i="21" s="1"/>
  <c r="CC173" i="21"/>
  <c r="CG173" i="21" s="1"/>
  <c r="CD97" i="21"/>
  <c r="CH97" i="21" s="1"/>
  <c r="CC35" i="21"/>
  <c r="CG35" i="21" s="1"/>
  <c r="H40" i="21"/>
  <c r="CB40" i="21" s="1"/>
  <c r="CF40" i="21" s="1"/>
  <c r="CA40" i="21"/>
  <c r="CE40" i="21" s="1"/>
  <c r="CC146" i="21"/>
  <c r="CG146" i="21" s="1"/>
  <c r="F146" i="21"/>
  <c r="CD146" i="21" s="1"/>
  <c r="CH146" i="21" s="1"/>
  <c r="CH11" i="21"/>
  <c r="CD10" i="21"/>
  <c r="CH10" i="21" s="1"/>
  <c r="CH149" i="21"/>
  <c r="CD147" i="21"/>
  <c r="CH147" i="21" s="1"/>
  <c r="CH36" i="21"/>
  <c r="CA42" i="21"/>
  <c r="CE42" i="21" s="1"/>
  <c r="H42" i="21"/>
  <c r="CB42" i="21" s="1"/>
  <c r="CF42" i="21" s="1"/>
  <c r="CH132" i="21"/>
  <c r="CD130" i="21"/>
  <c r="CH130" i="21" s="1"/>
  <c r="CG119" i="21"/>
  <c r="CC117" i="21"/>
  <c r="CG117" i="21" s="1"/>
  <c r="CG123" i="21"/>
  <c r="CC122" i="21"/>
  <c r="CG122" i="21" s="1"/>
  <c r="CC23" i="21"/>
  <c r="CG23" i="21" s="1"/>
  <c r="CH119" i="21"/>
  <c r="CD117" i="21"/>
  <c r="CH117" i="21" s="1"/>
  <c r="CG132" i="21"/>
  <c r="CC130" i="21"/>
  <c r="CG130" i="21" s="1"/>
  <c r="CC53" i="21"/>
  <c r="CG53" i="21" s="1"/>
  <c r="CH123" i="21"/>
  <c r="CD122" i="21"/>
  <c r="CH122" i="21" s="1"/>
  <c r="CC181" i="21"/>
  <c r="CG181" i="21" s="1"/>
  <c r="CG182" i="21"/>
  <c r="CC45" i="21"/>
  <c r="CG45" i="21" s="1"/>
  <c r="CG149" i="21"/>
  <c r="CC147" i="21"/>
  <c r="CG147" i="21" s="1"/>
  <c r="CA36" i="21"/>
  <c r="H36" i="21"/>
  <c r="CB36" i="21" s="1"/>
  <c r="CD41" i="21"/>
  <c r="CH41" i="21" s="1"/>
  <c r="G41" i="21"/>
  <c r="CA44" i="21"/>
  <c r="CE44" i="21" s="1"/>
  <c r="H44" i="21"/>
  <c r="CB44" i="21" s="1"/>
  <c r="CF44" i="21" s="1"/>
  <c r="CG2" i="21"/>
  <c r="CD199" i="21"/>
  <c r="CH199" i="21" s="1"/>
  <c r="CH200" i="21"/>
  <c r="CC101" i="21"/>
  <c r="CG101" i="21" s="1"/>
  <c r="CC136" i="21"/>
  <c r="CG136" i="21" s="1"/>
  <c r="CC10" i="21"/>
  <c r="CG10" i="21" s="1"/>
  <c r="CG11" i="21"/>
  <c r="CC199" i="21"/>
  <c r="CG199" i="21" s="1"/>
  <c r="CG200" i="21"/>
  <c r="CD173" i="21"/>
  <c r="CH173" i="21" s="1"/>
  <c r="CC68" i="21"/>
  <c r="CG68" i="21" s="1"/>
  <c r="CD39" i="21"/>
  <c r="CH39" i="21" s="1"/>
  <c r="G39" i="21"/>
  <c r="CC144" i="21"/>
  <c r="F144" i="21"/>
  <c r="CD144" i="21" s="1"/>
  <c r="CD53" i="21"/>
  <c r="CH53" i="21" s="1"/>
  <c r="CH2" i="21"/>
  <c r="CD68" i="21"/>
  <c r="CH68" i="21" s="1"/>
  <c r="CD136" i="21"/>
  <c r="CH136" i="21" s="1"/>
  <c r="CD143" i="21" l="1"/>
  <c r="CH143" i="21" s="1"/>
  <c r="CH144" i="21"/>
  <c r="CC143" i="21"/>
  <c r="CG143" i="21" s="1"/>
  <c r="CG144" i="21"/>
  <c r="H41" i="21"/>
  <c r="CB41" i="21" s="1"/>
  <c r="CF41" i="21" s="1"/>
  <c r="CA41" i="21"/>
  <c r="CE41" i="21" s="1"/>
  <c r="CF36" i="21"/>
  <c r="CE36" i="21"/>
  <c r="H39" i="21"/>
  <c r="CB39" i="21" s="1"/>
  <c r="CF39" i="21" s="1"/>
  <c r="CA39" i="21"/>
  <c r="CE39" i="21" s="1"/>
  <c r="CG211" i="21"/>
  <c r="CD35" i="21"/>
  <c r="CH35" i="21" s="1"/>
  <c r="CH211" i="21" s="1"/>
  <c r="CC211" i="21" l="1"/>
  <c r="CD211" i="21"/>
  <c r="CA35" i="21"/>
  <c r="CB35" i="21"/>
  <c r="CE35" i="21" l="1"/>
  <c r="CE211" i="21" s="1"/>
  <c r="CA211" i="21"/>
  <c r="CF35" i="21"/>
  <c r="CF211" i="21" s="1"/>
  <c r="CB211" i="21"/>
  <c r="AA111" i="18" l="1"/>
  <c r="Y51" i="3" l="1"/>
  <c r="Z51" i="3"/>
  <c r="AH136" i="3" l="1"/>
  <c r="AH65" i="3"/>
  <c r="AI66" i="3"/>
  <c r="AI65" i="3" s="1"/>
  <c r="O532" i="19"/>
  <c r="O531" i="19"/>
  <c r="O530" i="19"/>
  <c r="O529" i="19"/>
  <c r="O528" i="19"/>
  <c r="V527" i="19"/>
  <c r="U527" i="19"/>
  <c r="T527" i="19"/>
  <c r="S527" i="19"/>
  <c r="R527" i="19"/>
  <c r="Q527" i="19"/>
  <c r="P527" i="19"/>
  <c r="P526" i="19" s="1"/>
  <c r="N527" i="19"/>
  <c r="M527" i="19"/>
  <c r="L527" i="19"/>
  <c r="V526" i="19"/>
  <c r="S526" i="19"/>
  <c r="R526" i="19"/>
  <c r="N526" i="19"/>
  <c r="O526" i="19" s="1"/>
  <c r="Q526" i="19" s="1"/>
  <c r="V525" i="19"/>
  <c r="Q525" i="19"/>
  <c r="O525" i="19"/>
  <c r="V524" i="19"/>
  <c r="O524" i="19"/>
  <c r="Q524" i="19" s="1"/>
  <c r="V523" i="19"/>
  <c r="O523" i="19"/>
  <c r="P523" i="19" s="1"/>
  <c r="V522" i="19"/>
  <c r="P522" i="19"/>
  <c r="O522" i="19"/>
  <c r="V521" i="19"/>
  <c r="O521" i="19"/>
  <c r="P521" i="19" s="1"/>
  <c r="U520" i="19"/>
  <c r="V520" i="19" s="1"/>
  <c r="T520" i="19"/>
  <c r="S520" i="19"/>
  <c r="S519" i="19" s="1"/>
  <c r="R520" i="19"/>
  <c r="Q520" i="19"/>
  <c r="N520" i="19"/>
  <c r="N519" i="19" s="1"/>
  <c r="M520" i="19"/>
  <c r="L520" i="19"/>
  <c r="L519" i="19" s="1"/>
  <c r="U519" i="19"/>
  <c r="V519" i="19" s="1"/>
  <c r="T519" i="19"/>
  <c r="R519" i="19"/>
  <c r="M519" i="19"/>
  <c r="V518" i="19"/>
  <c r="O518" i="19"/>
  <c r="V517" i="19"/>
  <c r="O517" i="19"/>
  <c r="S517" i="19" s="1"/>
  <c r="V516" i="19"/>
  <c r="O516" i="19"/>
  <c r="P516" i="19" s="1"/>
  <c r="V515" i="19"/>
  <c r="O515" i="19"/>
  <c r="P515" i="19" s="1"/>
  <c r="V514" i="19"/>
  <c r="O514" i="19"/>
  <c r="P514" i="19" s="1"/>
  <c r="U513" i="19"/>
  <c r="T513" i="19"/>
  <c r="S513" i="19"/>
  <c r="R513" i="19"/>
  <c r="R512" i="19" s="1"/>
  <c r="Q513" i="19"/>
  <c r="N513" i="19"/>
  <c r="M513" i="19"/>
  <c r="M512" i="19" s="1"/>
  <c r="L513" i="19"/>
  <c r="Y512" i="19"/>
  <c r="X512" i="19"/>
  <c r="U512" i="19"/>
  <c r="V512" i="19" s="1"/>
  <c r="Q512" i="19"/>
  <c r="N512" i="19"/>
  <c r="L512" i="19"/>
  <c r="V511" i="19"/>
  <c r="O511" i="19"/>
  <c r="Q511" i="19" s="1"/>
  <c r="Q509" i="19" s="1"/>
  <c r="V510" i="19"/>
  <c r="O510" i="19"/>
  <c r="U509" i="19"/>
  <c r="T509" i="19"/>
  <c r="S509" i="19"/>
  <c r="R509" i="19"/>
  <c r="P509" i="19"/>
  <c r="O509" i="19"/>
  <c r="N509" i="19"/>
  <c r="M509" i="19"/>
  <c r="L509" i="19"/>
  <c r="Z508" i="19"/>
  <c r="W508" i="19"/>
  <c r="V508" i="19"/>
  <c r="O508" i="19"/>
  <c r="Z507" i="19"/>
  <c r="W507" i="19"/>
  <c r="V507" i="19"/>
  <c r="O507" i="19"/>
  <c r="Z506" i="19"/>
  <c r="W506" i="19"/>
  <c r="V506" i="19"/>
  <c r="O506" i="19"/>
  <c r="Z505" i="19"/>
  <c r="W505" i="19"/>
  <c r="V505" i="19"/>
  <c r="O505" i="19"/>
  <c r="Z504" i="19"/>
  <c r="W504" i="19"/>
  <c r="V504" i="19"/>
  <c r="O504" i="19"/>
  <c r="Z503" i="19"/>
  <c r="W503" i="19"/>
  <c r="V503" i="19"/>
  <c r="O503" i="19"/>
  <c r="Z502" i="19"/>
  <c r="W502" i="19"/>
  <c r="V502" i="19"/>
  <c r="O502" i="19"/>
  <c r="Z501" i="19"/>
  <c r="W501" i="19"/>
  <c r="V501" i="19"/>
  <c r="O501" i="19"/>
  <c r="Z500" i="19"/>
  <c r="W500" i="19"/>
  <c r="V500" i="19"/>
  <c r="O500" i="19"/>
  <c r="Z499" i="19"/>
  <c r="W499" i="19"/>
  <c r="V499" i="19"/>
  <c r="O499" i="19"/>
  <c r="Z498" i="19"/>
  <c r="W498" i="19"/>
  <c r="V498" i="19"/>
  <c r="O498" i="19"/>
  <c r="Z497" i="19"/>
  <c r="W497" i="19"/>
  <c r="V497" i="19"/>
  <c r="O497" i="19"/>
  <c r="Z496" i="19"/>
  <c r="W496" i="19"/>
  <c r="V496" i="19"/>
  <c r="O496" i="19"/>
  <c r="Z495" i="19"/>
  <c r="W495" i="19"/>
  <c r="V495" i="19"/>
  <c r="O495" i="19"/>
  <c r="Z494" i="19"/>
  <c r="W494" i="19"/>
  <c r="V494" i="19"/>
  <c r="O494" i="19"/>
  <c r="Z493" i="19"/>
  <c r="W493" i="19"/>
  <c r="V493" i="19"/>
  <c r="O493" i="19"/>
  <c r="Z492" i="19"/>
  <c r="W492" i="19"/>
  <c r="V492" i="19"/>
  <c r="O492" i="19"/>
  <c r="Z491" i="19"/>
  <c r="W491" i="19"/>
  <c r="V491" i="19"/>
  <c r="O491" i="19"/>
  <c r="Z490" i="19"/>
  <c r="W490" i="19"/>
  <c r="V490" i="19"/>
  <c r="O490" i="19"/>
  <c r="Z489" i="19"/>
  <c r="W489" i="19"/>
  <c r="V489" i="19"/>
  <c r="O489" i="19"/>
  <c r="Z488" i="19"/>
  <c r="W488" i="19"/>
  <c r="V488" i="19"/>
  <c r="O488" i="19"/>
  <c r="Z487" i="19"/>
  <c r="W487" i="19"/>
  <c r="V487" i="19"/>
  <c r="O487" i="19"/>
  <c r="Z486" i="19"/>
  <c r="W486" i="19"/>
  <c r="V486" i="19"/>
  <c r="O486" i="19"/>
  <c r="Z485" i="19"/>
  <c r="W485" i="19"/>
  <c r="V485" i="19"/>
  <c r="O485" i="19"/>
  <c r="Z484" i="19"/>
  <c r="W484" i="19"/>
  <c r="V484" i="19"/>
  <c r="O484" i="19"/>
  <c r="Z483" i="19"/>
  <c r="W483" i="19"/>
  <c r="V483" i="19"/>
  <c r="O483" i="19"/>
  <c r="Z482" i="19"/>
  <c r="W482" i="19"/>
  <c r="V482" i="19"/>
  <c r="O482" i="19"/>
  <c r="Z481" i="19"/>
  <c r="W481" i="19"/>
  <c r="V481" i="19"/>
  <c r="O481" i="19"/>
  <c r="Z480" i="19"/>
  <c r="W480" i="19"/>
  <c r="V480" i="19"/>
  <c r="O480" i="19"/>
  <c r="Z479" i="19"/>
  <c r="W479" i="19"/>
  <c r="V479" i="19"/>
  <c r="O479" i="19"/>
  <c r="Z478" i="19"/>
  <c r="W478" i="19"/>
  <c r="V478" i="19"/>
  <c r="O478" i="19"/>
  <c r="U477" i="19"/>
  <c r="V477" i="19" s="1"/>
  <c r="T477" i="19"/>
  <c r="S477" i="19"/>
  <c r="R477" i="19"/>
  <c r="Q477" i="19"/>
  <c r="P477" i="19"/>
  <c r="O477" i="19"/>
  <c r="N477" i="19"/>
  <c r="M477" i="19"/>
  <c r="L477" i="19"/>
  <c r="W476" i="19"/>
  <c r="V476" i="19"/>
  <c r="O476" i="19"/>
  <c r="W475" i="19"/>
  <c r="Z475" i="19" s="1"/>
  <c r="V475" i="19"/>
  <c r="O475" i="19"/>
  <c r="W474" i="19"/>
  <c r="Z474" i="19" s="1"/>
  <c r="V474" i="19"/>
  <c r="O474" i="19"/>
  <c r="W473" i="19"/>
  <c r="V473" i="19"/>
  <c r="O473" i="19"/>
  <c r="W472" i="19"/>
  <c r="V472" i="19"/>
  <c r="O472" i="19"/>
  <c r="W471" i="19"/>
  <c r="Z471" i="19" s="1"/>
  <c r="V471" i="19"/>
  <c r="O471" i="19"/>
  <c r="W470" i="19"/>
  <c r="Z470" i="19" s="1"/>
  <c r="V470" i="19"/>
  <c r="O470" i="19"/>
  <c r="W469" i="19"/>
  <c r="V469" i="19"/>
  <c r="O469" i="19"/>
  <c r="W468" i="19"/>
  <c r="V468" i="19"/>
  <c r="O468" i="19"/>
  <c r="W467" i="19"/>
  <c r="Z467" i="19" s="1"/>
  <c r="V467" i="19"/>
  <c r="O467" i="19"/>
  <c r="W466" i="19"/>
  <c r="Z466" i="19" s="1"/>
  <c r="V466" i="19"/>
  <c r="O466" i="19"/>
  <c r="W465" i="19"/>
  <c r="V465" i="19"/>
  <c r="O465" i="19"/>
  <c r="W464" i="19"/>
  <c r="V464" i="19"/>
  <c r="O464" i="19"/>
  <c r="W463" i="19"/>
  <c r="Z463" i="19" s="1"/>
  <c r="V463" i="19"/>
  <c r="O463" i="19"/>
  <c r="W462" i="19"/>
  <c r="Z462" i="19" s="1"/>
  <c r="V462" i="19"/>
  <c r="O462" i="19"/>
  <c r="W461" i="19"/>
  <c r="V461" i="19"/>
  <c r="O461" i="19"/>
  <c r="W460" i="19"/>
  <c r="V460" i="19"/>
  <c r="O460" i="19"/>
  <c r="W459" i="19"/>
  <c r="Z459" i="19" s="1"/>
  <c r="V459" i="19"/>
  <c r="O459" i="19"/>
  <c r="W458" i="19"/>
  <c r="Z458" i="19" s="1"/>
  <c r="V458" i="19"/>
  <c r="O458" i="19"/>
  <c r="W457" i="19"/>
  <c r="V457" i="19"/>
  <c r="O457" i="19"/>
  <c r="W456" i="19"/>
  <c r="V456" i="19"/>
  <c r="O456" i="19"/>
  <c r="W455" i="19"/>
  <c r="Z455" i="19" s="1"/>
  <c r="V455" i="19"/>
  <c r="O455" i="19"/>
  <c r="W454" i="19"/>
  <c r="Z454" i="19" s="1"/>
  <c r="V454" i="19"/>
  <c r="O454" i="19"/>
  <c r="W453" i="19"/>
  <c r="V453" i="19"/>
  <c r="O453" i="19"/>
  <c r="W452" i="19"/>
  <c r="V452" i="19"/>
  <c r="O452" i="19"/>
  <c r="W451" i="19"/>
  <c r="Z451" i="19" s="1"/>
  <c r="V451" i="19"/>
  <c r="O451" i="19"/>
  <c r="W450" i="19"/>
  <c r="Z450" i="19" s="1"/>
  <c r="V450" i="19"/>
  <c r="O450" i="19"/>
  <c r="W449" i="19"/>
  <c r="V449" i="19"/>
  <c r="O449" i="19"/>
  <c r="W448" i="19"/>
  <c r="V448" i="19"/>
  <c r="O448" i="19"/>
  <c r="O445" i="19" s="1"/>
  <c r="W447" i="19"/>
  <c r="Z447" i="19" s="1"/>
  <c r="V447" i="19"/>
  <c r="O447" i="19"/>
  <c r="W446" i="19"/>
  <c r="Z446" i="19" s="1"/>
  <c r="V446" i="19"/>
  <c r="O446" i="19"/>
  <c r="U445" i="19"/>
  <c r="T445" i="19"/>
  <c r="S445" i="19"/>
  <c r="R445" i="19"/>
  <c r="Q445" i="19"/>
  <c r="P445" i="19"/>
  <c r="N445" i="19"/>
  <c r="M445" i="19"/>
  <c r="L445" i="19"/>
  <c r="W444" i="19"/>
  <c r="V444" i="19"/>
  <c r="O444" i="19"/>
  <c r="Z444" i="19" s="1"/>
  <c r="W443" i="19"/>
  <c r="V443" i="19"/>
  <c r="O443" i="19"/>
  <c r="Z443" i="19" s="1"/>
  <c r="W442" i="19"/>
  <c r="V442" i="19"/>
  <c r="O442" i="19"/>
  <c r="Z442" i="19" s="1"/>
  <c r="W441" i="19"/>
  <c r="V441" i="19"/>
  <c r="O441" i="19"/>
  <c r="Z441" i="19" s="1"/>
  <c r="W440" i="19"/>
  <c r="V440" i="19"/>
  <c r="O440" i="19"/>
  <c r="Z440" i="19" s="1"/>
  <c r="W439" i="19"/>
  <c r="V439" i="19"/>
  <c r="O439" i="19"/>
  <c r="Z439" i="19" s="1"/>
  <c r="W438" i="19"/>
  <c r="V438" i="19"/>
  <c r="O438" i="19"/>
  <c r="Z438" i="19" s="1"/>
  <c r="W437" i="19"/>
  <c r="V437" i="19"/>
  <c r="O437" i="19"/>
  <c r="Z437" i="19" s="1"/>
  <c r="W436" i="19"/>
  <c r="V436" i="19"/>
  <c r="O436" i="19"/>
  <c r="Z436" i="19" s="1"/>
  <c r="W435" i="19"/>
  <c r="V435" i="19"/>
  <c r="O435" i="19"/>
  <c r="Z435" i="19" s="1"/>
  <c r="W434" i="19"/>
  <c r="V434" i="19"/>
  <c r="O434" i="19"/>
  <c r="Z434" i="19" s="1"/>
  <c r="W433" i="19"/>
  <c r="V433" i="19"/>
  <c r="O433" i="19"/>
  <c r="Z433" i="19" s="1"/>
  <c r="W432" i="19"/>
  <c r="V432" i="19"/>
  <c r="O432" i="19"/>
  <c r="Z432" i="19" s="1"/>
  <c r="W431" i="19"/>
  <c r="V431" i="19"/>
  <c r="O431" i="19"/>
  <c r="Z431" i="19" s="1"/>
  <c r="W430" i="19"/>
  <c r="V430" i="19"/>
  <c r="O430" i="19"/>
  <c r="Z430" i="19" s="1"/>
  <c r="W429" i="19"/>
  <c r="V429" i="19"/>
  <c r="O429" i="19"/>
  <c r="Z429" i="19" s="1"/>
  <c r="W428" i="19"/>
  <c r="V428" i="19"/>
  <c r="O428" i="19"/>
  <c r="Z428" i="19" s="1"/>
  <c r="W427" i="19"/>
  <c r="V427" i="19"/>
  <c r="O427" i="19"/>
  <c r="Z427" i="19" s="1"/>
  <c r="W426" i="19"/>
  <c r="V426" i="19"/>
  <c r="O426" i="19"/>
  <c r="Z426" i="19" s="1"/>
  <c r="W425" i="19"/>
  <c r="V425" i="19"/>
  <c r="O425" i="19"/>
  <c r="Z425" i="19" s="1"/>
  <c r="W424" i="19"/>
  <c r="V424" i="19"/>
  <c r="O424" i="19"/>
  <c r="Z424" i="19" s="1"/>
  <c r="W423" i="19"/>
  <c r="V423" i="19"/>
  <c r="O423" i="19"/>
  <c r="Z423" i="19" s="1"/>
  <c r="W422" i="19"/>
  <c r="V422" i="19"/>
  <c r="O422" i="19"/>
  <c r="Z422" i="19" s="1"/>
  <c r="W421" i="19"/>
  <c r="V421" i="19"/>
  <c r="O421" i="19"/>
  <c r="Z421" i="19" s="1"/>
  <c r="W420" i="19"/>
  <c r="V420" i="19"/>
  <c r="O420" i="19"/>
  <c r="Z420" i="19" s="1"/>
  <c r="W419" i="19"/>
  <c r="V419" i="19"/>
  <c r="O419" i="19"/>
  <c r="Z419" i="19" s="1"/>
  <c r="W418" i="19"/>
  <c r="V418" i="19"/>
  <c r="O418" i="19"/>
  <c r="Z418" i="19" s="1"/>
  <c r="W417" i="19"/>
  <c r="V417" i="19"/>
  <c r="O417" i="19"/>
  <c r="Z417" i="19" s="1"/>
  <c r="W416" i="19"/>
  <c r="V416" i="19"/>
  <c r="O416" i="19"/>
  <c r="Z416" i="19" s="1"/>
  <c r="W415" i="19"/>
  <c r="V415" i="19"/>
  <c r="O415" i="19"/>
  <c r="Z415" i="19" s="1"/>
  <c r="W414" i="19"/>
  <c r="V414" i="19"/>
  <c r="O414" i="19"/>
  <c r="Z414" i="19" s="1"/>
  <c r="W413" i="19"/>
  <c r="V413" i="19"/>
  <c r="O413" i="19"/>
  <c r="O412" i="19" s="1"/>
  <c r="U412" i="19"/>
  <c r="T412" i="19"/>
  <c r="S412" i="19"/>
  <c r="R412" i="19"/>
  <c r="Q412" i="19"/>
  <c r="P412" i="19"/>
  <c r="N412" i="19"/>
  <c r="M412" i="19"/>
  <c r="L412" i="19"/>
  <c r="W411" i="19"/>
  <c r="V411" i="19"/>
  <c r="O411" i="19"/>
  <c r="W410" i="19"/>
  <c r="V410" i="19"/>
  <c r="O410" i="19"/>
  <c r="U409" i="19"/>
  <c r="V409" i="19" s="1"/>
  <c r="T409" i="19"/>
  <c r="S409" i="19"/>
  <c r="R409" i="19"/>
  <c r="Q409" i="19"/>
  <c r="P409" i="19"/>
  <c r="N409" i="19"/>
  <c r="M409" i="19"/>
  <c r="L409" i="19"/>
  <c r="W408" i="19"/>
  <c r="V408" i="19"/>
  <c r="O408" i="19"/>
  <c r="Z408" i="19" s="1"/>
  <c r="W407" i="19"/>
  <c r="V407" i="19"/>
  <c r="O407" i="19"/>
  <c r="Z407" i="19" s="1"/>
  <c r="W406" i="19"/>
  <c r="V406" i="19"/>
  <c r="O406" i="19"/>
  <c r="Z406" i="19" s="1"/>
  <c r="W405" i="19"/>
  <c r="V405" i="19"/>
  <c r="O405" i="19"/>
  <c r="Z405" i="19" s="1"/>
  <c r="W404" i="19"/>
  <c r="V404" i="19"/>
  <c r="O404" i="19"/>
  <c r="Z404" i="19" s="1"/>
  <c r="U403" i="19"/>
  <c r="T403" i="19"/>
  <c r="V403" i="19" s="1"/>
  <c r="S403" i="19"/>
  <c r="R403" i="19"/>
  <c r="Q403" i="19"/>
  <c r="P403" i="19"/>
  <c r="W403" i="19" s="1"/>
  <c r="Z403" i="19" s="1"/>
  <c r="O403" i="19"/>
  <c r="N403" i="19"/>
  <c r="M403" i="19"/>
  <c r="L403" i="19"/>
  <c r="W402" i="19"/>
  <c r="Z402" i="19" s="1"/>
  <c r="V402" i="19"/>
  <c r="O402" i="19"/>
  <c r="W401" i="19"/>
  <c r="Z401" i="19" s="1"/>
  <c r="V401" i="19"/>
  <c r="O401" i="19"/>
  <c r="U400" i="19"/>
  <c r="T400" i="19"/>
  <c r="S400" i="19"/>
  <c r="R400" i="19"/>
  <c r="Q400" i="19"/>
  <c r="P400" i="19"/>
  <c r="O400" i="19"/>
  <c r="N400" i="19"/>
  <c r="M400" i="19"/>
  <c r="L400" i="19"/>
  <c r="W399" i="19"/>
  <c r="V399" i="19"/>
  <c r="O399" i="19"/>
  <c r="Z399" i="19" s="1"/>
  <c r="W398" i="19"/>
  <c r="V398" i="19"/>
  <c r="O398" i="19"/>
  <c r="Z398" i="19" s="1"/>
  <c r="U397" i="19"/>
  <c r="T397" i="19"/>
  <c r="S397" i="19"/>
  <c r="R397" i="19"/>
  <c r="Q397" i="19"/>
  <c r="P397" i="19"/>
  <c r="N397" i="19"/>
  <c r="M397" i="19"/>
  <c r="L397" i="19"/>
  <c r="W396" i="19"/>
  <c r="V396" i="19"/>
  <c r="O396" i="19"/>
  <c r="W395" i="19"/>
  <c r="V395" i="19"/>
  <c r="O395" i="19"/>
  <c r="W394" i="19"/>
  <c r="V394" i="19"/>
  <c r="O394" i="19"/>
  <c r="O393" i="19" s="1"/>
  <c r="U393" i="19"/>
  <c r="T393" i="19"/>
  <c r="S393" i="19"/>
  <c r="R393" i="19"/>
  <c r="Q393" i="19"/>
  <c r="P393" i="19"/>
  <c r="N393" i="19"/>
  <c r="M393" i="19"/>
  <c r="L393" i="19"/>
  <c r="Z392" i="19"/>
  <c r="W392" i="19"/>
  <c r="V392" i="19"/>
  <c r="O392" i="19"/>
  <c r="Z391" i="19"/>
  <c r="W391" i="19"/>
  <c r="V391" i="19"/>
  <c r="O391" i="19"/>
  <c r="V390" i="19"/>
  <c r="U390" i="19"/>
  <c r="T390" i="19"/>
  <c r="S390" i="19"/>
  <c r="R390" i="19"/>
  <c r="Q390" i="19"/>
  <c r="P390" i="19"/>
  <c r="O390" i="19"/>
  <c r="N390" i="19"/>
  <c r="M390" i="19"/>
  <c r="L390" i="19"/>
  <c r="W389" i="19"/>
  <c r="V389" i="19"/>
  <c r="O389" i="19"/>
  <c r="W388" i="19"/>
  <c r="V388" i="19"/>
  <c r="O388" i="19"/>
  <c r="O387" i="19" s="1"/>
  <c r="U387" i="19"/>
  <c r="U386" i="19" s="1"/>
  <c r="T387" i="19"/>
  <c r="T386" i="19" s="1"/>
  <c r="S387" i="19"/>
  <c r="R387" i="19"/>
  <c r="Q387" i="19"/>
  <c r="Q386" i="19" s="1"/>
  <c r="Q385" i="19" s="1"/>
  <c r="P387" i="19"/>
  <c r="N387" i="19"/>
  <c r="M387" i="19"/>
  <c r="M386" i="19" s="1"/>
  <c r="L387" i="19"/>
  <c r="P386" i="19"/>
  <c r="L386" i="19"/>
  <c r="L385" i="19" s="1"/>
  <c r="W384" i="19"/>
  <c r="V384" i="19"/>
  <c r="O384" i="19"/>
  <c r="Z384" i="19" s="1"/>
  <c r="W383" i="19"/>
  <c r="V383" i="19"/>
  <c r="O383" i="19"/>
  <c r="Z383" i="19" s="1"/>
  <c r="W382" i="19"/>
  <c r="V382" i="19"/>
  <c r="O382" i="19"/>
  <c r="Z382" i="19" s="1"/>
  <c r="W381" i="19"/>
  <c r="V381" i="19"/>
  <c r="O381" i="19"/>
  <c r="Z381" i="19" s="1"/>
  <c r="W380" i="19"/>
  <c r="Z380" i="19" s="1"/>
  <c r="V380" i="19"/>
  <c r="O380" i="19"/>
  <c r="W379" i="19"/>
  <c r="Z379" i="19" s="1"/>
  <c r="V379" i="19"/>
  <c r="O379" i="19"/>
  <c r="U378" i="19"/>
  <c r="V378" i="19" s="1"/>
  <c r="T378" i="19"/>
  <c r="T377" i="19" s="1"/>
  <c r="S378" i="19"/>
  <c r="S377" i="19" s="1"/>
  <c r="S370" i="19" s="1"/>
  <c r="R378" i="19"/>
  <c r="R377" i="19" s="1"/>
  <c r="Q378" i="19"/>
  <c r="P378" i="19"/>
  <c r="O378" i="19"/>
  <c r="N378" i="19"/>
  <c r="N377" i="19" s="1"/>
  <c r="M378" i="19"/>
  <c r="L378" i="19"/>
  <c r="L377" i="19" s="1"/>
  <c r="U377" i="19"/>
  <c r="U370" i="19" s="1"/>
  <c r="Q377" i="19"/>
  <c r="O377" i="19"/>
  <c r="M377" i="19"/>
  <c r="W376" i="19"/>
  <c r="Z376" i="19" s="1"/>
  <c r="V376" i="19"/>
  <c r="O376" i="19"/>
  <c r="W375" i="19"/>
  <c r="Z375" i="19" s="1"/>
  <c r="V375" i="19"/>
  <c r="O375" i="19"/>
  <c r="W374" i="19"/>
  <c r="Z374" i="19" s="1"/>
  <c r="V374" i="19"/>
  <c r="O374" i="19"/>
  <c r="W373" i="19"/>
  <c r="Z373" i="19" s="1"/>
  <c r="V373" i="19"/>
  <c r="O373" i="19"/>
  <c r="W372" i="19"/>
  <c r="Z372" i="19" s="1"/>
  <c r="V372" i="19"/>
  <c r="O372" i="19"/>
  <c r="O371" i="19" s="1"/>
  <c r="U371" i="19"/>
  <c r="T371" i="19"/>
  <c r="S371" i="19"/>
  <c r="R371" i="19"/>
  <c r="Q371" i="19"/>
  <c r="P371" i="19"/>
  <c r="N371" i="19"/>
  <c r="N370" i="19" s="1"/>
  <c r="M371" i="19"/>
  <c r="L371" i="19"/>
  <c r="Q370" i="19"/>
  <c r="M370" i="19"/>
  <c r="W369" i="19"/>
  <c r="Z369" i="19" s="1"/>
  <c r="V369" i="19"/>
  <c r="O369" i="19"/>
  <c r="W368" i="19"/>
  <c r="Z368" i="19" s="1"/>
  <c r="V368" i="19"/>
  <c r="O368" i="19"/>
  <c r="U367" i="19"/>
  <c r="V367" i="19" s="1"/>
  <c r="T367" i="19"/>
  <c r="S367" i="19"/>
  <c r="R367" i="19"/>
  <c r="Q367" i="19"/>
  <c r="P367" i="19"/>
  <c r="W367" i="19" s="1"/>
  <c r="Z367" i="19" s="1"/>
  <c r="O367" i="19"/>
  <c r="N367" i="19"/>
  <c r="M367" i="19"/>
  <c r="L367" i="19"/>
  <c r="W366" i="19"/>
  <c r="Z366" i="19" s="1"/>
  <c r="V366" i="19"/>
  <c r="O366" i="19"/>
  <c r="W365" i="19"/>
  <c r="Z365" i="19" s="1"/>
  <c r="V365" i="19"/>
  <c r="O365" i="19"/>
  <c r="W364" i="19"/>
  <c r="V364" i="19"/>
  <c r="O364" i="19"/>
  <c r="U363" i="19"/>
  <c r="T363" i="19"/>
  <c r="S363" i="19"/>
  <c r="W363" i="19" s="1"/>
  <c r="R363" i="19"/>
  <c r="Q363" i="19"/>
  <c r="P363" i="19"/>
  <c r="O363" i="19"/>
  <c r="N363" i="19"/>
  <c r="M363" i="19"/>
  <c r="L363" i="19"/>
  <c r="Z362" i="19"/>
  <c r="W362" i="19"/>
  <c r="V362" i="19"/>
  <c r="O362" i="19"/>
  <c r="Z361" i="19"/>
  <c r="W361" i="19"/>
  <c r="V361" i="19"/>
  <c r="O361" i="19"/>
  <c r="Z360" i="19"/>
  <c r="W360" i="19"/>
  <c r="V360" i="19"/>
  <c r="O360" i="19"/>
  <c r="O359" i="19" s="1"/>
  <c r="U359" i="19"/>
  <c r="T359" i="19"/>
  <c r="S359" i="19"/>
  <c r="R359" i="19"/>
  <c r="Q359" i="19"/>
  <c r="P359" i="19"/>
  <c r="N359" i="19"/>
  <c r="M359" i="19"/>
  <c r="L359" i="19"/>
  <c r="L353" i="19" s="1"/>
  <c r="L352" i="19" s="1"/>
  <c r="W358" i="19"/>
  <c r="Z358" i="19" s="1"/>
  <c r="V358" i="19"/>
  <c r="O358" i="19"/>
  <c r="W357" i="19"/>
  <c r="V357" i="19"/>
  <c r="O357" i="19"/>
  <c r="U356" i="19"/>
  <c r="T356" i="19"/>
  <c r="S356" i="19"/>
  <c r="R356" i="19"/>
  <c r="Q356" i="19"/>
  <c r="P356" i="19"/>
  <c r="P353" i="19" s="1"/>
  <c r="N356" i="19"/>
  <c r="N353" i="19" s="1"/>
  <c r="N352" i="19" s="1"/>
  <c r="M356" i="19"/>
  <c r="M353" i="19" s="1"/>
  <c r="L356" i="19"/>
  <c r="Z355" i="19"/>
  <c r="W355" i="19"/>
  <c r="V355" i="19"/>
  <c r="O355" i="19"/>
  <c r="Z354" i="19"/>
  <c r="W354" i="19"/>
  <c r="V354" i="19"/>
  <c r="O354" i="19"/>
  <c r="R353" i="19"/>
  <c r="R352" i="19" s="1"/>
  <c r="M352" i="19"/>
  <c r="W351" i="19"/>
  <c r="V351" i="19"/>
  <c r="O351" i="19"/>
  <c r="Z351" i="19" s="1"/>
  <c r="W350" i="19"/>
  <c r="V350" i="19"/>
  <c r="O350" i="19"/>
  <c r="Z350" i="19" s="1"/>
  <c r="W349" i="19"/>
  <c r="V349" i="19"/>
  <c r="O349" i="19"/>
  <c r="Z349" i="19" s="1"/>
  <c r="W348" i="19"/>
  <c r="V348" i="19"/>
  <c r="O348" i="19"/>
  <c r="Z348" i="19" s="1"/>
  <c r="W347" i="19"/>
  <c r="V347" i="19"/>
  <c r="O347" i="19"/>
  <c r="Z347" i="19" s="1"/>
  <c r="W346" i="19"/>
  <c r="V346" i="19"/>
  <c r="O346" i="19"/>
  <c r="Z346" i="19" s="1"/>
  <c r="W345" i="19"/>
  <c r="V345" i="19"/>
  <c r="O345" i="19"/>
  <c r="Z345" i="19" s="1"/>
  <c r="W344" i="19"/>
  <c r="V344" i="19"/>
  <c r="O344" i="19"/>
  <c r="Z344" i="19" s="1"/>
  <c r="W343" i="19"/>
  <c r="V343" i="19"/>
  <c r="O343" i="19"/>
  <c r="Z343" i="19" s="1"/>
  <c r="W342" i="19"/>
  <c r="V342" i="19"/>
  <c r="O342" i="19"/>
  <c r="Z342" i="19" s="1"/>
  <c r="W341" i="19"/>
  <c r="V341" i="19"/>
  <c r="O341" i="19"/>
  <c r="Z341" i="19" s="1"/>
  <c r="W340" i="19"/>
  <c r="V340" i="19"/>
  <c r="O340" i="19"/>
  <c r="Z340" i="19" s="1"/>
  <c r="W339" i="19"/>
  <c r="V339" i="19"/>
  <c r="O339" i="19"/>
  <c r="Z339" i="19" s="1"/>
  <c r="W338" i="19"/>
  <c r="V338" i="19"/>
  <c r="O338" i="19"/>
  <c r="Z338" i="19" s="1"/>
  <c r="W337" i="19"/>
  <c r="V337" i="19"/>
  <c r="O337" i="19"/>
  <c r="Z337" i="19" s="1"/>
  <c r="W336" i="19"/>
  <c r="V336" i="19"/>
  <c r="O336" i="19"/>
  <c r="Z336" i="19" s="1"/>
  <c r="W335" i="19"/>
  <c r="V335" i="19"/>
  <c r="O335" i="19"/>
  <c r="Z335" i="19" s="1"/>
  <c r="W334" i="19"/>
  <c r="V334" i="19"/>
  <c r="O334" i="19"/>
  <c r="Z334" i="19" s="1"/>
  <c r="W333" i="19"/>
  <c r="V333" i="19"/>
  <c r="O333" i="19"/>
  <c r="Z333" i="19" s="1"/>
  <c r="Z332" i="19"/>
  <c r="W332" i="19"/>
  <c r="V332" i="19"/>
  <c r="O332" i="19"/>
  <c r="Z331" i="19"/>
  <c r="W331" i="19"/>
  <c r="V331" i="19"/>
  <c r="O331" i="19"/>
  <c r="Z330" i="19"/>
  <c r="W330" i="19"/>
  <c r="V330" i="19"/>
  <c r="O330" i="19"/>
  <c r="Z329" i="19"/>
  <c r="W329" i="19"/>
  <c r="V329" i="19"/>
  <c r="O329" i="19"/>
  <c r="Z328" i="19"/>
  <c r="W328" i="19"/>
  <c r="V328" i="19"/>
  <c r="O328" i="19"/>
  <c r="Z327" i="19"/>
  <c r="W327" i="19"/>
  <c r="V327" i="19"/>
  <c r="O327" i="19"/>
  <c r="Z326" i="19"/>
  <c r="W326" i="19"/>
  <c r="V326" i="19"/>
  <c r="O326" i="19"/>
  <c r="Z325" i="19"/>
  <c r="W325" i="19"/>
  <c r="V325" i="19"/>
  <c r="O325" i="19"/>
  <c r="Z324" i="19"/>
  <c r="W324" i="19"/>
  <c r="V324" i="19"/>
  <c r="O324" i="19"/>
  <c r="Z323" i="19"/>
  <c r="W323" i="19"/>
  <c r="V323" i="19"/>
  <c r="O323" i="19"/>
  <c r="Z322" i="19"/>
  <c r="W322" i="19"/>
  <c r="V322" i="19"/>
  <c r="O322" i="19"/>
  <c r="W321" i="19"/>
  <c r="Z321" i="19" s="1"/>
  <c r="V321" i="19"/>
  <c r="O321" i="19"/>
  <c r="W320" i="19"/>
  <c r="Z320" i="19" s="1"/>
  <c r="V320" i="19"/>
  <c r="O320" i="19"/>
  <c r="W319" i="19"/>
  <c r="Z319" i="19" s="1"/>
  <c r="V319" i="19"/>
  <c r="O319" i="19"/>
  <c r="W318" i="19"/>
  <c r="Z318" i="19" s="1"/>
  <c r="V318" i="19"/>
  <c r="O318" i="19"/>
  <c r="V317" i="19"/>
  <c r="O317" i="19"/>
  <c r="N317" i="19"/>
  <c r="N315" i="19" s="1"/>
  <c r="M317" i="19"/>
  <c r="M315" i="19" s="1"/>
  <c r="W316" i="19"/>
  <c r="Z316" i="19" s="1"/>
  <c r="V316" i="19"/>
  <c r="O316" i="19"/>
  <c r="O315" i="19" s="1"/>
  <c r="U315" i="19"/>
  <c r="T315" i="19"/>
  <c r="V315" i="19" s="1"/>
  <c r="S315" i="19"/>
  <c r="R315" i="19"/>
  <c r="Q315" i="19"/>
  <c r="P315" i="19"/>
  <c r="L315" i="19"/>
  <c r="W314" i="19"/>
  <c r="Z314" i="19" s="1"/>
  <c r="V314" i="19"/>
  <c r="O314" i="19"/>
  <c r="W313" i="19"/>
  <c r="V313" i="19"/>
  <c r="O313" i="19"/>
  <c r="W312" i="19"/>
  <c r="V312" i="19"/>
  <c r="O312" i="19"/>
  <c r="O311" i="19" s="1"/>
  <c r="U311" i="19"/>
  <c r="V311" i="19" s="1"/>
  <c r="T311" i="19"/>
  <c r="S311" i="19"/>
  <c r="R311" i="19"/>
  <c r="Q311" i="19"/>
  <c r="P311" i="19"/>
  <c r="N311" i="19"/>
  <c r="M311" i="19"/>
  <c r="L311" i="19"/>
  <c r="W310" i="19"/>
  <c r="Z310" i="19" s="1"/>
  <c r="V310" i="19"/>
  <c r="O310" i="19"/>
  <c r="W309" i="19"/>
  <c r="Z309" i="19" s="1"/>
  <c r="V309" i="19"/>
  <c r="O309" i="19"/>
  <c r="W308" i="19"/>
  <c r="Z308" i="19" s="1"/>
  <c r="V308" i="19"/>
  <c r="O308" i="19"/>
  <c r="O307" i="19" s="1"/>
  <c r="U307" i="19"/>
  <c r="V307" i="19" s="1"/>
  <c r="T307" i="19"/>
  <c r="S307" i="19"/>
  <c r="R307" i="19"/>
  <c r="Q307" i="19"/>
  <c r="P307" i="19"/>
  <c r="N307" i="19"/>
  <c r="M307" i="19"/>
  <c r="L307" i="19"/>
  <c r="W306" i="19"/>
  <c r="V306" i="19"/>
  <c r="O306" i="19"/>
  <c r="W305" i="19"/>
  <c r="V305" i="19"/>
  <c r="O305" i="19"/>
  <c r="W304" i="19"/>
  <c r="V304" i="19"/>
  <c r="O304" i="19"/>
  <c r="U303" i="19"/>
  <c r="T303" i="19"/>
  <c r="S303" i="19"/>
  <c r="R303" i="19"/>
  <c r="Q303" i="19"/>
  <c r="P303" i="19"/>
  <c r="W303" i="19" s="1"/>
  <c r="N303" i="19"/>
  <c r="M303" i="19"/>
  <c r="L303" i="19"/>
  <c r="W302" i="19"/>
  <c r="Z302" i="19" s="1"/>
  <c r="V302" i="19"/>
  <c r="O302" i="19"/>
  <c r="W301" i="19"/>
  <c r="Z301" i="19" s="1"/>
  <c r="V301" i="19"/>
  <c r="O301" i="19"/>
  <c r="W300" i="19"/>
  <c r="Z300" i="19" s="1"/>
  <c r="V300" i="19"/>
  <c r="O300" i="19"/>
  <c r="U299" i="19"/>
  <c r="V299" i="19" s="1"/>
  <c r="T299" i="19"/>
  <c r="S299" i="19"/>
  <c r="R299" i="19"/>
  <c r="Q299" i="19"/>
  <c r="P299" i="19"/>
  <c r="O299" i="19"/>
  <c r="N299" i="19"/>
  <c r="N294" i="19" s="1"/>
  <c r="M299" i="19"/>
  <c r="M294" i="19" s="1"/>
  <c r="L299" i="19"/>
  <c r="W298" i="19"/>
  <c r="V298" i="19"/>
  <c r="O298" i="19"/>
  <c r="W297" i="19"/>
  <c r="V297" i="19"/>
  <c r="O297" i="19"/>
  <c r="W296" i="19"/>
  <c r="V296" i="19"/>
  <c r="O296" i="19"/>
  <c r="U295" i="19"/>
  <c r="T295" i="19"/>
  <c r="S295" i="19"/>
  <c r="R295" i="19"/>
  <c r="R294" i="19" s="1"/>
  <c r="Q295" i="19"/>
  <c r="Q294" i="19" s="1"/>
  <c r="P295" i="19"/>
  <c r="N295" i="19"/>
  <c r="M295" i="19"/>
  <c r="L295" i="19"/>
  <c r="L294" i="19" s="1"/>
  <c r="T294" i="19"/>
  <c r="W293" i="19"/>
  <c r="Z293" i="19" s="1"/>
  <c r="V293" i="19"/>
  <c r="O293" i="19"/>
  <c r="W292" i="19"/>
  <c r="V292" i="19"/>
  <c r="O292" i="19"/>
  <c r="W291" i="19"/>
  <c r="V291" i="19"/>
  <c r="O291" i="19"/>
  <c r="O290" i="19" s="1"/>
  <c r="V290" i="19"/>
  <c r="U290" i="19"/>
  <c r="T290" i="19"/>
  <c r="S290" i="19"/>
  <c r="W290" i="19" s="1"/>
  <c r="Z290" i="19" s="1"/>
  <c r="R290" i="19"/>
  <c r="Q290" i="19"/>
  <c r="P290" i="19"/>
  <c r="N290" i="19"/>
  <c r="M290" i="19"/>
  <c r="L290" i="19"/>
  <c r="W289" i="19"/>
  <c r="Z289" i="19" s="1"/>
  <c r="V289" i="19"/>
  <c r="O289" i="19"/>
  <c r="W288" i="19"/>
  <c r="Z288" i="19" s="1"/>
  <c r="V288" i="19"/>
  <c r="O288" i="19"/>
  <c r="W287" i="19"/>
  <c r="Z287" i="19" s="1"/>
  <c r="V287" i="19"/>
  <c r="O287" i="19"/>
  <c r="U286" i="19"/>
  <c r="T286" i="19"/>
  <c r="V286" i="19" s="1"/>
  <c r="S286" i="19"/>
  <c r="S285" i="19" s="1"/>
  <c r="R286" i="19"/>
  <c r="Q286" i="19"/>
  <c r="P286" i="19"/>
  <c r="O286" i="19"/>
  <c r="N286" i="19"/>
  <c r="M286" i="19"/>
  <c r="M285" i="19" s="1"/>
  <c r="L286" i="19"/>
  <c r="L285" i="19" s="1"/>
  <c r="U285" i="19"/>
  <c r="Q285" i="19"/>
  <c r="O285" i="19"/>
  <c r="W284" i="19"/>
  <c r="Z284" i="19" s="1"/>
  <c r="V284" i="19"/>
  <c r="O284" i="19"/>
  <c r="W283" i="19"/>
  <c r="Z283" i="19" s="1"/>
  <c r="V283" i="19"/>
  <c r="O283" i="19"/>
  <c r="W282" i="19"/>
  <c r="Z282" i="19" s="1"/>
  <c r="V282" i="19"/>
  <c r="O282" i="19"/>
  <c r="O281" i="19" s="1"/>
  <c r="U281" i="19"/>
  <c r="T281" i="19"/>
  <c r="S281" i="19"/>
  <c r="R281" i="19"/>
  <c r="Q281" i="19"/>
  <c r="P281" i="19"/>
  <c r="N281" i="19"/>
  <c r="M281" i="19"/>
  <c r="L281" i="19"/>
  <c r="W280" i="19"/>
  <c r="V280" i="19"/>
  <c r="O280" i="19"/>
  <c r="W279" i="19"/>
  <c r="V279" i="19"/>
  <c r="O279" i="19"/>
  <c r="W278" i="19"/>
  <c r="V278" i="19"/>
  <c r="O278" i="19"/>
  <c r="O277" i="19" s="1"/>
  <c r="O272" i="19" s="1"/>
  <c r="U277" i="19"/>
  <c r="V277" i="19" s="1"/>
  <c r="T277" i="19"/>
  <c r="S277" i="19"/>
  <c r="R277" i="19"/>
  <c r="Q277" i="19"/>
  <c r="P277" i="19"/>
  <c r="N277" i="19"/>
  <c r="M277" i="19"/>
  <c r="L277" i="19"/>
  <c r="W276" i="19"/>
  <c r="Z276" i="19" s="1"/>
  <c r="V276" i="19"/>
  <c r="O276" i="19"/>
  <c r="W275" i="19"/>
  <c r="Z275" i="19" s="1"/>
  <c r="V275" i="19"/>
  <c r="O275" i="19"/>
  <c r="W274" i="19"/>
  <c r="Z274" i="19" s="1"/>
  <c r="V274" i="19"/>
  <c r="O274" i="19"/>
  <c r="U273" i="19"/>
  <c r="V273" i="19" s="1"/>
  <c r="T273" i="19"/>
  <c r="T272" i="19" s="1"/>
  <c r="S273" i="19"/>
  <c r="R273" i="19"/>
  <c r="Q273" i="19"/>
  <c r="P273" i="19"/>
  <c r="P272" i="19" s="1"/>
  <c r="O273" i="19"/>
  <c r="N273" i="19"/>
  <c r="M273" i="19"/>
  <c r="L273" i="19"/>
  <c r="W271" i="19"/>
  <c r="V271" i="19"/>
  <c r="O271" i="19"/>
  <c r="Z271" i="19" s="1"/>
  <c r="W270" i="19"/>
  <c r="V270" i="19"/>
  <c r="O270" i="19"/>
  <c r="Z270" i="19" s="1"/>
  <c r="W269" i="19"/>
  <c r="V269" i="19"/>
  <c r="O269" i="19"/>
  <c r="O268" i="19" s="1"/>
  <c r="U268" i="19"/>
  <c r="T268" i="19"/>
  <c r="S268" i="19"/>
  <c r="R268" i="19"/>
  <c r="R263" i="19" s="1"/>
  <c r="Q268" i="19"/>
  <c r="P268" i="19"/>
  <c r="N268" i="19"/>
  <c r="M268" i="19"/>
  <c r="L268" i="19"/>
  <c r="W267" i="19"/>
  <c r="V267" i="19"/>
  <c r="O267" i="19"/>
  <c r="W266" i="19"/>
  <c r="V266" i="19"/>
  <c r="O266" i="19"/>
  <c r="W265" i="19"/>
  <c r="V265" i="19"/>
  <c r="O265" i="19"/>
  <c r="U264" i="19"/>
  <c r="U263" i="19" s="1"/>
  <c r="T264" i="19"/>
  <c r="S264" i="19"/>
  <c r="R264" i="19"/>
  <c r="Q264" i="19"/>
  <c r="Q263" i="19" s="1"/>
  <c r="P264" i="19"/>
  <c r="N264" i="19"/>
  <c r="N263" i="19" s="1"/>
  <c r="N254" i="19" s="1"/>
  <c r="M264" i="19"/>
  <c r="L264" i="19"/>
  <c r="S263" i="19"/>
  <c r="L263" i="19"/>
  <c r="W262" i="19"/>
  <c r="Z262" i="19" s="1"/>
  <c r="V262" i="19"/>
  <c r="O262" i="19"/>
  <c r="W261" i="19"/>
  <c r="Z261" i="19" s="1"/>
  <c r="V261" i="19"/>
  <c r="O261" i="19"/>
  <c r="W260" i="19"/>
  <c r="V260" i="19"/>
  <c r="O260" i="19"/>
  <c r="O259" i="19" s="1"/>
  <c r="U259" i="19"/>
  <c r="V259" i="19" s="1"/>
  <c r="T259" i="19"/>
  <c r="S259" i="19"/>
  <c r="S254" i="19" s="1"/>
  <c r="R259" i="19"/>
  <c r="Q259" i="19"/>
  <c r="P259" i="19"/>
  <c r="N259" i="19"/>
  <c r="M259" i="19"/>
  <c r="L259" i="19"/>
  <c r="W258" i="19"/>
  <c r="V258" i="19"/>
  <c r="O258" i="19"/>
  <c r="Z258" i="19" s="1"/>
  <c r="W257" i="19"/>
  <c r="V257" i="19"/>
  <c r="O257" i="19"/>
  <c r="Z257" i="19" s="1"/>
  <c r="W256" i="19"/>
  <c r="V256" i="19"/>
  <c r="O256" i="19"/>
  <c r="V255" i="19"/>
  <c r="U255" i="19"/>
  <c r="U254" i="19" s="1"/>
  <c r="T255" i="19"/>
  <c r="S255" i="19"/>
  <c r="R255" i="19"/>
  <c r="Q255" i="19"/>
  <c r="P255" i="19"/>
  <c r="N255" i="19"/>
  <c r="M255" i="19"/>
  <c r="L255" i="19"/>
  <c r="L254" i="19" s="1"/>
  <c r="Z252" i="19"/>
  <c r="W252" i="19"/>
  <c r="V252" i="19"/>
  <c r="O252" i="19"/>
  <c r="Z251" i="19"/>
  <c r="W251" i="19"/>
  <c r="V251" i="19"/>
  <c r="O251" i="19"/>
  <c r="Z250" i="19"/>
  <c r="W250" i="19"/>
  <c r="V250" i="19"/>
  <c r="O250" i="19"/>
  <c r="U249" i="19"/>
  <c r="T249" i="19"/>
  <c r="S249" i="19"/>
  <c r="R249" i="19"/>
  <c r="Q249" i="19"/>
  <c r="P249" i="19"/>
  <c r="O249" i="19"/>
  <c r="N249" i="19"/>
  <c r="M249" i="19"/>
  <c r="L249" i="19"/>
  <c r="W248" i="19"/>
  <c r="V248" i="19"/>
  <c r="O248" i="19"/>
  <c r="Z248" i="19" s="1"/>
  <c r="W247" i="19"/>
  <c r="Z247" i="19" s="1"/>
  <c r="V247" i="19"/>
  <c r="O247" i="19"/>
  <c r="W246" i="19"/>
  <c r="Z246" i="19" s="1"/>
  <c r="V246" i="19"/>
  <c r="O246" i="19"/>
  <c r="O245" i="19" s="1"/>
  <c r="U245" i="19"/>
  <c r="T245" i="19"/>
  <c r="V245" i="19" s="1"/>
  <c r="S245" i="19"/>
  <c r="S229" i="19" s="1"/>
  <c r="R245" i="19"/>
  <c r="Q245" i="19"/>
  <c r="P245" i="19"/>
  <c r="N245" i="19"/>
  <c r="M245" i="19"/>
  <c r="L245" i="19"/>
  <c r="W244" i="19"/>
  <c r="V244" i="19"/>
  <c r="O244" i="19"/>
  <c r="W243" i="19"/>
  <c r="V243" i="19"/>
  <c r="O243" i="19"/>
  <c r="W242" i="19"/>
  <c r="V242" i="19"/>
  <c r="O242" i="19"/>
  <c r="U241" i="19"/>
  <c r="V241" i="19" s="1"/>
  <c r="T241" i="19"/>
  <c r="S241" i="19"/>
  <c r="R241" i="19"/>
  <c r="R229" i="19" s="1"/>
  <c r="Q241" i="19"/>
  <c r="P241" i="19"/>
  <c r="N241" i="19"/>
  <c r="M241" i="19"/>
  <c r="L241" i="19"/>
  <c r="V240" i="19"/>
  <c r="O240" i="19"/>
  <c r="V239" i="19"/>
  <c r="O239" i="19"/>
  <c r="V238" i="19"/>
  <c r="O238" i="19"/>
  <c r="V237" i="19"/>
  <c r="O237" i="19"/>
  <c r="V236" i="19"/>
  <c r="O236" i="19"/>
  <c r="V235" i="19"/>
  <c r="O235" i="19"/>
  <c r="V234" i="19"/>
  <c r="O234" i="19"/>
  <c r="U233" i="19"/>
  <c r="T233" i="19"/>
  <c r="S233" i="19"/>
  <c r="R233" i="19"/>
  <c r="Q233" i="19"/>
  <c r="O233" i="19"/>
  <c r="L233" i="19"/>
  <c r="W232" i="19"/>
  <c r="V232" i="19"/>
  <c r="O232" i="19"/>
  <c r="Z232" i="19" s="1"/>
  <c r="W231" i="19"/>
  <c r="V231" i="19"/>
  <c r="O231" i="19"/>
  <c r="Z231" i="19" s="1"/>
  <c r="U230" i="19"/>
  <c r="S230" i="19"/>
  <c r="R230" i="19"/>
  <c r="Q230" i="19"/>
  <c r="P230" i="19"/>
  <c r="N230" i="19"/>
  <c r="M230" i="19"/>
  <c r="M229" i="19" s="1"/>
  <c r="L230" i="19"/>
  <c r="L229" i="19" s="1"/>
  <c r="U229" i="19"/>
  <c r="Q229" i="19"/>
  <c r="N229" i="19"/>
  <c r="W226" i="19"/>
  <c r="O226" i="19"/>
  <c r="Z226" i="19" s="1"/>
  <c r="Z225" i="19"/>
  <c r="W225" i="19"/>
  <c r="O225" i="19"/>
  <c r="W224" i="19"/>
  <c r="Z224" i="19" s="1"/>
  <c r="O224" i="19"/>
  <c r="V223" i="19"/>
  <c r="U223" i="19"/>
  <c r="T223" i="19"/>
  <c r="S223" i="19"/>
  <c r="R223" i="19"/>
  <c r="Q223" i="19"/>
  <c r="P223" i="19"/>
  <c r="N223" i="19"/>
  <c r="M223" i="19"/>
  <c r="L223" i="19"/>
  <c r="W222" i="19"/>
  <c r="O222" i="19"/>
  <c r="O219" i="19" s="1"/>
  <c r="W221" i="19"/>
  <c r="O221" i="19"/>
  <c r="W220" i="19"/>
  <c r="Z220" i="19" s="1"/>
  <c r="O220" i="19"/>
  <c r="V219" i="19"/>
  <c r="U219" i="19"/>
  <c r="T219" i="19"/>
  <c r="S219" i="19"/>
  <c r="R219" i="19"/>
  <c r="Q219" i="19"/>
  <c r="P219" i="19"/>
  <c r="N219" i="19"/>
  <c r="M219" i="19"/>
  <c r="L219" i="19"/>
  <c r="Z218" i="19"/>
  <c r="W218" i="19"/>
  <c r="O218" i="19"/>
  <c r="W217" i="19"/>
  <c r="Z217" i="19" s="1"/>
  <c r="O217" i="19"/>
  <c r="O215" i="19" s="1"/>
  <c r="W216" i="19"/>
  <c r="O216" i="19"/>
  <c r="V215" i="19"/>
  <c r="U215" i="19"/>
  <c r="T215" i="19"/>
  <c r="S215" i="19"/>
  <c r="R215" i="19"/>
  <c r="Q215" i="19"/>
  <c r="P215" i="19"/>
  <c r="N215" i="19"/>
  <c r="M215" i="19"/>
  <c r="L215" i="19"/>
  <c r="W214" i="19"/>
  <c r="Z214" i="19" s="1"/>
  <c r="O214" i="19"/>
  <c r="W213" i="19"/>
  <c r="O213" i="19"/>
  <c r="W212" i="19"/>
  <c r="O212" i="19"/>
  <c r="V211" i="19"/>
  <c r="U211" i="19"/>
  <c r="T211" i="19"/>
  <c r="S211" i="19"/>
  <c r="S206" i="19" s="1"/>
  <c r="S205" i="19" s="1"/>
  <c r="R211" i="19"/>
  <c r="Q211" i="19"/>
  <c r="P211" i="19"/>
  <c r="N211" i="19"/>
  <c r="M211" i="19"/>
  <c r="L211" i="19"/>
  <c r="W210" i="19"/>
  <c r="O210" i="19"/>
  <c r="W209" i="19"/>
  <c r="Z209" i="19" s="1"/>
  <c r="O209" i="19"/>
  <c r="W208" i="19"/>
  <c r="Z208" i="19" s="1"/>
  <c r="O208" i="19"/>
  <c r="V207" i="19"/>
  <c r="U207" i="19"/>
  <c r="T207" i="19"/>
  <c r="S207" i="19"/>
  <c r="R207" i="19"/>
  <c r="Q207" i="19"/>
  <c r="P207" i="19"/>
  <c r="P206" i="19" s="1"/>
  <c r="P205" i="19" s="1"/>
  <c r="N207" i="19"/>
  <c r="M207" i="19"/>
  <c r="L207" i="19"/>
  <c r="V206" i="19"/>
  <c r="V205" i="19" s="1"/>
  <c r="N206" i="19"/>
  <c r="N205" i="19" s="1"/>
  <c r="L206" i="19"/>
  <c r="L205" i="19" s="1"/>
  <c r="W204" i="19"/>
  <c r="Z204" i="19" s="1"/>
  <c r="O204" i="19"/>
  <c r="W203" i="19"/>
  <c r="O203" i="19"/>
  <c r="O201" i="19" s="1"/>
  <c r="O200" i="19" s="1"/>
  <c r="O199" i="19" s="1"/>
  <c r="W202" i="19"/>
  <c r="O202" i="19"/>
  <c r="V201" i="19"/>
  <c r="V200" i="19" s="1"/>
  <c r="V199" i="19" s="1"/>
  <c r="U201" i="19"/>
  <c r="U200" i="19" s="1"/>
  <c r="U199" i="19" s="1"/>
  <c r="T201" i="19"/>
  <c r="T200" i="19" s="1"/>
  <c r="T199" i="19" s="1"/>
  <c r="S201" i="19"/>
  <c r="S200" i="19" s="1"/>
  <c r="S199" i="19" s="1"/>
  <c r="R201" i="19"/>
  <c r="Q201" i="19"/>
  <c r="Q200" i="19" s="1"/>
  <c r="P201" i="19"/>
  <c r="N201" i="19"/>
  <c r="M201" i="19"/>
  <c r="M200" i="19" s="1"/>
  <c r="M199" i="19" s="1"/>
  <c r="L201" i="19"/>
  <c r="L200" i="19" s="1"/>
  <c r="L199" i="19" s="1"/>
  <c r="R200" i="19"/>
  <c r="P200" i="19"/>
  <c r="P199" i="19" s="1"/>
  <c r="N200" i="19"/>
  <c r="N199" i="19" s="1"/>
  <c r="Q199" i="19"/>
  <c r="W198" i="19"/>
  <c r="O198" i="19"/>
  <c r="W197" i="19"/>
  <c r="Z197" i="19" s="1"/>
  <c r="O197" i="19"/>
  <c r="W196" i="19"/>
  <c r="O196" i="19"/>
  <c r="V195" i="19"/>
  <c r="V194" i="19" s="1"/>
  <c r="U195" i="19"/>
  <c r="U194" i="19" s="1"/>
  <c r="T195" i="19"/>
  <c r="T194" i="19" s="1"/>
  <c r="S195" i="19"/>
  <c r="R195" i="19"/>
  <c r="Q195" i="19"/>
  <c r="Q194" i="19" s="1"/>
  <c r="P195" i="19"/>
  <c r="N195" i="19"/>
  <c r="M195" i="19"/>
  <c r="L195" i="19"/>
  <c r="L194" i="19" s="1"/>
  <c r="S194" i="19"/>
  <c r="S188" i="19" s="1"/>
  <c r="R194" i="19"/>
  <c r="N194" i="19"/>
  <c r="M194" i="19"/>
  <c r="M188" i="19" s="1"/>
  <c r="W193" i="19"/>
  <c r="Z193" i="19" s="1"/>
  <c r="O193" i="19"/>
  <c r="W192" i="19"/>
  <c r="O192" i="19"/>
  <c r="W191" i="19"/>
  <c r="O191" i="19"/>
  <c r="V190" i="19"/>
  <c r="U190" i="19"/>
  <c r="U189" i="19" s="1"/>
  <c r="U188" i="19" s="1"/>
  <c r="T190" i="19"/>
  <c r="T189" i="19" s="1"/>
  <c r="S190" i="19"/>
  <c r="S189" i="19" s="1"/>
  <c r="R190" i="19"/>
  <c r="Q190" i="19"/>
  <c r="P190" i="19"/>
  <c r="N190" i="19"/>
  <c r="M190" i="19"/>
  <c r="M189" i="19" s="1"/>
  <c r="L190" i="19"/>
  <c r="L189" i="19" s="1"/>
  <c r="L188" i="19" s="1"/>
  <c r="V189" i="19"/>
  <c r="V188" i="19" s="1"/>
  <c r="V187" i="19" s="1"/>
  <c r="R189" i="19"/>
  <c r="P189" i="19"/>
  <c r="N189" i="19"/>
  <c r="R188" i="19"/>
  <c r="N188" i="19"/>
  <c r="N187" i="19" s="1"/>
  <c r="W186" i="19"/>
  <c r="O186" i="19"/>
  <c r="W185" i="19"/>
  <c r="Z185" i="19" s="1"/>
  <c r="O185" i="19"/>
  <c r="W184" i="19"/>
  <c r="O184" i="19"/>
  <c r="V183" i="19"/>
  <c r="U183" i="19"/>
  <c r="T183" i="19"/>
  <c r="S183" i="19"/>
  <c r="R183" i="19"/>
  <c r="Q183" i="19"/>
  <c r="P183" i="19"/>
  <c r="N183" i="19"/>
  <c r="M183" i="19"/>
  <c r="L183" i="19"/>
  <c r="W182" i="19"/>
  <c r="O182" i="19"/>
  <c r="Z181" i="19"/>
  <c r="W181" i="19"/>
  <c r="O181" i="19"/>
  <c r="W180" i="19"/>
  <c r="O180" i="19"/>
  <c r="V179" i="19"/>
  <c r="U179" i="19"/>
  <c r="T179" i="19"/>
  <c r="S179" i="19"/>
  <c r="R179" i="19"/>
  <c r="Q179" i="19"/>
  <c r="P179" i="19"/>
  <c r="O179" i="19"/>
  <c r="N179" i="19"/>
  <c r="M179" i="19"/>
  <c r="L179" i="19"/>
  <c r="W178" i="19"/>
  <c r="Z178" i="19" s="1"/>
  <c r="O178" i="19"/>
  <c r="W177" i="19"/>
  <c r="O177" i="19"/>
  <c r="W176" i="19"/>
  <c r="Z176" i="19" s="1"/>
  <c r="O176" i="19"/>
  <c r="V175" i="19"/>
  <c r="U175" i="19"/>
  <c r="T175" i="19"/>
  <c r="S175" i="19"/>
  <c r="R175" i="19"/>
  <c r="Q175" i="19"/>
  <c r="P175" i="19"/>
  <c r="W175" i="19" s="1"/>
  <c r="N175" i="19"/>
  <c r="M175" i="19"/>
  <c r="L175" i="19"/>
  <c r="W174" i="19"/>
  <c r="Z174" i="19" s="1"/>
  <c r="O174" i="19"/>
  <c r="W173" i="19"/>
  <c r="Z173" i="19" s="1"/>
  <c r="O173" i="19"/>
  <c r="O171" i="19" s="1"/>
  <c r="W172" i="19"/>
  <c r="Z172" i="19" s="1"/>
  <c r="O172" i="19"/>
  <c r="V171" i="19"/>
  <c r="U171" i="19"/>
  <c r="T171" i="19"/>
  <c r="S171" i="19"/>
  <c r="R171" i="19"/>
  <c r="Q171" i="19"/>
  <c r="P171" i="19"/>
  <c r="N171" i="19"/>
  <c r="M171" i="19"/>
  <c r="L171" i="19"/>
  <c r="W170" i="19"/>
  <c r="O170" i="19"/>
  <c r="W169" i="19"/>
  <c r="Z169" i="19" s="1"/>
  <c r="O169" i="19"/>
  <c r="W168" i="19"/>
  <c r="O168" i="19"/>
  <c r="O167" i="19" s="1"/>
  <c r="V167" i="19"/>
  <c r="U167" i="19"/>
  <c r="T167" i="19"/>
  <c r="S167" i="19"/>
  <c r="R167" i="19"/>
  <c r="Q167" i="19"/>
  <c r="P167" i="19"/>
  <c r="N167" i="19"/>
  <c r="M167" i="19"/>
  <c r="L167" i="19"/>
  <c r="W166" i="19"/>
  <c r="O166" i="19"/>
  <c r="Z165" i="19"/>
  <c r="W165" i="19"/>
  <c r="O165" i="19"/>
  <c r="W164" i="19"/>
  <c r="O164" i="19"/>
  <c r="V163" i="19"/>
  <c r="U163" i="19"/>
  <c r="T163" i="19"/>
  <c r="S163" i="19"/>
  <c r="R163" i="19"/>
  <c r="Q163" i="19"/>
  <c r="P163" i="19"/>
  <c r="O163" i="19"/>
  <c r="N163" i="19"/>
  <c r="M163" i="19"/>
  <c r="L163" i="19"/>
  <c r="W162" i="19"/>
  <c r="Z162" i="19" s="1"/>
  <c r="O162" i="19"/>
  <c r="W161" i="19"/>
  <c r="O161" i="19"/>
  <c r="W160" i="19"/>
  <c r="Z160" i="19" s="1"/>
  <c r="O160" i="19"/>
  <c r="V159" i="19"/>
  <c r="U159" i="19"/>
  <c r="T159" i="19"/>
  <c r="S159" i="19"/>
  <c r="R159" i="19"/>
  <c r="Q159" i="19"/>
  <c r="P159" i="19"/>
  <c r="N159" i="19"/>
  <c r="M159" i="19"/>
  <c r="L159" i="19"/>
  <c r="L147" i="19" s="1"/>
  <c r="W158" i="19"/>
  <c r="Z158" i="19" s="1"/>
  <c r="O158" i="19"/>
  <c r="W157" i="19"/>
  <c r="Z157" i="19" s="1"/>
  <c r="O157" i="19"/>
  <c r="W156" i="19"/>
  <c r="O156" i="19"/>
  <c r="V155" i="19"/>
  <c r="U155" i="19"/>
  <c r="T155" i="19"/>
  <c r="S155" i="19"/>
  <c r="R155" i="19"/>
  <c r="Q155" i="19"/>
  <c r="P155" i="19"/>
  <c r="O155" i="19"/>
  <c r="N155" i="19"/>
  <c r="M155" i="19"/>
  <c r="L155" i="19"/>
  <c r="W154" i="19"/>
  <c r="O154" i="19"/>
  <c r="W153" i="19"/>
  <c r="O153" i="19"/>
  <c r="W152" i="19"/>
  <c r="O152" i="19"/>
  <c r="V151" i="19"/>
  <c r="U151" i="19"/>
  <c r="T151" i="19"/>
  <c r="S151" i="19"/>
  <c r="R151" i="19"/>
  <c r="Q151" i="19"/>
  <c r="P151" i="19"/>
  <c r="N151" i="19"/>
  <c r="M151" i="19"/>
  <c r="L151" i="19"/>
  <c r="W150" i="19"/>
  <c r="O150" i="19"/>
  <c r="W149" i="19"/>
  <c r="O149" i="19"/>
  <c r="Z149" i="19" s="1"/>
  <c r="V148" i="19"/>
  <c r="U148" i="19"/>
  <c r="T148" i="19"/>
  <c r="S148" i="19"/>
  <c r="S147" i="19" s="1"/>
  <c r="R148" i="19"/>
  <c r="Q148" i="19"/>
  <c r="P148" i="19"/>
  <c r="O148" i="19"/>
  <c r="N148" i="19"/>
  <c r="M148" i="19"/>
  <c r="L148" i="19"/>
  <c r="U147" i="19"/>
  <c r="Q147" i="19"/>
  <c r="W146" i="19"/>
  <c r="O146" i="19"/>
  <c r="Z145" i="19"/>
  <c r="W145" i="19"/>
  <c r="O145" i="19"/>
  <c r="W144" i="19"/>
  <c r="Z144" i="19" s="1"/>
  <c r="O144" i="19"/>
  <c r="V143" i="19"/>
  <c r="U143" i="19"/>
  <c r="T143" i="19"/>
  <c r="S143" i="19"/>
  <c r="R143" i="19"/>
  <c r="Q143" i="19"/>
  <c r="P143" i="19"/>
  <c r="O143" i="19"/>
  <c r="N143" i="19"/>
  <c r="M143" i="19"/>
  <c r="L143" i="19"/>
  <c r="W142" i="19"/>
  <c r="Z142" i="19" s="1"/>
  <c r="O142" i="19"/>
  <c r="W141" i="19"/>
  <c r="O141" i="19"/>
  <c r="W140" i="19"/>
  <c r="Z140" i="19" s="1"/>
  <c r="O140" i="19"/>
  <c r="V139" i="19"/>
  <c r="U139" i="19"/>
  <c r="T139" i="19"/>
  <c r="S139" i="19"/>
  <c r="R139" i="19"/>
  <c r="Q139" i="19"/>
  <c r="P139" i="19"/>
  <c r="W139" i="19" s="1"/>
  <c r="N139" i="19"/>
  <c r="M139" i="19"/>
  <c r="L139" i="19"/>
  <c r="W138" i="19"/>
  <c r="Z138" i="19" s="1"/>
  <c r="O138" i="19"/>
  <c r="W137" i="19"/>
  <c r="Z137" i="19" s="1"/>
  <c r="O137" i="19"/>
  <c r="O135" i="19" s="1"/>
  <c r="W136" i="19"/>
  <c r="Z136" i="19" s="1"/>
  <c r="O136" i="19"/>
  <c r="V135" i="19"/>
  <c r="U135" i="19"/>
  <c r="T135" i="19"/>
  <c r="S135" i="19"/>
  <c r="R135" i="19"/>
  <c r="Q135" i="19"/>
  <c r="P135" i="19"/>
  <c r="N135" i="19"/>
  <c r="M135" i="19"/>
  <c r="L135" i="19"/>
  <c r="W134" i="19"/>
  <c r="O134" i="19"/>
  <c r="W133" i="19"/>
  <c r="Z133" i="19" s="1"/>
  <c r="O133" i="19"/>
  <c r="W132" i="19"/>
  <c r="O132" i="19"/>
  <c r="O131" i="19" s="1"/>
  <c r="V131" i="19"/>
  <c r="U131" i="19"/>
  <c r="T131" i="19"/>
  <c r="S131" i="19"/>
  <c r="R131" i="19"/>
  <c r="Q131" i="19"/>
  <c r="P131" i="19"/>
  <c r="W131" i="19" s="1"/>
  <c r="Z131" i="19" s="1"/>
  <c r="N131" i="19"/>
  <c r="M131" i="19"/>
  <c r="L131" i="19"/>
  <c r="W130" i="19"/>
  <c r="Z130" i="19" s="1"/>
  <c r="O130" i="19"/>
  <c r="W129" i="19"/>
  <c r="Z129" i="19" s="1"/>
  <c r="O129" i="19"/>
  <c r="O127" i="19" s="1"/>
  <c r="W128" i="19"/>
  <c r="Z128" i="19" s="1"/>
  <c r="O128" i="19"/>
  <c r="V127" i="19"/>
  <c r="U127" i="19"/>
  <c r="T127" i="19"/>
  <c r="S127" i="19"/>
  <c r="R127" i="19"/>
  <c r="Q127" i="19"/>
  <c r="P127" i="19"/>
  <c r="N127" i="19"/>
  <c r="M127" i="19"/>
  <c r="L127" i="19"/>
  <c r="W126" i="19"/>
  <c r="O126" i="19"/>
  <c r="W125" i="19"/>
  <c r="O125" i="19"/>
  <c r="W124" i="19"/>
  <c r="Z124" i="19" s="1"/>
  <c r="O124" i="19"/>
  <c r="V123" i="19"/>
  <c r="U123" i="19"/>
  <c r="T123" i="19"/>
  <c r="S123" i="19"/>
  <c r="R123" i="19"/>
  <c r="Q123" i="19"/>
  <c r="P123" i="19"/>
  <c r="N123" i="19"/>
  <c r="M123" i="19"/>
  <c r="L123" i="19"/>
  <c r="W122" i="19"/>
  <c r="Z122" i="19" s="1"/>
  <c r="O122" i="19"/>
  <c r="W121" i="19"/>
  <c r="Z121" i="19" s="1"/>
  <c r="O121" i="19"/>
  <c r="W120" i="19"/>
  <c r="O120" i="19"/>
  <c r="V119" i="19"/>
  <c r="U119" i="19"/>
  <c r="T119" i="19"/>
  <c r="S119" i="19"/>
  <c r="R119" i="19"/>
  <c r="W119" i="19" s="1"/>
  <c r="Z119" i="19" s="1"/>
  <c r="Q119" i="19"/>
  <c r="P119" i="19"/>
  <c r="O119" i="19"/>
  <c r="N119" i="19"/>
  <c r="M119" i="19"/>
  <c r="L119" i="19"/>
  <c r="W118" i="19"/>
  <c r="O118" i="19"/>
  <c r="W117" i="19"/>
  <c r="O117" i="19"/>
  <c r="W116" i="19"/>
  <c r="O116" i="19"/>
  <c r="V115" i="19"/>
  <c r="U115" i="19"/>
  <c r="T115" i="19"/>
  <c r="S115" i="19"/>
  <c r="R115" i="19"/>
  <c r="Q115" i="19"/>
  <c r="P115" i="19"/>
  <c r="W115" i="19" s="1"/>
  <c r="N115" i="19"/>
  <c r="M115" i="19"/>
  <c r="L115" i="19"/>
  <c r="W114" i="19"/>
  <c r="Z114" i="19" s="1"/>
  <c r="O114" i="19"/>
  <c r="W113" i="19"/>
  <c r="Z113" i="19" s="1"/>
  <c r="O113" i="19"/>
  <c r="O111" i="19" s="1"/>
  <c r="W112" i="19"/>
  <c r="Z112" i="19" s="1"/>
  <c r="O112" i="19"/>
  <c r="V111" i="19"/>
  <c r="U111" i="19"/>
  <c r="T111" i="19"/>
  <c r="S111" i="19"/>
  <c r="R111" i="19"/>
  <c r="Q111" i="19"/>
  <c r="P111" i="19"/>
  <c r="N111" i="19"/>
  <c r="M111" i="19"/>
  <c r="L111" i="19"/>
  <c r="W110" i="19"/>
  <c r="O110" i="19"/>
  <c r="W109" i="19"/>
  <c r="O109" i="19"/>
  <c r="W108" i="19"/>
  <c r="O108" i="19"/>
  <c r="V107" i="19"/>
  <c r="U107" i="19"/>
  <c r="U102" i="19" s="1"/>
  <c r="U101" i="19" s="1"/>
  <c r="T107" i="19"/>
  <c r="S107" i="19"/>
  <c r="R107" i="19"/>
  <c r="Q107" i="19"/>
  <c r="Q102" i="19" s="1"/>
  <c r="Q101" i="19" s="1"/>
  <c r="P107" i="19"/>
  <c r="N107" i="19"/>
  <c r="M107" i="19"/>
  <c r="M102" i="19" s="1"/>
  <c r="L107" i="19"/>
  <c r="W106" i="19"/>
  <c r="Z106" i="19" s="1"/>
  <c r="O106" i="19"/>
  <c r="W105" i="19"/>
  <c r="Z105" i="19" s="1"/>
  <c r="O105" i="19"/>
  <c r="W104" i="19"/>
  <c r="O104" i="19"/>
  <c r="V103" i="19"/>
  <c r="U103" i="19"/>
  <c r="T103" i="19"/>
  <c r="S103" i="19"/>
  <c r="R103" i="19"/>
  <c r="Q103" i="19"/>
  <c r="P103" i="19"/>
  <c r="O103" i="19"/>
  <c r="N103" i="19"/>
  <c r="M103" i="19"/>
  <c r="L103" i="19"/>
  <c r="S102" i="19"/>
  <c r="S101" i="19" s="1"/>
  <c r="V100" i="19"/>
  <c r="O100" i="19"/>
  <c r="P100" i="19" s="1"/>
  <c r="V99" i="19"/>
  <c r="O99" i="19"/>
  <c r="P99" i="19" s="1"/>
  <c r="V98" i="19"/>
  <c r="O98" i="19"/>
  <c r="P98" i="19" s="1"/>
  <c r="V97" i="19"/>
  <c r="O97" i="19"/>
  <c r="O95" i="19" s="1"/>
  <c r="V96" i="19"/>
  <c r="O96" i="19"/>
  <c r="U95" i="19"/>
  <c r="T95" i="19"/>
  <c r="S95" i="19"/>
  <c r="Q95" i="19"/>
  <c r="N95" i="19"/>
  <c r="M95" i="19"/>
  <c r="L95" i="19"/>
  <c r="W94" i="19"/>
  <c r="Z94" i="19" s="1"/>
  <c r="V94" i="19"/>
  <c r="O94" i="19"/>
  <c r="W93" i="19"/>
  <c r="Z93" i="19" s="1"/>
  <c r="V93" i="19"/>
  <c r="O93" i="19"/>
  <c r="W92" i="19"/>
  <c r="Z92" i="19" s="1"/>
  <c r="V92" i="19"/>
  <c r="O92" i="19"/>
  <c r="O91" i="19" s="1"/>
  <c r="U91" i="19"/>
  <c r="T91" i="19"/>
  <c r="S91" i="19"/>
  <c r="R91" i="19"/>
  <c r="Q91" i="19"/>
  <c r="P91" i="19"/>
  <c r="N91" i="19"/>
  <c r="M91" i="19"/>
  <c r="L91" i="19"/>
  <c r="W90" i="19"/>
  <c r="V90" i="19"/>
  <c r="O90" i="19"/>
  <c r="W89" i="19"/>
  <c r="V89" i="19"/>
  <c r="O89" i="19"/>
  <c r="W88" i="19"/>
  <c r="Z88" i="19" s="1"/>
  <c r="V88" i="19"/>
  <c r="O88" i="19"/>
  <c r="U87" i="19"/>
  <c r="T87" i="19"/>
  <c r="S87" i="19"/>
  <c r="R87" i="19"/>
  <c r="Q87" i="19"/>
  <c r="P87" i="19"/>
  <c r="N87" i="19"/>
  <c r="M87" i="19"/>
  <c r="L87" i="19"/>
  <c r="W86" i="19"/>
  <c r="Z86" i="19" s="1"/>
  <c r="V86" i="19"/>
  <c r="O86" i="19"/>
  <c r="W85" i="19"/>
  <c r="V85" i="19"/>
  <c r="O85" i="19"/>
  <c r="O83" i="19" s="1"/>
  <c r="W84" i="19"/>
  <c r="V84" i="19"/>
  <c r="O84" i="19"/>
  <c r="V83" i="19"/>
  <c r="U83" i="19"/>
  <c r="T83" i="19"/>
  <c r="S83" i="19"/>
  <c r="R83" i="19"/>
  <c r="W83" i="19" s="1"/>
  <c r="Q83" i="19"/>
  <c r="P83" i="19"/>
  <c r="N83" i="19"/>
  <c r="M83" i="19"/>
  <c r="L83" i="19"/>
  <c r="W82" i="19"/>
  <c r="Z82" i="19" s="1"/>
  <c r="V82" i="19"/>
  <c r="O82" i="19"/>
  <c r="W81" i="19"/>
  <c r="V81" i="19"/>
  <c r="O81" i="19"/>
  <c r="W80" i="19"/>
  <c r="V80" i="19"/>
  <c r="O80" i="19"/>
  <c r="U79" i="19"/>
  <c r="V79" i="19" s="1"/>
  <c r="T79" i="19"/>
  <c r="S79" i="19"/>
  <c r="R79" i="19"/>
  <c r="Q79" i="19"/>
  <c r="P79" i="19"/>
  <c r="N79" i="19"/>
  <c r="M79" i="19"/>
  <c r="M78" i="19" s="1"/>
  <c r="M77" i="19" s="1"/>
  <c r="L79" i="19"/>
  <c r="W76" i="19"/>
  <c r="Z76" i="19" s="1"/>
  <c r="O76" i="19"/>
  <c r="W75" i="19"/>
  <c r="O75" i="19"/>
  <c r="O73" i="19" s="1"/>
  <c r="W74" i="19"/>
  <c r="Z74" i="19" s="1"/>
  <c r="O74" i="19"/>
  <c r="V73" i="19"/>
  <c r="U73" i="19"/>
  <c r="T73" i="19"/>
  <c r="S73" i="19"/>
  <c r="R73" i="19"/>
  <c r="Q73" i="19"/>
  <c r="P73" i="19"/>
  <c r="N73" i="19"/>
  <c r="M73" i="19"/>
  <c r="L73" i="19"/>
  <c r="W72" i="19"/>
  <c r="O72" i="19"/>
  <c r="W71" i="19"/>
  <c r="O71" i="19"/>
  <c r="W70" i="19"/>
  <c r="O70" i="19"/>
  <c r="V69" i="19"/>
  <c r="U69" i="19"/>
  <c r="T69" i="19"/>
  <c r="S69" i="19"/>
  <c r="R69" i="19"/>
  <c r="Q69" i="19"/>
  <c r="P69" i="19"/>
  <c r="N69" i="19"/>
  <c r="M69" i="19"/>
  <c r="L69" i="19"/>
  <c r="W68" i="19"/>
  <c r="Z68" i="19" s="1"/>
  <c r="O68" i="19"/>
  <c r="W67" i="19"/>
  <c r="Z67" i="19" s="1"/>
  <c r="O67" i="19"/>
  <c r="W66" i="19"/>
  <c r="O66" i="19"/>
  <c r="V65" i="19"/>
  <c r="U65" i="19"/>
  <c r="T65" i="19"/>
  <c r="S65" i="19"/>
  <c r="R65" i="19"/>
  <c r="W65" i="19" s="1"/>
  <c r="Z65" i="19" s="1"/>
  <c r="Q65" i="19"/>
  <c r="P65" i="19"/>
  <c r="O65" i="19"/>
  <c r="N65" i="19"/>
  <c r="M65" i="19"/>
  <c r="L65" i="19"/>
  <c r="W64" i="19"/>
  <c r="O64" i="19"/>
  <c r="W63" i="19"/>
  <c r="Z63" i="19" s="1"/>
  <c r="O63" i="19"/>
  <c r="W62" i="19"/>
  <c r="O62" i="19"/>
  <c r="O61" i="19" s="1"/>
  <c r="V61" i="19"/>
  <c r="U61" i="19"/>
  <c r="T61" i="19"/>
  <c r="S61" i="19"/>
  <c r="R61" i="19"/>
  <c r="Q61" i="19"/>
  <c r="P61" i="19"/>
  <c r="N61" i="19"/>
  <c r="M61" i="19"/>
  <c r="L61" i="19"/>
  <c r="O60" i="19"/>
  <c r="O59" i="19"/>
  <c r="V58" i="19"/>
  <c r="O58" i="19"/>
  <c r="U57" i="19"/>
  <c r="V57" i="19" s="1"/>
  <c r="T57" i="19"/>
  <c r="S57" i="19"/>
  <c r="N57" i="19"/>
  <c r="M57" i="19"/>
  <c r="L57" i="19"/>
  <c r="R56" i="19"/>
  <c r="Q56" i="19"/>
  <c r="P56" i="19"/>
  <c r="O56" i="19"/>
  <c r="O55" i="19"/>
  <c r="V54" i="19"/>
  <c r="O54" i="19"/>
  <c r="Q54" i="19" s="1"/>
  <c r="V53" i="19"/>
  <c r="U53" i="19"/>
  <c r="T53" i="19"/>
  <c r="S53" i="19"/>
  <c r="O53" i="19"/>
  <c r="N53" i="19"/>
  <c r="M53" i="19"/>
  <c r="L53" i="19"/>
  <c r="V52" i="19"/>
  <c r="R52" i="19"/>
  <c r="O52" i="19"/>
  <c r="Q52" i="19" s="1"/>
  <c r="V51" i="19"/>
  <c r="O51" i="19"/>
  <c r="V50" i="19"/>
  <c r="O50" i="19"/>
  <c r="U49" i="19"/>
  <c r="V49" i="19" s="1"/>
  <c r="T49" i="19"/>
  <c r="S49" i="19"/>
  <c r="N49" i="19"/>
  <c r="M49" i="19"/>
  <c r="L49" i="19"/>
  <c r="W48" i="19"/>
  <c r="V48" i="19"/>
  <c r="O48" i="19"/>
  <c r="V47" i="19"/>
  <c r="O47" i="19"/>
  <c r="P47" i="19" s="1"/>
  <c r="V46" i="19"/>
  <c r="O46" i="19"/>
  <c r="Q46" i="19" s="1"/>
  <c r="V45" i="19"/>
  <c r="U45" i="19"/>
  <c r="T45" i="19"/>
  <c r="S45" i="19"/>
  <c r="N45" i="19"/>
  <c r="M45" i="19"/>
  <c r="L45" i="19"/>
  <c r="W44" i="19"/>
  <c r="Z44" i="19" s="1"/>
  <c r="O44" i="19"/>
  <c r="W43" i="19"/>
  <c r="O43" i="19"/>
  <c r="O41" i="19" s="1"/>
  <c r="V42" i="19"/>
  <c r="Q42" i="19"/>
  <c r="Q41" i="19" s="1"/>
  <c r="P42" i="19"/>
  <c r="P41" i="19" s="1"/>
  <c r="O42" i="19"/>
  <c r="R42" i="19" s="1"/>
  <c r="R41" i="19" s="1"/>
  <c r="U41" i="19"/>
  <c r="T41" i="19"/>
  <c r="S41" i="19"/>
  <c r="N41" i="19"/>
  <c r="M41" i="19"/>
  <c r="L41" i="19"/>
  <c r="W40" i="19"/>
  <c r="V40" i="19"/>
  <c r="O40" i="19"/>
  <c r="W39" i="19"/>
  <c r="V39" i="19"/>
  <c r="O39" i="19"/>
  <c r="W38" i="19"/>
  <c r="V38" i="19"/>
  <c r="O38" i="19"/>
  <c r="U37" i="19"/>
  <c r="T37" i="19"/>
  <c r="S37" i="19"/>
  <c r="R37" i="19"/>
  <c r="Q37" i="19"/>
  <c r="P37" i="19"/>
  <c r="N37" i="19"/>
  <c r="M37" i="19"/>
  <c r="L37" i="19"/>
  <c r="W35" i="19"/>
  <c r="Z35" i="19" s="1"/>
  <c r="O35" i="19"/>
  <c r="W34" i="19"/>
  <c r="Z34" i="19" s="1"/>
  <c r="O34" i="19"/>
  <c r="O32" i="19" s="1"/>
  <c r="W33" i="19"/>
  <c r="Z33" i="19" s="1"/>
  <c r="O33" i="19"/>
  <c r="V32" i="19"/>
  <c r="U32" i="19"/>
  <c r="T32" i="19"/>
  <c r="S32" i="19"/>
  <c r="R32" i="19"/>
  <c r="Q32" i="19"/>
  <c r="P32" i="19"/>
  <c r="N32" i="19"/>
  <c r="M32" i="19"/>
  <c r="L32" i="19"/>
  <c r="W31" i="19"/>
  <c r="O31" i="19"/>
  <c r="W30" i="19"/>
  <c r="Z30" i="19" s="1"/>
  <c r="O30" i="19"/>
  <c r="V29" i="19"/>
  <c r="R29" i="19"/>
  <c r="R28" i="19" s="1"/>
  <c r="Q29" i="19"/>
  <c r="Q28" i="19" s="1"/>
  <c r="Q27" i="19" s="1"/>
  <c r="Q26" i="19" s="1"/>
  <c r="Q25" i="19" s="1"/>
  <c r="P29" i="19"/>
  <c r="O29" i="19"/>
  <c r="U28" i="19"/>
  <c r="T28" i="19"/>
  <c r="T27" i="19" s="1"/>
  <c r="T26" i="19" s="1"/>
  <c r="T25" i="19" s="1"/>
  <c r="S28" i="19"/>
  <c r="P28" i="19"/>
  <c r="P27" i="19" s="1"/>
  <c r="P26" i="19" s="1"/>
  <c r="P25" i="19" s="1"/>
  <c r="N28" i="19"/>
  <c r="M28" i="19"/>
  <c r="L28" i="19"/>
  <c r="L27" i="19" s="1"/>
  <c r="L26" i="19" s="1"/>
  <c r="L25" i="19" s="1"/>
  <c r="S27" i="19"/>
  <c r="S26" i="19" s="1"/>
  <c r="S25" i="19" s="1"/>
  <c r="W23" i="19"/>
  <c r="O23" i="19"/>
  <c r="W22" i="19"/>
  <c r="O22" i="19"/>
  <c r="Z22" i="19" s="1"/>
  <c r="W21" i="19"/>
  <c r="Z21" i="19" s="1"/>
  <c r="O21" i="19"/>
  <c r="V20" i="19"/>
  <c r="U20" i="19"/>
  <c r="T20" i="19"/>
  <c r="S20" i="19"/>
  <c r="R20" i="19"/>
  <c r="Q20" i="19"/>
  <c r="P20" i="19"/>
  <c r="N20" i="19"/>
  <c r="M20" i="19"/>
  <c r="L20" i="19"/>
  <c r="V19" i="19"/>
  <c r="O19" i="19"/>
  <c r="P19" i="19" s="1"/>
  <c r="P16" i="19" s="1"/>
  <c r="V18" i="19"/>
  <c r="O18" i="19"/>
  <c r="V17" i="19"/>
  <c r="O17" i="19"/>
  <c r="V16" i="19"/>
  <c r="U16" i="19"/>
  <c r="T16" i="19"/>
  <c r="S16" i="19"/>
  <c r="R16" i="19"/>
  <c r="R11" i="19" s="1"/>
  <c r="R10" i="19" s="1"/>
  <c r="R9" i="19" s="1"/>
  <c r="N16" i="19"/>
  <c r="M16" i="19"/>
  <c r="L16" i="19"/>
  <c r="V15" i="19"/>
  <c r="O15" i="19"/>
  <c r="Q15" i="19" s="1"/>
  <c r="V14" i="19"/>
  <c r="O14" i="19"/>
  <c r="V13" i="19"/>
  <c r="O13" i="19"/>
  <c r="O12" i="19" s="1"/>
  <c r="U12" i="19"/>
  <c r="T12" i="19"/>
  <c r="T11" i="19" s="1"/>
  <c r="S12" i="19"/>
  <c r="S11" i="19" s="1"/>
  <c r="S10" i="19" s="1"/>
  <c r="S9" i="19" s="1"/>
  <c r="R12" i="19"/>
  <c r="N12" i="19"/>
  <c r="N11" i="19" s="1"/>
  <c r="N10" i="19" s="1"/>
  <c r="N9" i="19" s="1"/>
  <c r="M12" i="19"/>
  <c r="M11" i="19" s="1"/>
  <c r="M10" i="19" s="1"/>
  <c r="M9" i="19" s="1"/>
  <c r="L12" i="19"/>
  <c r="L11" i="19" s="1"/>
  <c r="L10" i="19" s="1"/>
  <c r="L9" i="19" s="1"/>
  <c r="U11" i="19"/>
  <c r="U10" i="19"/>
  <c r="AH125" i="3" l="1"/>
  <c r="AH124" i="3" s="1"/>
  <c r="BA136" i="3"/>
  <c r="L36" i="19"/>
  <c r="Z83" i="19"/>
  <c r="W32" i="19"/>
  <c r="Z32" i="19" s="1"/>
  <c r="T36" i="19"/>
  <c r="Q47" i="19"/>
  <c r="Q45" i="19" s="1"/>
  <c r="P50" i="19"/>
  <c r="R50" i="19"/>
  <c r="Q50" i="19"/>
  <c r="Q49" i="19" s="1"/>
  <c r="P58" i="19"/>
  <c r="R58" i="19"/>
  <c r="W61" i="19"/>
  <c r="Z61" i="19" s="1"/>
  <c r="Z62" i="19"/>
  <c r="Z64" i="19"/>
  <c r="Z75" i="19"/>
  <c r="O79" i="19"/>
  <c r="V95" i="19"/>
  <c r="P15" i="19"/>
  <c r="Z23" i="19"/>
  <c r="Q19" i="19"/>
  <c r="Q16" i="19" s="1"/>
  <c r="W20" i="19"/>
  <c r="M27" i="19"/>
  <c r="M26" i="19" s="1"/>
  <c r="M25" i="19" s="1"/>
  <c r="Z31" i="19"/>
  <c r="Z40" i="19"/>
  <c r="R46" i="19"/>
  <c r="R45" i="19" s="1"/>
  <c r="R47" i="19"/>
  <c r="Z48" i="19"/>
  <c r="R49" i="19"/>
  <c r="Q58" i="19"/>
  <c r="N78" i="19"/>
  <c r="T10" i="19"/>
  <c r="T9" i="19" s="1"/>
  <c r="V11" i="19"/>
  <c r="V12" i="19"/>
  <c r="O16" i="19"/>
  <c r="O11" i="19" s="1"/>
  <c r="O10" i="19" s="1"/>
  <c r="O9" i="19" s="1"/>
  <c r="O20" i="19"/>
  <c r="O28" i="19"/>
  <c r="O27" i="19" s="1"/>
  <c r="O26" i="19" s="1"/>
  <c r="O25" i="19" s="1"/>
  <c r="S36" i="19"/>
  <c r="O45" i="19"/>
  <c r="Q53" i="19"/>
  <c r="Z66" i="19"/>
  <c r="W73" i="19"/>
  <c r="Z73" i="19" s="1"/>
  <c r="S78" i="19"/>
  <c r="S77" i="19" s="1"/>
  <c r="Z81" i="19"/>
  <c r="Z85" i="19"/>
  <c r="W87" i="19"/>
  <c r="V87" i="19"/>
  <c r="Z104" i="19"/>
  <c r="O107" i="19"/>
  <c r="W111" i="19"/>
  <c r="Z111" i="19" s="1"/>
  <c r="Z120" i="19"/>
  <c r="W127" i="19"/>
  <c r="Z127" i="19" s="1"/>
  <c r="Z132" i="19"/>
  <c r="Z134" i="19"/>
  <c r="Z146" i="19"/>
  <c r="Z156" i="19"/>
  <c r="Z161" i="19"/>
  <c r="Z166" i="19"/>
  <c r="W167" i="19"/>
  <c r="Z167" i="19" s="1"/>
  <c r="Z168" i="19"/>
  <c r="Z170" i="19"/>
  <c r="Z186" i="19"/>
  <c r="Z192" i="19"/>
  <c r="Z203" i="19"/>
  <c r="M206" i="19"/>
  <c r="M205" i="19" s="1"/>
  <c r="R206" i="19"/>
  <c r="R205" i="19" s="1"/>
  <c r="W215" i="19"/>
  <c r="Z215" i="19" s="1"/>
  <c r="W223" i="19"/>
  <c r="W241" i="19"/>
  <c r="Z241" i="19" s="1"/>
  <c r="O241" i="19"/>
  <c r="Z244" i="19"/>
  <c r="W245" i="19"/>
  <c r="Z245" i="19" s="1"/>
  <c r="O255" i="19"/>
  <c r="Z260" i="19"/>
  <c r="V264" i="19"/>
  <c r="N272" i="19"/>
  <c r="R272" i="19"/>
  <c r="S272" i="19"/>
  <c r="Z279" i="19"/>
  <c r="L272" i="19"/>
  <c r="L253" i="19" s="1"/>
  <c r="L228" i="19" s="1"/>
  <c r="Q272" i="19"/>
  <c r="W272" i="19" s="1"/>
  <c r="Z272" i="19" s="1"/>
  <c r="V281" i="19"/>
  <c r="Z296" i="19"/>
  <c r="V303" i="19"/>
  <c r="Z304" i="19"/>
  <c r="W311" i="19"/>
  <c r="Z311" i="19" s="1"/>
  <c r="R54" i="19"/>
  <c r="R53" i="19" s="1"/>
  <c r="W69" i="19"/>
  <c r="Z70" i="19"/>
  <c r="Z72" i="19"/>
  <c r="L78" i="19"/>
  <c r="L77" i="19" s="1"/>
  <c r="T78" i="19"/>
  <c r="T77" i="19" s="1"/>
  <c r="Z80" i="19"/>
  <c r="Z84" i="19"/>
  <c r="W91" i="19"/>
  <c r="Z91" i="19" s="1"/>
  <c r="R98" i="19"/>
  <c r="T102" i="19"/>
  <c r="Z108" i="19"/>
  <c r="Z110" i="19"/>
  <c r="W123" i="19"/>
  <c r="Z126" i="19"/>
  <c r="O139" i="19"/>
  <c r="W143" i="19"/>
  <c r="Z143" i="19" s="1"/>
  <c r="W159" i="19"/>
  <c r="Z159" i="19" s="1"/>
  <c r="T147" i="19"/>
  <c r="O159" i="19"/>
  <c r="W163" i="19"/>
  <c r="Z163" i="19" s="1"/>
  <c r="W179" i="19"/>
  <c r="Z179" i="19" s="1"/>
  <c r="O195" i="19"/>
  <c r="O194" i="19" s="1"/>
  <c r="Z202" i="19"/>
  <c r="W219" i="19"/>
  <c r="Z219" i="19" s="1"/>
  <c r="W259" i="19"/>
  <c r="Z259" i="19" s="1"/>
  <c r="W264" i="19"/>
  <c r="Z264" i="19" s="1"/>
  <c r="O264" i="19"/>
  <c r="O263" i="19" s="1"/>
  <c r="O254" i="19" s="1"/>
  <c r="O253" i="19" s="1"/>
  <c r="Z267" i="19"/>
  <c r="Z278" i="19"/>
  <c r="T285" i="19"/>
  <c r="S294" i="19"/>
  <c r="O303" i="19"/>
  <c r="Z303" i="19" s="1"/>
  <c r="Z139" i="19"/>
  <c r="M147" i="19"/>
  <c r="Z210" i="19"/>
  <c r="Z269" i="19"/>
  <c r="M272" i="19"/>
  <c r="W277" i="19"/>
  <c r="Z277" i="19" s="1"/>
  <c r="Z116" i="19"/>
  <c r="Z118" i="19"/>
  <c r="W135" i="19"/>
  <c r="Z135" i="19" s="1"/>
  <c r="Z150" i="19"/>
  <c r="W151" i="19"/>
  <c r="Z152" i="19"/>
  <c r="Z154" i="19"/>
  <c r="Z164" i="19"/>
  <c r="W171" i="19"/>
  <c r="Z171" i="19" s="1"/>
  <c r="Z180" i="19"/>
  <c r="Z198" i="19"/>
  <c r="T206" i="19"/>
  <c r="T205" i="19" s="1"/>
  <c r="R254" i="19"/>
  <c r="O512" i="19"/>
  <c r="Z363" i="19"/>
  <c r="N386" i="19"/>
  <c r="N385" i="19" s="1"/>
  <c r="R386" i="19"/>
  <c r="R385" i="19" s="1"/>
  <c r="Z364" i="19"/>
  <c r="S386" i="19"/>
  <c r="S385" i="19" s="1"/>
  <c r="Z389" i="19"/>
  <c r="W393" i="19"/>
  <c r="V393" i="19"/>
  <c r="V400" i="19"/>
  <c r="W412" i="19"/>
  <c r="Z412" i="19" s="1"/>
  <c r="V412" i="19"/>
  <c r="V445" i="19"/>
  <c r="Z449" i="19"/>
  <c r="Z453" i="19"/>
  <c r="Z457" i="19"/>
  <c r="Z461" i="19"/>
  <c r="Z465" i="19"/>
  <c r="Z469" i="19"/>
  <c r="Z473" i="19"/>
  <c r="V509" i="19"/>
  <c r="O520" i="19"/>
  <c r="O519" i="19" s="1"/>
  <c r="O356" i="19"/>
  <c r="V363" i="19"/>
  <c r="L370" i="19"/>
  <c r="Z388" i="19"/>
  <c r="W390" i="19"/>
  <c r="Z390" i="19" s="1"/>
  <c r="Z396" i="19"/>
  <c r="W397" i="19"/>
  <c r="V397" i="19"/>
  <c r="Z448" i="19"/>
  <c r="Z452" i="19"/>
  <c r="Z456" i="19"/>
  <c r="Z460" i="19"/>
  <c r="Z464" i="19"/>
  <c r="Z468" i="19"/>
  <c r="Z472" i="19"/>
  <c r="Z476" i="19"/>
  <c r="O513" i="19"/>
  <c r="S353" i="19"/>
  <c r="S352" i="19" s="1"/>
  <c r="W359" i="19"/>
  <c r="V377" i="19"/>
  <c r="M385" i="19"/>
  <c r="O397" i="19"/>
  <c r="W400" i="19"/>
  <c r="Z400" i="19" s="1"/>
  <c r="W409" i="19"/>
  <c r="Z413" i="19"/>
  <c r="W445" i="19"/>
  <c r="Z445" i="19" s="1"/>
  <c r="W477" i="19"/>
  <c r="Z477" i="19" s="1"/>
  <c r="V513" i="19"/>
  <c r="S512" i="19"/>
  <c r="P520" i="19"/>
  <c r="P519" i="19" s="1"/>
  <c r="O527" i="19"/>
  <c r="S187" i="19"/>
  <c r="Q519" i="19"/>
  <c r="W524" i="19"/>
  <c r="Z524" i="19" s="1"/>
  <c r="V28" i="19"/>
  <c r="O37" i="19"/>
  <c r="Z43" i="19"/>
  <c r="R96" i="19"/>
  <c r="R95" i="19" s="1"/>
  <c r="R78" i="19" s="1"/>
  <c r="R77" i="19" s="1"/>
  <c r="P96" i="19"/>
  <c r="P95" i="19" s="1"/>
  <c r="P78" i="19" s="1"/>
  <c r="P77" i="19" s="1"/>
  <c r="N102" i="19"/>
  <c r="R102" i="19"/>
  <c r="W103" i="19"/>
  <c r="Z103" i="19" s="1"/>
  <c r="V102" i="19"/>
  <c r="L102" i="19"/>
  <c r="L101" i="19" s="1"/>
  <c r="Z125" i="19"/>
  <c r="P147" i="19"/>
  <c r="W148" i="19"/>
  <c r="Z148" i="19" s="1"/>
  <c r="Z153" i="19"/>
  <c r="M187" i="19"/>
  <c r="W190" i="19"/>
  <c r="Q189" i="19"/>
  <c r="Q188" i="19" s="1"/>
  <c r="W195" i="19"/>
  <c r="Z195" i="19" s="1"/>
  <c r="P194" i="19"/>
  <c r="W194" i="19" s="1"/>
  <c r="Z194" i="19" s="1"/>
  <c r="W268" i="19"/>
  <c r="Z268" i="19" s="1"/>
  <c r="P263" i="19"/>
  <c r="W263" i="19" s="1"/>
  <c r="Z263" i="19" s="1"/>
  <c r="V268" i="19"/>
  <c r="T263" i="19"/>
  <c r="V263" i="19" s="1"/>
  <c r="L227" i="19"/>
  <c r="V37" i="19"/>
  <c r="U36" i="19"/>
  <c r="V36" i="19" s="1"/>
  <c r="V386" i="19"/>
  <c r="U385" i="19"/>
  <c r="M36" i="19"/>
  <c r="R27" i="19"/>
  <c r="R26" i="19" s="1"/>
  <c r="R25" i="19" s="1"/>
  <c r="N36" i="19"/>
  <c r="Z39" i="19"/>
  <c r="V41" i="19"/>
  <c r="Z71" i="19"/>
  <c r="Q78" i="19"/>
  <c r="Q77" i="19" s="1"/>
  <c r="O87" i="19"/>
  <c r="O78" i="19" s="1"/>
  <c r="O77" i="19" s="1"/>
  <c r="Z90" i="19"/>
  <c r="M101" i="19"/>
  <c r="Z117" i="19"/>
  <c r="O123" i="19"/>
  <c r="Z123" i="19" s="1"/>
  <c r="O151" i="19"/>
  <c r="Z151" i="19" s="1"/>
  <c r="N147" i="19"/>
  <c r="R147" i="19"/>
  <c r="W155" i="19"/>
  <c r="Z155" i="19" s="1"/>
  <c r="V147" i="19"/>
  <c r="Z177" i="19"/>
  <c r="L187" i="19"/>
  <c r="W201" i="19"/>
  <c r="Z201" i="19" s="1"/>
  <c r="Z222" i="19"/>
  <c r="U272" i="19"/>
  <c r="V272" i="19" s="1"/>
  <c r="V10" i="19"/>
  <c r="U9" i="19"/>
  <c r="Q13" i="19"/>
  <c r="Q12" i="19" s="1"/>
  <c r="Q11" i="19" s="1"/>
  <c r="Q10" i="19" s="1"/>
  <c r="Q9" i="19" s="1"/>
  <c r="P13" i="19"/>
  <c r="P12" i="19" s="1"/>
  <c r="P11" i="19" s="1"/>
  <c r="P10" i="19" s="1"/>
  <c r="P9" i="19" s="1"/>
  <c r="S24" i="19"/>
  <c r="S8" i="19" s="1"/>
  <c r="W37" i="19"/>
  <c r="Z37" i="19" s="1"/>
  <c r="R60" i="19"/>
  <c r="R57" i="19" s="1"/>
  <c r="R36" i="19" s="1"/>
  <c r="Q60" i="19"/>
  <c r="Q57" i="19" s="1"/>
  <c r="O57" i="19"/>
  <c r="P60" i="19"/>
  <c r="P57" i="19" s="1"/>
  <c r="W107" i="19"/>
  <c r="Z107" i="19" s="1"/>
  <c r="P102" i="19"/>
  <c r="W189" i="19"/>
  <c r="P188" i="19"/>
  <c r="R199" i="19"/>
  <c r="W199" i="19" s="1"/>
  <c r="Z199" i="19" s="1"/>
  <c r="W200" i="19"/>
  <c r="Z200" i="19" s="1"/>
  <c r="V233" i="19"/>
  <c r="T230" i="19"/>
  <c r="N27" i="19"/>
  <c r="N26" i="19" s="1"/>
  <c r="N25" i="19" s="1"/>
  <c r="Z38" i="19"/>
  <c r="O69" i="19"/>
  <c r="Z69" i="19" s="1"/>
  <c r="W79" i="19"/>
  <c r="Z79" i="19" s="1"/>
  <c r="Z89" i="19"/>
  <c r="V91" i="19"/>
  <c r="Z109" i="19"/>
  <c r="O115" i="19"/>
  <c r="O102" i="19" s="1"/>
  <c r="Z141" i="19"/>
  <c r="O175" i="19"/>
  <c r="Z175" i="19" s="1"/>
  <c r="Z191" i="19"/>
  <c r="O190" i="19"/>
  <c r="O189" i="19" s="1"/>
  <c r="O188" i="19" s="1"/>
  <c r="Z196" i="19"/>
  <c r="Q206" i="19"/>
  <c r="Q205" i="19" s="1"/>
  <c r="W205" i="19" s="1"/>
  <c r="U206" i="19"/>
  <c r="U205" i="19" s="1"/>
  <c r="U187" i="19" s="1"/>
  <c r="S253" i="19"/>
  <c r="S228" i="19" s="1"/>
  <c r="S227" i="19" s="1"/>
  <c r="W386" i="19"/>
  <c r="P385" i="19"/>
  <c r="W385" i="19" s="1"/>
  <c r="O409" i="19"/>
  <c r="Z409" i="19" s="1"/>
  <c r="U27" i="19"/>
  <c r="P46" i="19"/>
  <c r="P45" i="19" s="1"/>
  <c r="O49" i="19"/>
  <c r="P52" i="19"/>
  <c r="P49" i="19" s="1"/>
  <c r="P54" i="19"/>
  <c r="P53" i="19" s="1"/>
  <c r="Z182" i="19"/>
  <c r="W183" i="19"/>
  <c r="O183" i="19"/>
  <c r="Z213" i="19"/>
  <c r="O223" i="19"/>
  <c r="Z223" i="19" s="1"/>
  <c r="O230" i="19"/>
  <c r="O229" i="19" s="1"/>
  <c r="O228" i="19" s="1"/>
  <c r="W273" i="19"/>
  <c r="Z273" i="19" s="1"/>
  <c r="W295" i="19"/>
  <c r="P294" i="19"/>
  <c r="W294" i="19" s="1"/>
  <c r="W371" i="19"/>
  <c r="Z371" i="19" s="1"/>
  <c r="T370" i="19"/>
  <c r="V370" i="19" s="1"/>
  <c r="V371" i="19"/>
  <c r="U78" i="19"/>
  <c r="Z184" i="19"/>
  <c r="T188" i="19"/>
  <c r="T187" i="19" s="1"/>
  <c r="O207" i="19"/>
  <c r="W207" i="19"/>
  <c r="W211" i="19"/>
  <c r="Z212" i="19"/>
  <c r="O211" i="19"/>
  <c r="Z216" i="19"/>
  <c r="P229" i="19"/>
  <c r="W249" i="19"/>
  <c r="Z249" i="19" s="1"/>
  <c r="Q254" i="19"/>
  <c r="Q253" i="19" s="1"/>
  <c r="Q228" i="19" s="1"/>
  <c r="W286" i="19"/>
  <c r="Z286" i="19" s="1"/>
  <c r="P285" i="19"/>
  <c r="V295" i="19"/>
  <c r="U294" i="19"/>
  <c r="V294" i="19" s="1"/>
  <c r="Z297" i="19"/>
  <c r="O295" i="19"/>
  <c r="O294" i="19" s="1"/>
  <c r="O353" i="19"/>
  <c r="O352" i="19" s="1"/>
  <c r="Z221" i="19"/>
  <c r="Z243" i="19"/>
  <c r="V249" i="19"/>
  <c r="Z256" i="19"/>
  <c r="M263" i="19"/>
  <c r="M254" i="19" s="1"/>
  <c r="M253" i="19" s="1"/>
  <c r="M228" i="19" s="1"/>
  <c r="M227" i="19" s="1"/>
  <c r="Z266" i="19"/>
  <c r="V285" i="19"/>
  <c r="Z291" i="19"/>
  <c r="P352" i="19"/>
  <c r="Z359" i="19"/>
  <c r="V359" i="19"/>
  <c r="T353" i="19"/>
  <c r="T352" i="19" s="1"/>
  <c r="O370" i="19"/>
  <c r="Z393" i="19"/>
  <c r="Z242" i="19"/>
  <c r="W255" i="19"/>
  <c r="Z255" i="19" s="1"/>
  <c r="T254" i="19"/>
  <c r="T253" i="19" s="1"/>
  <c r="Z265" i="19"/>
  <c r="Z280" i="19"/>
  <c r="W281" i="19"/>
  <c r="Z281" i="19" s="1"/>
  <c r="N285" i="19"/>
  <c r="N253" i="19" s="1"/>
  <c r="N228" i="19" s="1"/>
  <c r="N227" i="19" s="1"/>
  <c r="R285" i="19"/>
  <c r="R253" i="19" s="1"/>
  <c r="R228" i="19" s="1"/>
  <c r="Z292" i="19"/>
  <c r="Z298" i="19"/>
  <c r="Z306" i="19"/>
  <c r="W307" i="19"/>
  <c r="Z307" i="19" s="1"/>
  <c r="Z313" i="19"/>
  <c r="Z357" i="19"/>
  <c r="W378" i="19"/>
  <c r="Z378" i="19" s="1"/>
  <c r="T385" i="19"/>
  <c r="W387" i="19"/>
  <c r="Z387" i="19" s="1"/>
  <c r="Z395" i="19"/>
  <c r="Z411" i="19"/>
  <c r="P513" i="19"/>
  <c r="P512" i="19" s="1"/>
  <c r="W299" i="19"/>
  <c r="Z299" i="19" s="1"/>
  <c r="Z305" i="19"/>
  <c r="Z312" i="19"/>
  <c r="Q353" i="19"/>
  <c r="Q352" i="19" s="1"/>
  <c r="W356" i="19"/>
  <c r="Z356" i="19" s="1"/>
  <c r="V356" i="19"/>
  <c r="U353" i="19"/>
  <c r="R370" i="19"/>
  <c r="O386" i="19"/>
  <c r="O385" i="19" s="1"/>
  <c r="Z394" i="19"/>
  <c r="Z410" i="19"/>
  <c r="V387" i="19"/>
  <c r="P377" i="19"/>
  <c r="W377" i="19" s="1"/>
  <c r="Z377" i="19" s="1"/>
  <c r="BA125" i="3" l="1"/>
  <c r="BA124" i="3" s="1"/>
  <c r="R227" i="19"/>
  <c r="Z207" i="19"/>
  <c r="M24" i="19"/>
  <c r="M8" i="19" s="1"/>
  <c r="Z397" i="19"/>
  <c r="T101" i="19"/>
  <c r="T24" i="19" s="1"/>
  <c r="T8" i="19" s="1"/>
  <c r="S7" i="19"/>
  <c r="S6" i="19" s="1"/>
  <c r="R101" i="19"/>
  <c r="Z87" i="19"/>
  <c r="W285" i="19"/>
  <c r="Z285" i="19" s="1"/>
  <c r="Z211" i="19"/>
  <c r="P370" i="19"/>
  <c r="W370" i="19" s="1"/>
  <c r="Z370" i="19" s="1"/>
  <c r="W206" i="19"/>
  <c r="Q36" i="19"/>
  <c r="L24" i="19"/>
  <c r="L8" i="19" s="1"/>
  <c r="L7" i="19" s="1"/>
  <c r="L6" i="19" s="1"/>
  <c r="Z20" i="19"/>
  <c r="P36" i="19"/>
  <c r="M7" i="19"/>
  <c r="M6" i="19" s="1"/>
  <c r="V353" i="19"/>
  <c r="U352" i="19"/>
  <c r="V352" i="19" s="1"/>
  <c r="P187" i="19"/>
  <c r="W188" i="19"/>
  <c r="Z188" i="19" s="1"/>
  <c r="P254" i="19"/>
  <c r="W352" i="19"/>
  <c r="Z352" i="19" s="1"/>
  <c r="V78" i="19"/>
  <c r="U77" i="19"/>
  <c r="V77" i="19" s="1"/>
  <c r="Z183" i="19"/>
  <c r="Z385" i="19"/>
  <c r="Z189" i="19"/>
  <c r="V9" i="19"/>
  <c r="V385" i="19"/>
  <c r="Q187" i="19"/>
  <c r="Q24" i="19" s="1"/>
  <c r="Q8" i="19" s="1"/>
  <c r="N101" i="19"/>
  <c r="N24" i="19" s="1"/>
  <c r="N8" i="19" s="1"/>
  <c r="N7" i="19" s="1"/>
  <c r="N6" i="19" s="1"/>
  <c r="O227" i="19"/>
  <c r="W353" i="19"/>
  <c r="Z353" i="19" s="1"/>
  <c r="Q227" i="19"/>
  <c r="O206" i="19"/>
  <c r="O205" i="19" s="1"/>
  <c r="O187" i="19" s="1"/>
  <c r="V254" i="19"/>
  <c r="Z386" i="19"/>
  <c r="R187" i="19"/>
  <c r="R24" i="19" s="1"/>
  <c r="R8" i="19" s="1"/>
  <c r="R7" i="19" s="1"/>
  <c r="R6" i="19" s="1"/>
  <c r="W102" i="19"/>
  <c r="Z102" i="19" s="1"/>
  <c r="P101" i="19"/>
  <c r="W101" i="19" s="1"/>
  <c r="Z190" i="19"/>
  <c r="O147" i="19"/>
  <c r="O101" i="19" s="1"/>
  <c r="V101" i="19"/>
  <c r="Z115" i="19"/>
  <c r="Z295" i="19"/>
  <c r="Z294" i="19"/>
  <c r="U253" i="19"/>
  <c r="V27" i="19"/>
  <c r="U26" i="19"/>
  <c r="Z205" i="19"/>
  <c r="T229" i="19"/>
  <c r="V230" i="19"/>
  <c r="W147" i="19"/>
  <c r="O36" i="19"/>
  <c r="Z206" i="19" l="1"/>
  <c r="Q7" i="19"/>
  <c r="Q6" i="19" s="1"/>
  <c r="O6" i="19"/>
  <c r="O24" i="19"/>
  <c r="O8" i="19" s="1"/>
  <c r="O7" i="19" s="1"/>
  <c r="P24" i="19"/>
  <c r="P8" i="19" s="1"/>
  <c r="Z147" i="19"/>
  <c r="U228" i="19"/>
  <c r="V253" i="19"/>
  <c r="W254" i="19"/>
  <c r="Z254" i="19" s="1"/>
  <c r="P253" i="19"/>
  <c r="V229" i="19"/>
  <c r="T228" i="19"/>
  <c r="T227" i="19" s="1"/>
  <c r="T7" i="19" s="1"/>
  <c r="T6" i="19" s="1"/>
  <c r="Z101" i="19"/>
  <c r="U25" i="19"/>
  <c r="V26" i="19"/>
  <c r="W187" i="19"/>
  <c r="Z187" i="19" s="1"/>
  <c r="V25" i="19" l="1"/>
  <c r="U24" i="19"/>
  <c r="W253" i="19"/>
  <c r="Z253" i="19" s="1"/>
  <c r="P228" i="19"/>
  <c r="P227" i="19" s="1"/>
  <c r="P7" i="19" s="1"/>
  <c r="P6" i="19" s="1"/>
  <c r="U227" i="19"/>
  <c r="V227" i="19" s="1"/>
  <c r="V228" i="19"/>
  <c r="V24" i="19" l="1"/>
  <c r="U8" i="19"/>
  <c r="U7" i="19" l="1"/>
  <c r="V8" i="19"/>
  <c r="U6" i="19" l="1"/>
  <c r="V6" i="19" s="1"/>
  <c r="V7" i="19"/>
  <c r="M245" i="18" l="1"/>
  <c r="L245" i="18"/>
  <c r="K245" i="18"/>
  <c r="J245" i="18"/>
  <c r="I245" i="18"/>
  <c r="H245" i="18"/>
  <c r="G245" i="18"/>
  <c r="F245" i="18"/>
  <c r="E245" i="18"/>
  <c r="D245" i="18"/>
  <c r="C245" i="18"/>
  <c r="B245" i="18"/>
  <c r="Q244" i="18"/>
  <c r="P244" i="18"/>
  <c r="O244" i="18"/>
  <c r="N244" i="18"/>
  <c r="M244" i="18"/>
  <c r="L244" i="18"/>
  <c r="K244" i="18"/>
  <c r="J244" i="18"/>
  <c r="I244" i="18"/>
  <c r="H244" i="18"/>
  <c r="G244" i="18"/>
  <c r="F244" i="18"/>
  <c r="E244" i="18"/>
  <c r="D244" i="18"/>
  <c r="C244" i="18"/>
  <c r="B244" i="18"/>
  <c r="Q243" i="18"/>
  <c r="P243" i="18"/>
  <c r="O243" i="18"/>
  <c r="N243" i="18"/>
  <c r="M243" i="18"/>
  <c r="L243" i="18"/>
  <c r="K243" i="18"/>
  <c r="J243" i="18"/>
  <c r="I243" i="18"/>
  <c r="H243" i="18"/>
  <c r="G243" i="18"/>
  <c r="F243" i="18"/>
  <c r="E243" i="18"/>
  <c r="D243" i="18"/>
  <c r="C243" i="18"/>
  <c r="B243" i="18"/>
  <c r="M241" i="18"/>
  <c r="L241" i="18"/>
  <c r="K241" i="18"/>
  <c r="J241" i="18"/>
  <c r="I241" i="18"/>
  <c r="H241" i="18"/>
  <c r="G241" i="18"/>
  <c r="F241" i="18"/>
  <c r="E241" i="18"/>
  <c r="D241" i="18"/>
  <c r="C241" i="18"/>
  <c r="B241" i="18"/>
  <c r="M240" i="18"/>
  <c r="L240" i="18"/>
  <c r="K240" i="18"/>
  <c r="J240" i="18"/>
  <c r="I240" i="18"/>
  <c r="H240" i="18"/>
  <c r="G240" i="18"/>
  <c r="F240" i="18"/>
  <c r="E240" i="18"/>
  <c r="D240" i="18"/>
  <c r="C240" i="18"/>
  <c r="B240" i="18"/>
  <c r="M239" i="18"/>
  <c r="L239" i="18"/>
  <c r="K239" i="18"/>
  <c r="J239" i="18"/>
  <c r="I239" i="18"/>
  <c r="H239" i="18"/>
  <c r="G239" i="18"/>
  <c r="F239" i="18"/>
  <c r="E239" i="18"/>
  <c r="D239" i="18"/>
  <c r="C239" i="18"/>
  <c r="B239" i="18"/>
  <c r="U238" i="18"/>
  <c r="T238" i="18"/>
  <c r="S238" i="18"/>
  <c r="R238" i="18"/>
  <c r="Q237" i="18"/>
  <c r="P237" i="18"/>
  <c r="O237" i="18"/>
  <c r="N237" i="18"/>
  <c r="N236" i="18" s="1"/>
  <c r="N235" i="18" s="1"/>
  <c r="M237" i="18"/>
  <c r="M236" i="18" s="1"/>
  <c r="M235" i="18" s="1"/>
  <c r="L237" i="18"/>
  <c r="K237" i="18"/>
  <c r="J237" i="18"/>
  <c r="J236" i="18" s="1"/>
  <c r="J235" i="18" s="1"/>
  <c r="I237" i="18"/>
  <c r="I236" i="18" s="1"/>
  <c r="I235" i="18" s="1"/>
  <c r="H237" i="18"/>
  <c r="G237" i="18"/>
  <c r="F237" i="18"/>
  <c r="F236" i="18" s="1"/>
  <c r="F235" i="18" s="1"/>
  <c r="E237" i="18"/>
  <c r="D237" i="18"/>
  <c r="T237" i="18" s="1"/>
  <c r="C237" i="18"/>
  <c r="S237" i="18" s="1"/>
  <c r="B237" i="18"/>
  <c r="B236" i="18" s="1"/>
  <c r="Q236" i="18"/>
  <c r="Q235" i="18" s="1"/>
  <c r="P236" i="18"/>
  <c r="O236" i="18"/>
  <c r="O235" i="18" s="1"/>
  <c r="L236" i="18"/>
  <c r="L235" i="18" s="1"/>
  <c r="K236" i="18"/>
  <c r="K235" i="18" s="1"/>
  <c r="H236" i="18"/>
  <c r="H235" i="18" s="1"/>
  <c r="G236" i="18"/>
  <c r="G235" i="18" s="1"/>
  <c r="D236" i="18"/>
  <c r="D235" i="18" s="1"/>
  <c r="C236" i="18"/>
  <c r="C235" i="18" s="1"/>
  <c r="P235" i="18"/>
  <c r="M233" i="18"/>
  <c r="L233" i="18"/>
  <c r="K233" i="18"/>
  <c r="J233" i="18"/>
  <c r="I233" i="18"/>
  <c r="H233" i="18"/>
  <c r="G233" i="18"/>
  <c r="F233" i="18"/>
  <c r="E233" i="18"/>
  <c r="D233" i="18"/>
  <c r="C233" i="18"/>
  <c r="B233" i="18"/>
  <c r="M232" i="18"/>
  <c r="L232" i="18"/>
  <c r="K232" i="18"/>
  <c r="J232" i="18"/>
  <c r="I232" i="18"/>
  <c r="H232" i="18"/>
  <c r="G232" i="18"/>
  <c r="F232" i="18"/>
  <c r="E232" i="18"/>
  <c r="D232" i="18"/>
  <c r="C232" i="18"/>
  <c r="B232" i="18"/>
  <c r="M231" i="18"/>
  <c r="L231" i="18"/>
  <c r="K231" i="18"/>
  <c r="J231" i="18"/>
  <c r="I231" i="18"/>
  <c r="H231" i="18"/>
  <c r="G231" i="18"/>
  <c r="F231" i="18"/>
  <c r="E231" i="18"/>
  <c r="D231" i="18"/>
  <c r="C231" i="18"/>
  <c r="B231" i="18"/>
  <c r="M229" i="18"/>
  <c r="L229" i="18"/>
  <c r="K229" i="18"/>
  <c r="J229" i="18"/>
  <c r="I229" i="18"/>
  <c r="H229" i="18"/>
  <c r="G229" i="18"/>
  <c r="F229" i="18"/>
  <c r="E229" i="18"/>
  <c r="D229" i="18"/>
  <c r="C229" i="18"/>
  <c r="B229" i="18"/>
  <c r="M228" i="18"/>
  <c r="L228" i="18"/>
  <c r="K228" i="18"/>
  <c r="J228" i="18"/>
  <c r="I228" i="18"/>
  <c r="H228" i="18"/>
  <c r="G228" i="18"/>
  <c r="F228" i="18"/>
  <c r="E228" i="18"/>
  <c r="D228" i="18"/>
  <c r="C228" i="18"/>
  <c r="B228" i="18"/>
  <c r="M227" i="18"/>
  <c r="L227" i="18"/>
  <c r="K227" i="18"/>
  <c r="J227" i="18"/>
  <c r="I227" i="18"/>
  <c r="H227" i="18"/>
  <c r="G227" i="18"/>
  <c r="F227" i="18"/>
  <c r="E227" i="18"/>
  <c r="D227" i="18"/>
  <c r="C227" i="18"/>
  <c r="B227" i="18"/>
  <c r="M225" i="18"/>
  <c r="L225" i="18"/>
  <c r="K225" i="18"/>
  <c r="J225" i="18"/>
  <c r="I225" i="18"/>
  <c r="H225" i="18"/>
  <c r="G225" i="18"/>
  <c r="F225" i="18"/>
  <c r="E225" i="18"/>
  <c r="D225" i="18"/>
  <c r="C225" i="18"/>
  <c r="B225" i="18"/>
  <c r="M224" i="18"/>
  <c r="L224" i="18"/>
  <c r="K224" i="18"/>
  <c r="J224" i="18"/>
  <c r="I224" i="18"/>
  <c r="H224" i="18"/>
  <c r="G224" i="18"/>
  <c r="F224" i="18"/>
  <c r="E224" i="18"/>
  <c r="D224" i="18"/>
  <c r="C224" i="18"/>
  <c r="B224" i="18"/>
  <c r="M223" i="18"/>
  <c r="L223" i="18"/>
  <c r="K223" i="18"/>
  <c r="J223" i="18"/>
  <c r="I223" i="18"/>
  <c r="H223" i="18"/>
  <c r="G223" i="18"/>
  <c r="F223" i="18"/>
  <c r="E223" i="18"/>
  <c r="D223" i="18"/>
  <c r="C223" i="18"/>
  <c r="B223" i="18"/>
  <c r="M221" i="18"/>
  <c r="L221" i="18"/>
  <c r="K221" i="18"/>
  <c r="J221" i="18"/>
  <c r="I221" i="18"/>
  <c r="H221" i="18"/>
  <c r="G221" i="18"/>
  <c r="F221" i="18"/>
  <c r="E221" i="18"/>
  <c r="D221" i="18"/>
  <c r="C221" i="18"/>
  <c r="B221" i="18"/>
  <c r="Q220" i="18"/>
  <c r="P220" i="18"/>
  <c r="O220" i="18"/>
  <c r="N220" i="18"/>
  <c r="M220" i="18"/>
  <c r="L220" i="18"/>
  <c r="K220" i="18"/>
  <c r="J220" i="18"/>
  <c r="I220" i="18"/>
  <c r="H220" i="18"/>
  <c r="G220" i="18"/>
  <c r="F220" i="18"/>
  <c r="E220" i="18"/>
  <c r="D220" i="18"/>
  <c r="C220" i="18"/>
  <c r="B220" i="18"/>
  <c r="Q219" i="18"/>
  <c r="P219" i="18"/>
  <c r="O219" i="18"/>
  <c r="N219" i="18"/>
  <c r="M219" i="18"/>
  <c r="L219" i="18"/>
  <c r="K219" i="18"/>
  <c r="J219" i="18"/>
  <c r="I219" i="18"/>
  <c r="H219" i="18"/>
  <c r="G219" i="18"/>
  <c r="F219" i="18"/>
  <c r="E219" i="18"/>
  <c r="D219" i="18"/>
  <c r="C219" i="18"/>
  <c r="B219" i="18"/>
  <c r="M217" i="18"/>
  <c r="L217" i="18"/>
  <c r="K217" i="18"/>
  <c r="J217" i="18"/>
  <c r="I217" i="18"/>
  <c r="H217" i="18"/>
  <c r="G217" i="18"/>
  <c r="F217" i="18"/>
  <c r="E217" i="18"/>
  <c r="D217" i="18"/>
  <c r="C217" i="18"/>
  <c r="B217" i="18"/>
  <c r="M216" i="18"/>
  <c r="L216" i="18"/>
  <c r="K216" i="18"/>
  <c r="J216" i="18"/>
  <c r="I216" i="18"/>
  <c r="H216" i="18"/>
  <c r="G216" i="18"/>
  <c r="F216" i="18"/>
  <c r="E216" i="18"/>
  <c r="D216" i="18"/>
  <c r="C216" i="18"/>
  <c r="B216" i="18"/>
  <c r="M215" i="18"/>
  <c r="L215" i="18"/>
  <c r="K215" i="18"/>
  <c r="J215" i="18"/>
  <c r="I215" i="18"/>
  <c r="H215" i="18"/>
  <c r="G215" i="18"/>
  <c r="F215" i="18"/>
  <c r="E215" i="18"/>
  <c r="D215" i="18"/>
  <c r="C215" i="18"/>
  <c r="B215" i="18"/>
  <c r="U214" i="18"/>
  <c r="T214" i="18"/>
  <c r="S214" i="18"/>
  <c r="R214" i="18"/>
  <c r="Q213" i="18"/>
  <c r="P213" i="18"/>
  <c r="O213" i="18"/>
  <c r="O212" i="18" s="1"/>
  <c r="O211" i="18" s="1"/>
  <c r="N213" i="18"/>
  <c r="M213" i="18"/>
  <c r="M212" i="18" s="1"/>
  <c r="M211" i="18" s="1"/>
  <c r="L213" i="18"/>
  <c r="L212" i="18" s="1"/>
  <c r="L211" i="18" s="1"/>
  <c r="L206" i="18" s="1"/>
  <c r="K213" i="18"/>
  <c r="K212" i="18" s="1"/>
  <c r="J213" i="18"/>
  <c r="I213" i="18"/>
  <c r="I212" i="18" s="1"/>
  <c r="I211" i="18" s="1"/>
  <c r="H213" i="18"/>
  <c r="H212" i="18" s="1"/>
  <c r="H211" i="18" s="1"/>
  <c r="G213" i="18"/>
  <c r="G212" i="18" s="1"/>
  <c r="G211" i="18" s="1"/>
  <c r="F213" i="18"/>
  <c r="E213" i="18"/>
  <c r="D213" i="18"/>
  <c r="T213" i="18" s="1"/>
  <c r="C213" i="18"/>
  <c r="C212" i="18" s="1"/>
  <c r="S212" i="18" s="1"/>
  <c r="B213" i="18"/>
  <c r="R213" i="18" s="1"/>
  <c r="W213" i="18" s="1"/>
  <c r="Q212" i="18"/>
  <c r="Q211" i="18" s="1"/>
  <c r="Q206" i="18" s="1"/>
  <c r="P212" i="18"/>
  <c r="P211" i="18" s="1"/>
  <c r="P206" i="18" s="1"/>
  <c r="N212" i="18"/>
  <c r="N211" i="18" s="1"/>
  <c r="J212" i="18"/>
  <c r="J211" i="18" s="1"/>
  <c r="F212" i="18"/>
  <c r="F211" i="18" s="1"/>
  <c r="B212" i="18"/>
  <c r="B211" i="18" s="1"/>
  <c r="K211" i="18"/>
  <c r="C211" i="18"/>
  <c r="U210" i="18"/>
  <c r="T210" i="18"/>
  <c r="S210" i="18"/>
  <c r="R210" i="18"/>
  <c r="Q209" i="18"/>
  <c r="P209" i="18"/>
  <c r="O209" i="18"/>
  <c r="N209" i="18"/>
  <c r="N208" i="18" s="1"/>
  <c r="M209" i="18"/>
  <c r="L209" i="18"/>
  <c r="K209" i="18"/>
  <c r="K208" i="18" s="1"/>
  <c r="K207" i="18" s="1"/>
  <c r="J209" i="18"/>
  <c r="J208" i="18" s="1"/>
  <c r="J207" i="18" s="1"/>
  <c r="J206" i="18" s="1"/>
  <c r="I209" i="18"/>
  <c r="H209" i="18"/>
  <c r="G209" i="18"/>
  <c r="G208" i="18" s="1"/>
  <c r="G207" i="18" s="1"/>
  <c r="F209" i="18"/>
  <c r="F208" i="18" s="1"/>
  <c r="F207" i="18" s="1"/>
  <c r="E209" i="18"/>
  <c r="U209" i="18" s="1"/>
  <c r="D209" i="18"/>
  <c r="T209" i="18" s="1"/>
  <c r="C209" i="18"/>
  <c r="B209" i="18"/>
  <c r="B208" i="18" s="1"/>
  <c r="R208" i="18" s="1"/>
  <c r="Q208" i="18"/>
  <c r="P208" i="18"/>
  <c r="O208" i="18"/>
  <c r="O207" i="18" s="1"/>
  <c r="M208" i="18"/>
  <c r="L208" i="18"/>
  <c r="I208" i="18"/>
  <c r="H208" i="18"/>
  <c r="D208" i="18"/>
  <c r="T208" i="18" s="1"/>
  <c r="Q207" i="18"/>
  <c r="P207" i="18"/>
  <c r="N207" i="18"/>
  <c r="N206" i="18" s="1"/>
  <c r="M207" i="18"/>
  <c r="L207" i="18"/>
  <c r="I207" i="18"/>
  <c r="H207" i="18"/>
  <c r="D207" i="18"/>
  <c r="U205" i="18"/>
  <c r="T205" i="18"/>
  <c r="S205" i="18"/>
  <c r="R205" i="18"/>
  <c r="Q204" i="18"/>
  <c r="P204" i="18"/>
  <c r="O204" i="18"/>
  <c r="N204" i="18"/>
  <c r="N203" i="18" s="1"/>
  <c r="N202" i="18" s="1"/>
  <c r="M204" i="18"/>
  <c r="M203" i="18" s="1"/>
  <c r="M202" i="18" s="1"/>
  <c r="L204" i="18"/>
  <c r="K204" i="18"/>
  <c r="K203" i="18" s="1"/>
  <c r="K202" i="18" s="1"/>
  <c r="J204" i="18"/>
  <c r="J203" i="18" s="1"/>
  <c r="J202" i="18" s="1"/>
  <c r="I204" i="18"/>
  <c r="H204" i="18"/>
  <c r="H203" i="18" s="1"/>
  <c r="H202" i="18" s="1"/>
  <c r="G204" i="18"/>
  <c r="G203" i="18" s="1"/>
  <c r="G202" i="18" s="1"/>
  <c r="F204" i="18"/>
  <c r="F203" i="18" s="1"/>
  <c r="F202" i="18" s="1"/>
  <c r="E204" i="18"/>
  <c r="U204" i="18" s="1"/>
  <c r="D204" i="18"/>
  <c r="T204" i="18" s="1"/>
  <c r="C204" i="18"/>
  <c r="B204" i="18"/>
  <c r="B203" i="18" s="1"/>
  <c r="Q203" i="18"/>
  <c r="P203" i="18"/>
  <c r="O203" i="18"/>
  <c r="O202" i="18" s="1"/>
  <c r="L203" i="18"/>
  <c r="L202" i="18" s="1"/>
  <c r="I203" i="18"/>
  <c r="I202" i="18" s="1"/>
  <c r="Q202" i="18"/>
  <c r="P202" i="18"/>
  <c r="U201" i="18"/>
  <c r="T201" i="18"/>
  <c r="S201" i="18"/>
  <c r="R201" i="18"/>
  <c r="Q200" i="18"/>
  <c r="P200" i="18"/>
  <c r="P199" i="18" s="1"/>
  <c r="P198" i="18" s="1"/>
  <c r="O200" i="18"/>
  <c r="O199" i="18" s="1"/>
  <c r="O198" i="18" s="1"/>
  <c r="N200" i="18"/>
  <c r="M200" i="18"/>
  <c r="M199" i="18" s="1"/>
  <c r="M198" i="18" s="1"/>
  <c r="L200" i="18"/>
  <c r="L199" i="18" s="1"/>
  <c r="L198" i="18" s="1"/>
  <c r="K200" i="18"/>
  <c r="K199" i="18" s="1"/>
  <c r="K198" i="18" s="1"/>
  <c r="J200" i="18"/>
  <c r="I200" i="18"/>
  <c r="I199" i="18" s="1"/>
  <c r="I198" i="18" s="1"/>
  <c r="H200" i="18"/>
  <c r="H199" i="18" s="1"/>
  <c r="H198" i="18" s="1"/>
  <c r="G200" i="18"/>
  <c r="G199" i="18" s="1"/>
  <c r="G198" i="18" s="1"/>
  <c r="F200" i="18"/>
  <c r="E200" i="18"/>
  <c r="D200" i="18"/>
  <c r="C200" i="18"/>
  <c r="B200" i="18"/>
  <c r="R200" i="18" s="1"/>
  <c r="W200" i="18" s="1"/>
  <c r="Q199" i="18"/>
  <c r="Q198" i="18" s="1"/>
  <c r="N199" i="18"/>
  <c r="J199" i="18"/>
  <c r="F199" i="18"/>
  <c r="B199" i="18"/>
  <c r="N198" i="18"/>
  <c r="J198" i="18"/>
  <c r="F198" i="18"/>
  <c r="B198" i="18"/>
  <c r="U197" i="18"/>
  <c r="T197" i="18"/>
  <c r="S197" i="18"/>
  <c r="R197" i="18"/>
  <c r="Q196" i="18"/>
  <c r="P196" i="18"/>
  <c r="O196" i="18"/>
  <c r="N196" i="18"/>
  <c r="M196" i="18"/>
  <c r="L196" i="18"/>
  <c r="K196" i="18"/>
  <c r="J196" i="18"/>
  <c r="I196" i="18"/>
  <c r="H196" i="18"/>
  <c r="G196" i="18"/>
  <c r="F196" i="18"/>
  <c r="E196" i="18"/>
  <c r="U196" i="18" s="1"/>
  <c r="D196" i="18"/>
  <c r="T196" i="18" s="1"/>
  <c r="C196" i="18"/>
  <c r="S196" i="18" s="1"/>
  <c r="B196" i="18"/>
  <c r="R196" i="18" s="1"/>
  <c r="W196" i="18" s="1"/>
  <c r="Q195" i="18"/>
  <c r="P195" i="18"/>
  <c r="P194" i="18" s="1"/>
  <c r="O195" i="18"/>
  <c r="O194" i="18" s="1"/>
  <c r="N195" i="18"/>
  <c r="N194" i="18" s="1"/>
  <c r="M195" i="18"/>
  <c r="L195" i="18"/>
  <c r="L194" i="18" s="1"/>
  <c r="K195" i="18"/>
  <c r="K194" i="18" s="1"/>
  <c r="J195" i="18"/>
  <c r="I195" i="18"/>
  <c r="H195" i="18"/>
  <c r="H194" i="18" s="1"/>
  <c r="G195" i="18"/>
  <c r="G194" i="18" s="1"/>
  <c r="F195" i="18"/>
  <c r="F194" i="18" s="1"/>
  <c r="E195" i="18"/>
  <c r="U195" i="18" s="1"/>
  <c r="D195" i="18"/>
  <c r="D194" i="18" s="1"/>
  <c r="T194" i="18" s="1"/>
  <c r="C195" i="18"/>
  <c r="B195" i="18"/>
  <c r="R195" i="18" s="1"/>
  <c r="Q194" i="18"/>
  <c r="M194" i="18"/>
  <c r="J194" i="18"/>
  <c r="I194" i="18"/>
  <c r="E194" i="18"/>
  <c r="B194" i="18"/>
  <c r="U193" i="18"/>
  <c r="T193" i="18"/>
  <c r="S193" i="18"/>
  <c r="R193" i="18"/>
  <c r="Q192" i="18"/>
  <c r="P192" i="18"/>
  <c r="P191" i="18" s="1"/>
  <c r="O192" i="18"/>
  <c r="O191" i="18" s="1"/>
  <c r="O190" i="18" s="1"/>
  <c r="N192" i="18"/>
  <c r="N191" i="18" s="1"/>
  <c r="N190" i="18" s="1"/>
  <c r="M192" i="18"/>
  <c r="M191" i="18" s="1"/>
  <c r="M190" i="18" s="1"/>
  <c r="L192" i="18"/>
  <c r="L191" i="18" s="1"/>
  <c r="L190" i="18" s="1"/>
  <c r="K192" i="18"/>
  <c r="K191" i="18" s="1"/>
  <c r="K190" i="18" s="1"/>
  <c r="J192" i="18"/>
  <c r="I192" i="18"/>
  <c r="H192" i="18"/>
  <c r="H191" i="18" s="1"/>
  <c r="H190" i="18" s="1"/>
  <c r="G192" i="18"/>
  <c r="G191" i="18" s="1"/>
  <c r="G190" i="18" s="1"/>
  <c r="F192" i="18"/>
  <c r="F191" i="18" s="1"/>
  <c r="F190" i="18" s="1"/>
  <c r="E192" i="18"/>
  <c r="U192" i="18" s="1"/>
  <c r="D192" i="18"/>
  <c r="C192" i="18"/>
  <c r="B192" i="18"/>
  <c r="R192" i="18" s="1"/>
  <c r="W192" i="18" s="1"/>
  <c r="Q191" i="18"/>
  <c r="J191" i="18"/>
  <c r="J190" i="18" s="1"/>
  <c r="I191" i="18"/>
  <c r="B191" i="18"/>
  <c r="B190" i="18" s="1"/>
  <c r="Q190" i="18"/>
  <c r="P190" i="18"/>
  <c r="I190" i="18"/>
  <c r="U189" i="18"/>
  <c r="T189" i="18"/>
  <c r="S189" i="18"/>
  <c r="R189" i="18"/>
  <c r="M188" i="18"/>
  <c r="L188" i="18"/>
  <c r="K188" i="18"/>
  <c r="J188" i="18"/>
  <c r="I188" i="18"/>
  <c r="H188" i="18"/>
  <c r="G188" i="18"/>
  <c r="F188" i="18"/>
  <c r="E188" i="18"/>
  <c r="U188" i="18" s="1"/>
  <c r="D188" i="18"/>
  <c r="T188" i="18" s="1"/>
  <c r="C188" i="18"/>
  <c r="S188" i="18" s="1"/>
  <c r="B188" i="18"/>
  <c r="R188" i="18" s="1"/>
  <c r="W188" i="18" s="1"/>
  <c r="Q187" i="18"/>
  <c r="P187" i="18"/>
  <c r="P186" i="18" s="1"/>
  <c r="O187" i="18"/>
  <c r="O186" i="18" s="1"/>
  <c r="N187" i="18"/>
  <c r="N186" i="18" s="1"/>
  <c r="M187" i="18"/>
  <c r="M186" i="18" s="1"/>
  <c r="L187" i="18"/>
  <c r="L186" i="18" s="1"/>
  <c r="K187" i="18"/>
  <c r="K186" i="18" s="1"/>
  <c r="J187" i="18"/>
  <c r="J186" i="18" s="1"/>
  <c r="I187" i="18"/>
  <c r="I186" i="18" s="1"/>
  <c r="H187" i="18"/>
  <c r="H186" i="18" s="1"/>
  <c r="G187" i="18"/>
  <c r="G186" i="18" s="1"/>
  <c r="F187" i="18"/>
  <c r="F186" i="18" s="1"/>
  <c r="E187" i="18"/>
  <c r="U187" i="18" s="1"/>
  <c r="D187" i="18"/>
  <c r="C187" i="18"/>
  <c r="B187" i="18"/>
  <c r="R187" i="18" s="1"/>
  <c r="Q186" i="18"/>
  <c r="U185" i="18"/>
  <c r="T185" i="18"/>
  <c r="S185" i="18"/>
  <c r="R185" i="18"/>
  <c r="Q184" i="18"/>
  <c r="P184" i="18"/>
  <c r="P183" i="18" s="1"/>
  <c r="P182" i="18" s="1"/>
  <c r="O184" i="18"/>
  <c r="O183" i="18" s="1"/>
  <c r="O182" i="18" s="1"/>
  <c r="N184" i="18"/>
  <c r="N183" i="18" s="1"/>
  <c r="N182" i="18" s="1"/>
  <c r="N180" i="18" s="1"/>
  <c r="M184" i="18"/>
  <c r="L184" i="18"/>
  <c r="L183" i="18" s="1"/>
  <c r="L182" i="18" s="1"/>
  <c r="K184" i="18"/>
  <c r="K183" i="18" s="1"/>
  <c r="J184" i="18"/>
  <c r="I184" i="18"/>
  <c r="H184" i="18"/>
  <c r="H183" i="18" s="1"/>
  <c r="H182" i="18" s="1"/>
  <c r="G184" i="18"/>
  <c r="G183" i="18" s="1"/>
  <c r="G182" i="18" s="1"/>
  <c r="G180" i="18" s="1"/>
  <c r="F184" i="18"/>
  <c r="F183" i="18" s="1"/>
  <c r="F182" i="18" s="1"/>
  <c r="F180" i="18" s="1"/>
  <c r="E184" i="18"/>
  <c r="U184" i="18" s="1"/>
  <c r="D184" i="18"/>
  <c r="D183" i="18" s="1"/>
  <c r="T183" i="18" s="1"/>
  <c r="C184" i="18"/>
  <c r="B184" i="18"/>
  <c r="R184" i="18" s="1"/>
  <c r="W184" i="18" s="1"/>
  <c r="Q183" i="18"/>
  <c r="M183" i="18"/>
  <c r="M182" i="18" s="1"/>
  <c r="J183" i="18"/>
  <c r="I183" i="18"/>
  <c r="E183" i="18"/>
  <c r="B183" i="18"/>
  <c r="B182" i="18" s="1"/>
  <c r="R182" i="18" s="1"/>
  <c r="Q182" i="18"/>
  <c r="Q180" i="18" s="1"/>
  <c r="K182" i="18"/>
  <c r="J182" i="18"/>
  <c r="I182" i="18"/>
  <c r="D182" i="18"/>
  <c r="V180" i="18"/>
  <c r="J180" i="18"/>
  <c r="I180" i="18"/>
  <c r="U179" i="18"/>
  <c r="T179" i="18"/>
  <c r="S179" i="18"/>
  <c r="R179" i="18"/>
  <c r="Q178" i="18"/>
  <c r="Q177" i="18" s="1"/>
  <c r="P178" i="18"/>
  <c r="P177" i="18" s="1"/>
  <c r="P176" i="18" s="1"/>
  <c r="O178" i="18"/>
  <c r="O177" i="18" s="1"/>
  <c r="O176" i="18" s="1"/>
  <c r="N178" i="18"/>
  <c r="M178" i="18"/>
  <c r="M177" i="18" s="1"/>
  <c r="M176" i="18" s="1"/>
  <c r="L178" i="18"/>
  <c r="L177" i="18" s="1"/>
  <c r="L176" i="18" s="1"/>
  <c r="K178" i="18"/>
  <c r="K177" i="18" s="1"/>
  <c r="K176" i="18" s="1"/>
  <c r="J178" i="18"/>
  <c r="J177" i="18" s="1"/>
  <c r="J176" i="18" s="1"/>
  <c r="I178" i="18"/>
  <c r="I177" i="18" s="1"/>
  <c r="I176" i="18" s="1"/>
  <c r="H178" i="18"/>
  <c r="H177" i="18" s="1"/>
  <c r="H176" i="18" s="1"/>
  <c r="G178" i="18"/>
  <c r="G177" i="18" s="1"/>
  <c r="G176" i="18" s="1"/>
  <c r="F178" i="18"/>
  <c r="E178" i="18"/>
  <c r="D178" i="18"/>
  <c r="T178" i="18" s="1"/>
  <c r="C178" i="18"/>
  <c r="S178" i="18" s="1"/>
  <c r="B178" i="18"/>
  <c r="R178" i="18" s="1"/>
  <c r="W178" i="18" s="1"/>
  <c r="N177" i="18"/>
  <c r="F177" i="18"/>
  <c r="D177" i="18"/>
  <c r="C177" i="18"/>
  <c r="B177" i="18"/>
  <c r="Q176" i="18"/>
  <c r="N176" i="18"/>
  <c r="F176" i="18"/>
  <c r="B176" i="18"/>
  <c r="R176" i="18" s="1"/>
  <c r="U175" i="18"/>
  <c r="T175" i="18"/>
  <c r="S175" i="18"/>
  <c r="R175" i="18"/>
  <c r="Q174" i="18"/>
  <c r="P174" i="18"/>
  <c r="P173" i="18" s="1"/>
  <c r="O174" i="18"/>
  <c r="O173" i="18" s="1"/>
  <c r="O172" i="18" s="1"/>
  <c r="N174" i="18"/>
  <c r="N173" i="18" s="1"/>
  <c r="N172" i="18" s="1"/>
  <c r="M174" i="18"/>
  <c r="L174" i="18"/>
  <c r="L173" i="18" s="1"/>
  <c r="K174" i="18"/>
  <c r="K173" i="18" s="1"/>
  <c r="K172" i="18" s="1"/>
  <c r="J174" i="18"/>
  <c r="J173" i="18" s="1"/>
  <c r="J172" i="18" s="1"/>
  <c r="I174" i="18"/>
  <c r="H174" i="18"/>
  <c r="H173" i="18" s="1"/>
  <c r="G174" i="18"/>
  <c r="G173" i="18" s="1"/>
  <c r="G172" i="18" s="1"/>
  <c r="F174" i="18"/>
  <c r="F173" i="18" s="1"/>
  <c r="F172" i="18" s="1"/>
  <c r="E174" i="18"/>
  <c r="U174" i="18" s="1"/>
  <c r="D174" i="18"/>
  <c r="C174" i="18"/>
  <c r="S174" i="18" s="1"/>
  <c r="B174" i="18"/>
  <c r="R174" i="18" s="1"/>
  <c r="Q173" i="18"/>
  <c r="Q172" i="18" s="1"/>
  <c r="M173" i="18"/>
  <c r="M172" i="18" s="1"/>
  <c r="I173" i="18"/>
  <c r="I172" i="18" s="1"/>
  <c r="P172" i="18"/>
  <c r="L172" i="18"/>
  <c r="H172" i="18"/>
  <c r="U171" i="18"/>
  <c r="T171" i="18"/>
  <c r="S171" i="18"/>
  <c r="R171" i="18"/>
  <c r="T170" i="18"/>
  <c r="Q170" i="18"/>
  <c r="P170" i="18"/>
  <c r="O170" i="18"/>
  <c r="N170" i="18"/>
  <c r="M170" i="18"/>
  <c r="L170" i="18"/>
  <c r="K170" i="18"/>
  <c r="J170" i="18"/>
  <c r="J169" i="18" s="1"/>
  <c r="J168" i="18" s="1"/>
  <c r="J166" i="18" s="1"/>
  <c r="I170" i="18"/>
  <c r="H170" i="18"/>
  <c r="G170" i="18"/>
  <c r="G169" i="18" s="1"/>
  <c r="F170" i="18"/>
  <c r="F169" i="18" s="1"/>
  <c r="F168" i="18" s="1"/>
  <c r="F166" i="18" s="1"/>
  <c r="E170" i="18"/>
  <c r="U170" i="18" s="1"/>
  <c r="D170" i="18"/>
  <c r="C170" i="18"/>
  <c r="B170" i="18"/>
  <c r="Q169" i="18"/>
  <c r="Q168" i="18" s="1"/>
  <c r="P169" i="18"/>
  <c r="O169" i="18"/>
  <c r="O168" i="18" s="1"/>
  <c r="N169" i="18"/>
  <c r="N168" i="18" s="1"/>
  <c r="M169" i="18"/>
  <c r="M168" i="18" s="1"/>
  <c r="L169" i="18"/>
  <c r="K169" i="18"/>
  <c r="K168" i="18" s="1"/>
  <c r="K166" i="18" s="1"/>
  <c r="I169" i="18"/>
  <c r="I168" i="18" s="1"/>
  <c r="I166" i="18" s="1"/>
  <c r="H169" i="18"/>
  <c r="H168" i="18" s="1"/>
  <c r="E169" i="18"/>
  <c r="D169" i="18"/>
  <c r="P168" i="18"/>
  <c r="L168" i="18"/>
  <c r="G168" i="18"/>
  <c r="N166" i="18"/>
  <c r="U165" i="18"/>
  <c r="T165" i="18"/>
  <c r="S165" i="18"/>
  <c r="R165" i="18"/>
  <c r="Q164" i="18"/>
  <c r="Q163" i="18" s="1"/>
  <c r="Q162" i="18" s="1"/>
  <c r="P164" i="18"/>
  <c r="P163" i="18" s="1"/>
  <c r="P162" i="18" s="1"/>
  <c r="O164" i="18"/>
  <c r="O163" i="18" s="1"/>
  <c r="N164" i="18"/>
  <c r="N163" i="18" s="1"/>
  <c r="M164" i="18"/>
  <c r="M163" i="18" s="1"/>
  <c r="M162" i="18" s="1"/>
  <c r="L164" i="18"/>
  <c r="L163" i="18" s="1"/>
  <c r="L162" i="18" s="1"/>
  <c r="K164" i="18"/>
  <c r="K163" i="18" s="1"/>
  <c r="K162" i="18" s="1"/>
  <c r="J164" i="18"/>
  <c r="J163" i="18" s="1"/>
  <c r="J162" i="18" s="1"/>
  <c r="I164" i="18"/>
  <c r="I163" i="18" s="1"/>
  <c r="I162" i="18" s="1"/>
  <c r="H164" i="18"/>
  <c r="H163" i="18" s="1"/>
  <c r="H162" i="18" s="1"/>
  <c r="G164" i="18"/>
  <c r="G163" i="18" s="1"/>
  <c r="G162" i="18" s="1"/>
  <c r="F164" i="18"/>
  <c r="F163" i="18" s="1"/>
  <c r="F162" i="18" s="1"/>
  <c r="E164" i="18"/>
  <c r="D164" i="18"/>
  <c r="T164" i="18" s="1"/>
  <c r="C164" i="18"/>
  <c r="B164" i="18"/>
  <c r="B163" i="18" s="1"/>
  <c r="D163" i="18"/>
  <c r="O162" i="18"/>
  <c r="N162" i="18"/>
  <c r="U161" i="18"/>
  <c r="T161" i="18"/>
  <c r="S161" i="18"/>
  <c r="R161" i="18"/>
  <c r="T160" i="18"/>
  <c r="Q160" i="18"/>
  <c r="Q159" i="18" s="1"/>
  <c r="Q158" i="18" s="1"/>
  <c r="P160" i="18"/>
  <c r="O160" i="18"/>
  <c r="O159" i="18" s="1"/>
  <c r="O158" i="18" s="1"/>
  <c r="N160" i="18"/>
  <c r="N159" i="18" s="1"/>
  <c r="N158" i="18" s="1"/>
  <c r="M160" i="18"/>
  <c r="M159" i="18" s="1"/>
  <c r="M158" i="18" s="1"/>
  <c r="L160" i="18"/>
  <c r="K160" i="18"/>
  <c r="K159" i="18" s="1"/>
  <c r="K158" i="18" s="1"/>
  <c r="J160" i="18"/>
  <c r="J159" i="18" s="1"/>
  <c r="J158" i="18" s="1"/>
  <c r="I160" i="18"/>
  <c r="I159" i="18" s="1"/>
  <c r="I158" i="18" s="1"/>
  <c r="H160" i="18"/>
  <c r="G160" i="18"/>
  <c r="G159" i="18" s="1"/>
  <c r="G158" i="18" s="1"/>
  <c r="F160" i="18"/>
  <c r="F159" i="18" s="1"/>
  <c r="F158" i="18" s="1"/>
  <c r="E160" i="18"/>
  <c r="D160" i="18"/>
  <c r="C160" i="18"/>
  <c r="B160" i="18"/>
  <c r="B159" i="18" s="1"/>
  <c r="P159" i="18"/>
  <c r="P158" i="18" s="1"/>
  <c r="L159" i="18"/>
  <c r="L158" i="18" s="1"/>
  <c r="H159" i="18"/>
  <c r="H158" i="18" s="1"/>
  <c r="D159" i="18"/>
  <c r="D158" i="18" s="1"/>
  <c r="U157" i="18"/>
  <c r="T157" i="18"/>
  <c r="S157" i="18"/>
  <c r="R157" i="18"/>
  <c r="U156" i="18"/>
  <c r="Q156" i="18"/>
  <c r="P156" i="18"/>
  <c r="P155" i="18" s="1"/>
  <c r="P154" i="18" s="1"/>
  <c r="O156" i="18"/>
  <c r="O155" i="18" s="1"/>
  <c r="O154" i="18" s="1"/>
  <c r="N156" i="18"/>
  <c r="N155" i="18" s="1"/>
  <c r="N154" i="18" s="1"/>
  <c r="N153" i="18" s="1"/>
  <c r="M156" i="18"/>
  <c r="L156" i="18"/>
  <c r="L155" i="18" s="1"/>
  <c r="L154" i="18" s="1"/>
  <c r="K156" i="18"/>
  <c r="J156" i="18"/>
  <c r="J155" i="18" s="1"/>
  <c r="J154" i="18" s="1"/>
  <c r="I156" i="18"/>
  <c r="H156" i="18"/>
  <c r="H155" i="18" s="1"/>
  <c r="H154" i="18" s="1"/>
  <c r="H152" i="18" s="1"/>
  <c r="G156" i="18"/>
  <c r="G155" i="18" s="1"/>
  <c r="G154" i="18" s="1"/>
  <c r="G153" i="18" s="1"/>
  <c r="F156" i="18"/>
  <c r="F155" i="18" s="1"/>
  <c r="F154" i="18" s="1"/>
  <c r="E156" i="18"/>
  <c r="D156" i="18"/>
  <c r="C156" i="18"/>
  <c r="S156" i="18" s="1"/>
  <c r="B156" i="18"/>
  <c r="R156" i="18" s="1"/>
  <c r="Q155" i="18"/>
  <c r="Q154" i="18" s="1"/>
  <c r="M155" i="18"/>
  <c r="M154" i="18" s="1"/>
  <c r="K155" i="18"/>
  <c r="K154" i="18" s="1"/>
  <c r="I155" i="18"/>
  <c r="I154" i="18" s="1"/>
  <c r="I152" i="18" s="1"/>
  <c r="E155" i="18"/>
  <c r="E154" i="18" s="1"/>
  <c r="C155" i="18"/>
  <c r="C154" i="18" s="1"/>
  <c r="U151" i="18"/>
  <c r="T151" i="18"/>
  <c r="S151" i="18"/>
  <c r="R151" i="18"/>
  <c r="Q150" i="18"/>
  <c r="Q149" i="18" s="1"/>
  <c r="Q148" i="18" s="1"/>
  <c r="U148" i="18" s="1"/>
  <c r="P150" i="18"/>
  <c r="O150" i="18"/>
  <c r="S150" i="18" s="1"/>
  <c r="N150" i="18"/>
  <c r="R150" i="18" s="1"/>
  <c r="U149" i="18"/>
  <c r="N149" i="18"/>
  <c r="R149" i="18" s="1"/>
  <c r="U147" i="18"/>
  <c r="T147" i="18"/>
  <c r="S147" i="18"/>
  <c r="R147" i="18"/>
  <c r="T146" i="18"/>
  <c r="Q146" i="18"/>
  <c r="Q145" i="18" s="1"/>
  <c r="Q144" i="18" s="1"/>
  <c r="P146" i="18"/>
  <c r="O146" i="18"/>
  <c r="O145" i="18" s="1"/>
  <c r="N146" i="18"/>
  <c r="N145" i="18" s="1"/>
  <c r="N144" i="18" s="1"/>
  <c r="M146" i="18"/>
  <c r="M145" i="18" s="1"/>
  <c r="M144" i="18" s="1"/>
  <c r="L146" i="18"/>
  <c r="K146" i="18"/>
  <c r="J146" i="18"/>
  <c r="J145" i="18" s="1"/>
  <c r="J144" i="18" s="1"/>
  <c r="I146" i="18"/>
  <c r="I145" i="18" s="1"/>
  <c r="I144" i="18" s="1"/>
  <c r="H146" i="18"/>
  <c r="G146" i="18"/>
  <c r="G145" i="18" s="1"/>
  <c r="G144" i="18" s="1"/>
  <c r="F146" i="18"/>
  <c r="F145" i="18" s="1"/>
  <c r="F144" i="18" s="1"/>
  <c r="E146" i="18"/>
  <c r="U146" i="18" s="1"/>
  <c r="D146" i="18"/>
  <c r="C146" i="18"/>
  <c r="B146" i="18"/>
  <c r="B145" i="18" s="1"/>
  <c r="P145" i="18"/>
  <c r="P144" i="18" s="1"/>
  <c r="L145" i="18"/>
  <c r="L144" i="18" s="1"/>
  <c r="K145" i="18"/>
  <c r="K144" i="18" s="1"/>
  <c r="H145" i="18"/>
  <c r="H144" i="18" s="1"/>
  <c r="D145" i="18"/>
  <c r="O144" i="18"/>
  <c r="U143" i="18"/>
  <c r="T143" i="18"/>
  <c r="S143" i="18"/>
  <c r="R143" i="18"/>
  <c r="M142" i="18"/>
  <c r="M141" i="18" s="1"/>
  <c r="M140" i="18" s="1"/>
  <c r="M139" i="18" s="1"/>
  <c r="L142" i="18"/>
  <c r="L141" i="18" s="1"/>
  <c r="L140" i="18" s="1"/>
  <c r="L139" i="18" s="1"/>
  <c r="K142" i="18"/>
  <c r="J142" i="18"/>
  <c r="I142" i="18"/>
  <c r="I141" i="18" s="1"/>
  <c r="I140" i="18" s="1"/>
  <c r="I139" i="18" s="1"/>
  <c r="H142" i="18"/>
  <c r="H141" i="18" s="1"/>
  <c r="H140" i="18" s="1"/>
  <c r="G142" i="18"/>
  <c r="G141" i="18" s="1"/>
  <c r="G140" i="18" s="1"/>
  <c r="G139" i="18" s="1"/>
  <c r="F142" i="18"/>
  <c r="E142" i="18"/>
  <c r="D142" i="18"/>
  <c r="D141" i="18" s="1"/>
  <c r="D140" i="18" s="1"/>
  <c r="C142" i="18"/>
  <c r="S142" i="18" s="1"/>
  <c r="B142" i="18"/>
  <c r="R142" i="18" s="1"/>
  <c r="Q141" i="18"/>
  <c r="Q140" i="18" s="1"/>
  <c r="P141" i="18"/>
  <c r="P140" i="18" s="1"/>
  <c r="O141" i="18"/>
  <c r="N141" i="18"/>
  <c r="N140" i="18" s="1"/>
  <c r="K141" i="18"/>
  <c r="K140" i="18" s="1"/>
  <c r="K139" i="18" s="1"/>
  <c r="J141" i="18"/>
  <c r="F141" i="18"/>
  <c r="F140" i="18" s="1"/>
  <c r="B141" i="18"/>
  <c r="B140" i="18" s="1"/>
  <c r="O140" i="18"/>
  <c r="Q137" i="18"/>
  <c r="Q136" i="18" s="1"/>
  <c r="Q135" i="18" s="1"/>
  <c r="P137" i="18"/>
  <c r="P136" i="18" s="1"/>
  <c r="P135" i="18" s="1"/>
  <c r="O137" i="18"/>
  <c r="O136" i="18" s="1"/>
  <c r="O135" i="18" s="1"/>
  <c r="S135" i="18" s="1"/>
  <c r="AK76" i="3" s="1"/>
  <c r="BA76" i="3" s="1"/>
  <c r="BB76" i="3" s="1"/>
  <c r="N137" i="18"/>
  <c r="N136" i="18" s="1"/>
  <c r="N135" i="18" s="1"/>
  <c r="R135" i="18" s="1"/>
  <c r="AG76" i="3" s="1"/>
  <c r="I137" i="18"/>
  <c r="I136" i="18" s="1"/>
  <c r="H137" i="18"/>
  <c r="H136" i="18" s="1"/>
  <c r="H135" i="18" s="1"/>
  <c r="T135" i="18" s="1"/>
  <c r="I135" i="18"/>
  <c r="U135" i="18" s="1"/>
  <c r="Q133" i="18"/>
  <c r="P133" i="18"/>
  <c r="O133" i="18"/>
  <c r="N133" i="18"/>
  <c r="N132" i="18" s="1"/>
  <c r="N131" i="18" s="1"/>
  <c r="Q132" i="18"/>
  <c r="P132" i="18"/>
  <c r="O132" i="18"/>
  <c r="Q131" i="18"/>
  <c r="P131" i="18"/>
  <c r="O131" i="18"/>
  <c r="T130" i="18"/>
  <c r="S130" i="18"/>
  <c r="R130" i="18"/>
  <c r="Q129" i="18"/>
  <c r="Q128" i="18" s="1"/>
  <c r="Q127" i="18" s="1"/>
  <c r="U127" i="18" s="1"/>
  <c r="P129" i="18"/>
  <c r="O129" i="18"/>
  <c r="S129" i="18" s="1"/>
  <c r="N129" i="18"/>
  <c r="U126" i="18"/>
  <c r="T126" i="18"/>
  <c r="S126" i="18"/>
  <c r="R126" i="18"/>
  <c r="Q125" i="18"/>
  <c r="P125" i="18"/>
  <c r="T125" i="18" s="1"/>
  <c r="O125" i="18"/>
  <c r="O124" i="18" s="1"/>
  <c r="N125" i="18"/>
  <c r="R125" i="18" s="1"/>
  <c r="P124" i="18"/>
  <c r="Q121" i="18"/>
  <c r="P121" i="18"/>
  <c r="O121" i="18"/>
  <c r="N121" i="18"/>
  <c r="M121" i="18"/>
  <c r="L121" i="18"/>
  <c r="K121" i="18"/>
  <c r="J121" i="18"/>
  <c r="E121" i="18"/>
  <c r="D121" i="18"/>
  <c r="C121" i="18"/>
  <c r="B121" i="18"/>
  <c r="Q120" i="18"/>
  <c r="Q119" i="18" s="1"/>
  <c r="P120" i="18"/>
  <c r="P119" i="18" s="1"/>
  <c r="O120" i="18"/>
  <c r="O119" i="18" s="1"/>
  <c r="N120" i="18"/>
  <c r="M120" i="18"/>
  <c r="L120" i="18"/>
  <c r="L119" i="18" s="1"/>
  <c r="K120" i="18"/>
  <c r="K119" i="18" s="1"/>
  <c r="J120" i="18"/>
  <c r="E120" i="18"/>
  <c r="E119" i="18" s="1"/>
  <c r="D120" i="18"/>
  <c r="C120" i="18"/>
  <c r="C119" i="18" s="1"/>
  <c r="S119" i="18" s="1"/>
  <c r="B120" i="18"/>
  <c r="N119" i="18"/>
  <c r="M119" i="18"/>
  <c r="J119" i="18"/>
  <c r="D119" i="18"/>
  <c r="B119" i="18"/>
  <c r="U118" i="18"/>
  <c r="T118" i="18"/>
  <c r="S118" i="18"/>
  <c r="R118" i="18"/>
  <c r="Q117" i="18"/>
  <c r="P117" i="18"/>
  <c r="O117" i="18"/>
  <c r="O116" i="18" s="1"/>
  <c r="O115" i="18" s="1"/>
  <c r="N117" i="18"/>
  <c r="N116" i="18" s="1"/>
  <c r="N115" i="18" s="1"/>
  <c r="M117" i="18"/>
  <c r="M116" i="18" s="1"/>
  <c r="M115" i="18" s="1"/>
  <c r="L117" i="18"/>
  <c r="K117" i="18"/>
  <c r="K116" i="18" s="1"/>
  <c r="K115" i="18" s="1"/>
  <c r="J117" i="18"/>
  <c r="I117" i="18"/>
  <c r="I116" i="18" s="1"/>
  <c r="I115" i="18" s="1"/>
  <c r="H117" i="18"/>
  <c r="G117" i="18"/>
  <c r="G116" i="18" s="1"/>
  <c r="G115" i="18" s="1"/>
  <c r="F117" i="18"/>
  <c r="F116" i="18" s="1"/>
  <c r="F115" i="18" s="1"/>
  <c r="E117" i="18"/>
  <c r="U117" i="18" s="1"/>
  <c r="D117" i="18"/>
  <c r="T117" i="18" s="1"/>
  <c r="C117" i="18"/>
  <c r="C116" i="18" s="1"/>
  <c r="B117" i="18"/>
  <c r="R117" i="18" s="1"/>
  <c r="Q116" i="18"/>
  <c r="Q115" i="18" s="1"/>
  <c r="P116" i="18"/>
  <c r="L116" i="18"/>
  <c r="L115" i="18" s="1"/>
  <c r="J116" i="18"/>
  <c r="J115" i="18" s="1"/>
  <c r="H116" i="18"/>
  <c r="H115" i="18" s="1"/>
  <c r="E116" i="18"/>
  <c r="D116" i="18"/>
  <c r="D115" i="18" s="1"/>
  <c r="P115" i="18"/>
  <c r="U114" i="18"/>
  <c r="T114" i="18"/>
  <c r="S114" i="18"/>
  <c r="R114" i="18"/>
  <c r="T113" i="18"/>
  <c r="M113" i="18"/>
  <c r="M112" i="18" s="1"/>
  <c r="L113" i="18"/>
  <c r="K113" i="18"/>
  <c r="J113" i="18"/>
  <c r="I113" i="18"/>
  <c r="I112" i="18" s="1"/>
  <c r="I111" i="18" s="1"/>
  <c r="H113" i="18"/>
  <c r="G113" i="18"/>
  <c r="G112" i="18" s="1"/>
  <c r="G111" i="18" s="1"/>
  <c r="F113" i="18"/>
  <c r="F112" i="18" s="1"/>
  <c r="F111" i="18" s="1"/>
  <c r="E113" i="18"/>
  <c r="D113" i="18"/>
  <c r="C113" i="18"/>
  <c r="S113" i="18" s="1"/>
  <c r="B113" i="18"/>
  <c r="R113" i="18" s="1"/>
  <c r="Q112" i="18"/>
  <c r="P112" i="18"/>
  <c r="P111" i="18" s="1"/>
  <c r="O112" i="18"/>
  <c r="N112" i="18"/>
  <c r="N111" i="18" s="1"/>
  <c r="L112" i="18"/>
  <c r="L111" i="18" s="1"/>
  <c r="K112" i="18"/>
  <c r="K111" i="18" s="1"/>
  <c r="J112" i="18"/>
  <c r="J111" i="18" s="1"/>
  <c r="H112" i="18"/>
  <c r="H111" i="18" s="1"/>
  <c r="D112" i="18"/>
  <c r="D111" i="18" s="1"/>
  <c r="T111" i="18" s="1"/>
  <c r="Q111" i="18"/>
  <c r="O111" i="18"/>
  <c r="M111" i="18"/>
  <c r="U110" i="18"/>
  <c r="T110" i="18"/>
  <c r="S110" i="18"/>
  <c r="R110" i="18"/>
  <c r="Q109" i="18"/>
  <c r="P109" i="18"/>
  <c r="O109" i="18"/>
  <c r="O108" i="18" s="1"/>
  <c r="O107" i="18" s="1"/>
  <c r="N109" i="18"/>
  <c r="N108" i="18" s="1"/>
  <c r="N107" i="18" s="1"/>
  <c r="M109" i="18"/>
  <c r="M108" i="18" s="1"/>
  <c r="M107" i="18" s="1"/>
  <c r="L109" i="18"/>
  <c r="L108" i="18" s="1"/>
  <c r="L107" i="18" s="1"/>
  <c r="K109" i="18"/>
  <c r="K108" i="18" s="1"/>
  <c r="K107" i="18" s="1"/>
  <c r="J109" i="18"/>
  <c r="J108" i="18" s="1"/>
  <c r="J107" i="18" s="1"/>
  <c r="I109" i="18"/>
  <c r="I108" i="18" s="1"/>
  <c r="I107" i="18" s="1"/>
  <c r="H109" i="18"/>
  <c r="G109" i="18"/>
  <c r="G108" i="18" s="1"/>
  <c r="G107" i="18" s="1"/>
  <c r="F109" i="18"/>
  <c r="F108" i="18" s="1"/>
  <c r="F107" i="18" s="1"/>
  <c r="E109" i="18"/>
  <c r="U109" i="18" s="1"/>
  <c r="D109" i="18"/>
  <c r="T109" i="18" s="1"/>
  <c r="C109" i="18"/>
  <c r="S109" i="18" s="1"/>
  <c r="B109" i="18"/>
  <c r="Q108" i="18"/>
  <c r="P108" i="18"/>
  <c r="H108" i="18"/>
  <c r="H107" i="18" s="1"/>
  <c r="D108" i="18"/>
  <c r="B108" i="18"/>
  <c r="R108" i="18" s="1"/>
  <c r="W108" i="18" s="1"/>
  <c r="Q107" i="18"/>
  <c r="P107" i="18"/>
  <c r="D107" i="18"/>
  <c r="B107" i="18"/>
  <c r="R107" i="18" s="1"/>
  <c r="U106" i="18"/>
  <c r="T106" i="18"/>
  <c r="S106" i="18"/>
  <c r="R106" i="18"/>
  <c r="M105" i="18"/>
  <c r="L105" i="18"/>
  <c r="K105" i="18"/>
  <c r="J105" i="18"/>
  <c r="I105" i="18"/>
  <c r="H105" i="18"/>
  <c r="G105" i="18"/>
  <c r="F105" i="18"/>
  <c r="E105" i="18"/>
  <c r="U105" i="18" s="1"/>
  <c r="D105" i="18"/>
  <c r="T105" i="18" s="1"/>
  <c r="C105" i="18"/>
  <c r="S105" i="18" s="1"/>
  <c r="B105" i="18"/>
  <c r="R105" i="18" s="1"/>
  <c r="Q104" i="18"/>
  <c r="P104" i="18"/>
  <c r="O104" i="18"/>
  <c r="O103" i="18" s="1"/>
  <c r="N104" i="18"/>
  <c r="N103" i="18" s="1"/>
  <c r="M104" i="18"/>
  <c r="M103" i="18" s="1"/>
  <c r="L104" i="18"/>
  <c r="K104" i="18"/>
  <c r="K103" i="18" s="1"/>
  <c r="J104" i="18"/>
  <c r="I104" i="18"/>
  <c r="I103" i="18" s="1"/>
  <c r="H104" i="18"/>
  <c r="H103" i="18" s="1"/>
  <c r="G104" i="18"/>
  <c r="G103" i="18" s="1"/>
  <c r="F104" i="18"/>
  <c r="F103" i="18" s="1"/>
  <c r="E104" i="18"/>
  <c r="U104" i="18" s="1"/>
  <c r="D104" i="18"/>
  <c r="T104" i="18" s="1"/>
  <c r="C104" i="18"/>
  <c r="S104" i="18" s="1"/>
  <c r="B104" i="18"/>
  <c r="R104" i="18" s="1"/>
  <c r="W104" i="18" s="1"/>
  <c r="Q103" i="18"/>
  <c r="P103" i="18"/>
  <c r="L103" i="18"/>
  <c r="J103" i="18"/>
  <c r="D103" i="18"/>
  <c r="U102" i="18"/>
  <c r="T102" i="18"/>
  <c r="S102" i="18"/>
  <c r="R102" i="18"/>
  <c r="Q101" i="18"/>
  <c r="P101" i="18"/>
  <c r="P100" i="18" s="1"/>
  <c r="O101" i="18"/>
  <c r="O100" i="18" s="1"/>
  <c r="O99" i="18" s="1"/>
  <c r="N101" i="18"/>
  <c r="N100" i="18" s="1"/>
  <c r="N99" i="18" s="1"/>
  <c r="M101" i="18"/>
  <c r="L101" i="18"/>
  <c r="L100" i="18" s="1"/>
  <c r="L99" i="18" s="1"/>
  <c r="K101" i="18"/>
  <c r="K100" i="18" s="1"/>
  <c r="K99" i="18" s="1"/>
  <c r="J101" i="18"/>
  <c r="I101" i="18"/>
  <c r="H101" i="18"/>
  <c r="H100" i="18" s="1"/>
  <c r="H99" i="18" s="1"/>
  <c r="E101" i="18"/>
  <c r="U101" i="18" s="1"/>
  <c r="D101" i="18"/>
  <c r="C101" i="18"/>
  <c r="C100" i="18" s="1"/>
  <c r="B101" i="18"/>
  <c r="B100" i="18" s="1"/>
  <c r="B99" i="18" s="1"/>
  <c r="Q100" i="18"/>
  <c r="Q99" i="18" s="1"/>
  <c r="M100" i="18"/>
  <c r="M99" i="18" s="1"/>
  <c r="I100" i="18"/>
  <c r="I99" i="18" s="1"/>
  <c r="G100" i="18"/>
  <c r="G99" i="18" s="1"/>
  <c r="F100" i="18"/>
  <c r="F99" i="18" s="1"/>
  <c r="D100" i="18"/>
  <c r="P99" i="18"/>
  <c r="C99" i="18"/>
  <c r="U98" i="18"/>
  <c r="T98" i="18"/>
  <c r="S98" i="18"/>
  <c r="R98" i="18"/>
  <c r="Q97" i="18"/>
  <c r="Q96" i="18" s="1"/>
  <c r="Q95" i="18" s="1"/>
  <c r="P97" i="18"/>
  <c r="O97" i="18"/>
  <c r="O96" i="18" s="1"/>
  <c r="N97" i="18"/>
  <c r="N96" i="18" s="1"/>
  <c r="N95" i="18" s="1"/>
  <c r="M97" i="18"/>
  <c r="M96" i="18" s="1"/>
  <c r="M95" i="18" s="1"/>
  <c r="L97" i="18"/>
  <c r="L96" i="18" s="1"/>
  <c r="L95" i="18" s="1"/>
  <c r="K97" i="18"/>
  <c r="K96" i="18" s="1"/>
  <c r="K95" i="18" s="1"/>
  <c r="J97" i="18"/>
  <c r="J96" i="18" s="1"/>
  <c r="J95" i="18" s="1"/>
  <c r="E97" i="18"/>
  <c r="E96" i="18" s="1"/>
  <c r="D97" i="18"/>
  <c r="T97" i="18" s="1"/>
  <c r="C97" i="18"/>
  <c r="B97" i="18"/>
  <c r="R97" i="18" s="1"/>
  <c r="P96" i="18"/>
  <c r="D96" i="18"/>
  <c r="P95" i="18"/>
  <c r="O95" i="18"/>
  <c r="I95" i="18"/>
  <c r="H95" i="18"/>
  <c r="G95" i="18"/>
  <c r="F95" i="18"/>
  <c r="I93" i="18"/>
  <c r="U92" i="18"/>
  <c r="T92" i="18"/>
  <c r="S92" i="18"/>
  <c r="R92" i="18"/>
  <c r="Q91" i="18"/>
  <c r="P91" i="18"/>
  <c r="P90" i="18" s="1"/>
  <c r="P89" i="18" s="1"/>
  <c r="O91" i="18"/>
  <c r="O90" i="18" s="1"/>
  <c r="N91" i="18"/>
  <c r="N90" i="18" s="1"/>
  <c r="N89" i="18" s="1"/>
  <c r="M91" i="18"/>
  <c r="M90" i="18" s="1"/>
  <c r="M89" i="18" s="1"/>
  <c r="L91" i="18"/>
  <c r="L90" i="18" s="1"/>
  <c r="L89" i="18" s="1"/>
  <c r="K91" i="18"/>
  <c r="K90" i="18" s="1"/>
  <c r="K89" i="18" s="1"/>
  <c r="J91" i="18"/>
  <c r="J90" i="18" s="1"/>
  <c r="J89" i="18" s="1"/>
  <c r="E91" i="18"/>
  <c r="U91" i="18" s="1"/>
  <c r="D91" i="18"/>
  <c r="D90" i="18" s="1"/>
  <c r="C91" i="18"/>
  <c r="B91" i="18"/>
  <c r="R91" i="18" s="1"/>
  <c r="Q90" i="18"/>
  <c r="I90" i="18"/>
  <c r="I89" i="18" s="1"/>
  <c r="H90" i="18"/>
  <c r="G90" i="18"/>
  <c r="F90" i="18"/>
  <c r="E90" i="18"/>
  <c r="Q89" i="18"/>
  <c r="O89" i="18"/>
  <c r="H89" i="18"/>
  <c r="G89" i="18"/>
  <c r="F89" i="18"/>
  <c r="U88" i="18"/>
  <c r="T88" i="18"/>
  <c r="S88" i="18"/>
  <c r="R88" i="18"/>
  <c r="Q87" i="18"/>
  <c r="P87" i="18"/>
  <c r="O87" i="18"/>
  <c r="N87" i="18"/>
  <c r="M87" i="18"/>
  <c r="M86" i="18" s="1"/>
  <c r="M85" i="18" s="1"/>
  <c r="L87" i="18"/>
  <c r="L86" i="18" s="1"/>
  <c r="L85" i="18" s="1"/>
  <c r="K87" i="18"/>
  <c r="K86" i="18" s="1"/>
  <c r="K85" i="18" s="1"/>
  <c r="K80" i="18" s="1"/>
  <c r="J87" i="18"/>
  <c r="J86" i="18" s="1"/>
  <c r="I87" i="18"/>
  <c r="H87" i="18"/>
  <c r="H86" i="18" s="1"/>
  <c r="H85" i="18" s="1"/>
  <c r="G87" i="18"/>
  <c r="F87" i="18"/>
  <c r="F86" i="18" s="1"/>
  <c r="E87" i="18"/>
  <c r="U87" i="18" s="1"/>
  <c r="D87" i="18"/>
  <c r="T87" i="18" s="1"/>
  <c r="C87" i="18"/>
  <c r="S87" i="18" s="1"/>
  <c r="B87" i="18"/>
  <c r="Q86" i="18"/>
  <c r="P86" i="18"/>
  <c r="P85" i="18" s="1"/>
  <c r="O86" i="18"/>
  <c r="O85" i="18" s="1"/>
  <c r="O80" i="18" s="1"/>
  <c r="N86" i="18"/>
  <c r="N85" i="18" s="1"/>
  <c r="I86" i="18"/>
  <c r="I85" i="18" s="1"/>
  <c r="G86" i="18"/>
  <c r="G85" i="18" s="1"/>
  <c r="Q85" i="18"/>
  <c r="J85" i="18"/>
  <c r="F85" i="18"/>
  <c r="U84" i="18"/>
  <c r="T84" i="18"/>
  <c r="S84" i="18"/>
  <c r="R84" i="18"/>
  <c r="M83" i="18"/>
  <c r="L83" i="18"/>
  <c r="L82" i="18" s="1"/>
  <c r="L81" i="18" s="1"/>
  <c r="K83" i="18"/>
  <c r="J83" i="18"/>
  <c r="J82" i="18" s="1"/>
  <c r="J81" i="18" s="1"/>
  <c r="J80" i="18" s="1"/>
  <c r="I83" i="18"/>
  <c r="I82" i="18" s="1"/>
  <c r="I81" i="18" s="1"/>
  <c r="H83" i="18"/>
  <c r="H82" i="18" s="1"/>
  <c r="H81" i="18" s="1"/>
  <c r="G83" i="18"/>
  <c r="F83" i="18"/>
  <c r="E83" i="18"/>
  <c r="U83" i="18" s="1"/>
  <c r="D83" i="18"/>
  <c r="D82" i="18" s="1"/>
  <c r="C83" i="18"/>
  <c r="S83" i="18" s="1"/>
  <c r="B83" i="18"/>
  <c r="R83" i="18" s="1"/>
  <c r="Q82" i="18"/>
  <c r="Q81" i="18" s="1"/>
  <c r="Q80" i="18" s="1"/>
  <c r="P82" i="18"/>
  <c r="P81" i="18" s="1"/>
  <c r="O82" i="18"/>
  <c r="N82" i="18"/>
  <c r="N81" i="18" s="1"/>
  <c r="M82" i="18"/>
  <c r="M81" i="18" s="1"/>
  <c r="K82" i="18"/>
  <c r="K81" i="18" s="1"/>
  <c r="G82" i="18"/>
  <c r="G81" i="18" s="1"/>
  <c r="F82" i="18"/>
  <c r="F81" i="18" s="1"/>
  <c r="F80" i="18" s="1"/>
  <c r="C82" i="18"/>
  <c r="O81" i="18"/>
  <c r="C81" i="18"/>
  <c r="Q78" i="18"/>
  <c r="P78" i="18"/>
  <c r="O78" i="18"/>
  <c r="N78" i="18"/>
  <c r="M78" i="18"/>
  <c r="L78" i="18"/>
  <c r="K78" i="18"/>
  <c r="J78" i="18"/>
  <c r="I78" i="18"/>
  <c r="H78" i="18"/>
  <c r="G78" i="18"/>
  <c r="F78" i="18"/>
  <c r="E78" i="18"/>
  <c r="D78" i="18"/>
  <c r="C78" i="18"/>
  <c r="B78" i="18"/>
  <c r="Q77" i="18"/>
  <c r="P77" i="18"/>
  <c r="O77" i="18"/>
  <c r="N77" i="18"/>
  <c r="M77" i="18"/>
  <c r="L77" i="18"/>
  <c r="K77" i="18"/>
  <c r="J77" i="18"/>
  <c r="I77" i="18"/>
  <c r="H77" i="18"/>
  <c r="G77" i="18"/>
  <c r="F77" i="18"/>
  <c r="E77" i="18"/>
  <c r="D77" i="18"/>
  <c r="C77" i="18"/>
  <c r="B77" i="18"/>
  <c r="Q76" i="18"/>
  <c r="P76" i="18"/>
  <c r="O76" i="18"/>
  <c r="N76" i="18"/>
  <c r="M76" i="18"/>
  <c r="L76" i="18"/>
  <c r="K76" i="18"/>
  <c r="J76" i="18"/>
  <c r="I76" i="18"/>
  <c r="H76" i="18"/>
  <c r="G76" i="18"/>
  <c r="F76" i="18"/>
  <c r="E76" i="18"/>
  <c r="D76" i="18"/>
  <c r="C76" i="18"/>
  <c r="B76" i="18"/>
  <c r="U75" i="18"/>
  <c r="T75" i="18"/>
  <c r="S75" i="18"/>
  <c r="R75" i="18"/>
  <c r="Q74" i="18"/>
  <c r="P74" i="18"/>
  <c r="P73" i="18" s="1"/>
  <c r="P72" i="18" s="1"/>
  <c r="O74" i="18"/>
  <c r="O73" i="18" s="1"/>
  <c r="O72" i="18" s="1"/>
  <c r="N74" i="18"/>
  <c r="N73" i="18" s="1"/>
  <c r="N72" i="18" s="1"/>
  <c r="M74" i="18"/>
  <c r="L74" i="18"/>
  <c r="L73" i="18" s="1"/>
  <c r="L72" i="18" s="1"/>
  <c r="K74" i="18"/>
  <c r="K73" i="18" s="1"/>
  <c r="K72" i="18" s="1"/>
  <c r="J74" i="18"/>
  <c r="J73" i="18" s="1"/>
  <c r="J72" i="18" s="1"/>
  <c r="I74" i="18"/>
  <c r="I73" i="18" s="1"/>
  <c r="I72" i="18" s="1"/>
  <c r="H74" i="18"/>
  <c r="H73" i="18" s="1"/>
  <c r="H72" i="18" s="1"/>
  <c r="G74" i="18"/>
  <c r="G73" i="18" s="1"/>
  <c r="G72" i="18" s="1"/>
  <c r="F74" i="18"/>
  <c r="E74" i="18"/>
  <c r="D74" i="18"/>
  <c r="D73" i="18" s="1"/>
  <c r="C74" i="18"/>
  <c r="S74" i="18" s="1"/>
  <c r="B74" i="18"/>
  <c r="R74" i="18" s="1"/>
  <c r="Q73" i="18"/>
  <c r="Q72" i="18" s="1"/>
  <c r="M73" i="18"/>
  <c r="M72" i="18" s="1"/>
  <c r="F73" i="18"/>
  <c r="F72" i="18" s="1"/>
  <c r="B73" i="18"/>
  <c r="B72" i="18" s="1"/>
  <c r="R72" i="18" s="1"/>
  <c r="W72" i="18" s="1"/>
  <c r="U71" i="18"/>
  <c r="T71" i="18"/>
  <c r="S71" i="18"/>
  <c r="R71" i="18"/>
  <c r="Q70" i="18"/>
  <c r="Q69" i="18" s="1"/>
  <c r="Q68" i="18" s="1"/>
  <c r="P70" i="18"/>
  <c r="O70" i="18"/>
  <c r="O69" i="18" s="1"/>
  <c r="O68" i="18" s="1"/>
  <c r="N70" i="18"/>
  <c r="N69" i="18" s="1"/>
  <c r="N68" i="18" s="1"/>
  <c r="M70" i="18"/>
  <c r="M69" i="18" s="1"/>
  <c r="M68" i="18" s="1"/>
  <c r="L70" i="18"/>
  <c r="K70" i="18"/>
  <c r="K69" i="18" s="1"/>
  <c r="K68" i="18" s="1"/>
  <c r="J70" i="18"/>
  <c r="I70" i="18"/>
  <c r="I69" i="18" s="1"/>
  <c r="I68" i="18" s="1"/>
  <c r="H70" i="18"/>
  <c r="G70" i="18"/>
  <c r="F70" i="18"/>
  <c r="E70" i="18"/>
  <c r="D70" i="18"/>
  <c r="T70" i="18" s="1"/>
  <c r="C70" i="18"/>
  <c r="S70" i="18" s="1"/>
  <c r="B70" i="18"/>
  <c r="R70" i="18" s="1"/>
  <c r="P69" i="18"/>
  <c r="P68" i="18" s="1"/>
  <c r="L69" i="18"/>
  <c r="L68" i="18" s="1"/>
  <c r="J69" i="18"/>
  <c r="J68" i="18" s="1"/>
  <c r="H69" i="18"/>
  <c r="H68" i="18" s="1"/>
  <c r="G69" i="18"/>
  <c r="G68" i="18" s="1"/>
  <c r="F69" i="18"/>
  <c r="D69" i="18"/>
  <c r="D68" i="18" s="1"/>
  <c r="F68" i="18"/>
  <c r="U67" i="18"/>
  <c r="T67" i="18"/>
  <c r="S67" i="18"/>
  <c r="R67" i="18"/>
  <c r="Q66" i="18"/>
  <c r="P66" i="18"/>
  <c r="O66" i="18"/>
  <c r="N66" i="18"/>
  <c r="M66" i="18"/>
  <c r="L66" i="18"/>
  <c r="K66" i="18"/>
  <c r="J66" i="18"/>
  <c r="I66" i="18"/>
  <c r="H66" i="18"/>
  <c r="G66" i="18"/>
  <c r="F66" i="18"/>
  <c r="E66" i="18"/>
  <c r="U66" i="18" s="1"/>
  <c r="D66" i="18"/>
  <c r="T66" i="18" s="1"/>
  <c r="C66" i="18"/>
  <c r="S66" i="18" s="1"/>
  <c r="B66" i="18"/>
  <c r="R66" i="18" s="1"/>
  <c r="Q65" i="18"/>
  <c r="Q64" i="18" s="1"/>
  <c r="P65" i="18"/>
  <c r="P64" i="18" s="1"/>
  <c r="O65" i="18"/>
  <c r="N65" i="18"/>
  <c r="N64" i="18" s="1"/>
  <c r="M65" i="18"/>
  <c r="M64" i="18" s="1"/>
  <c r="L65" i="18"/>
  <c r="L64" i="18" s="1"/>
  <c r="K65" i="18"/>
  <c r="K64" i="18" s="1"/>
  <c r="J65" i="18"/>
  <c r="J64" i="18" s="1"/>
  <c r="I65" i="18"/>
  <c r="I64" i="18" s="1"/>
  <c r="H65" i="18"/>
  <c r="H64" i="18" s="1"/>
  <c r="G65" i="18"/>
  <c r="F65" i="18"/>
  <c r="F64" i="18" s="1"/>
  <c r="E65" i="18"/>
  <c r="E64" i="18" s="1"/>
  <c r="U64" i="18" s="1"/>
  <c r="D65" i="18"/>
  <c r="T65" i="18" s="1"/>
  <c r="C65" i="18"/>
  <c r="S65" i="18" s="1"/>
  <c r="B65" i="18"/>
  <c r="R65" i="18" s="1"/>
  <c r="W65" i="18" s="1"/>
  <c r="O64" i="18"/>
  <c r="G64" i="18"/>
  <c r="D64" i="18"/>
  <c r="C64" i="18"/>
  <c r="U63" i="18"/>
  <c r="T63" i="18"/>
  <c r="S63" i="18"/>
  <c r="R63" i="18"/>
  <c r="Q62" i="18"/>
  <c r="P62" i="18"/>
  <c r="O62" i="18"/>
  <c r="N62" i="18"/>
  <c r="N61" i="18" s="1"/>
  <c r="N60" i="18" s="1"/>
  <c r="M62" i="18"/>
  <c r="M61" i="18" s="1"/>
  <c r="M60" i="18" s="1"/>
  <c r="L62" i="18"/>
  <c r="L61" i="18" s="1"/>
  <c r="L60" i="18" s="1"/>
  <c r="K62" i="18"/>
  <c r="K61" i="18" s="1"/>
  <c r="K60" i="18" s="1"/>
  <c r="J62" i="18"/>
  <c r="J61" i="18" s="1"/>
  <c r="J60" i="18" s="1"/>
  <c r="I62" i="18"/>
  <c r="H62" i="18"/>
  <c r="H61" i="18" s="1"/>
  <c r="H60" i="18" s="1"/>
  <c r="G62" i="18"/>
  <c r="G61" i="18" s="1"/>
  <c r="G60" i="18" s="1"/>
  <c r="F62" i="18"/>
  <c r="F61" i="18" s="1"/>
  <c r="F60" i="18" s="1"/>
  <c r="E62" i="18"/>
  <c r="U62" i="18" s="1"/>
  <c r="D62" i="18"/>
  <c r="T62" i="18" s="1"/>
  <c r="C62" i="18"/>
  <c r="S62" i="18" s="1"/>
  <c r="B62" i="18"/>
  <c r="R62" i="18" s="1"/>
  <c r="Q61" i="18"/>
  <c r="P61" i="18"/>
  <c r="O61" i="18"/>
  <c r="I61" i="18"/>
  <c r="E61" i="18"/>
  <c r="Q60" i="18"/>
  <c r="P60" i="18"/>
  <c r="O60" i="18"/>
  <c r="I60" i="18"/>
  <c r="E60" i="18"/>
  <c r="U59" i="18"/>
  <c r="T59" i="18"/>
  <c r="S59" i="18"/>
  <c r="R59" i="18"/>
  <c r="Q58" i="18"/>
  <c r="P58" i="18"/>
  <c r="P57" i="18" s="1"/>
  <c r="P56" i="18" s="1"/>
  <c r="O58" i="18"/>
  <c r="O57" i="18" s="1"/>
  <c r="O56" i="18" s="1"/>
  <c r="N58" i="18"/>
  <c r="M58" i="18"/>
  <c r="L58" i="18"/>
  <c r="L57" i="18" s="1"/>
  <c r="L56" i="18" s="1"/>
  <c r="K58" i="18"/>
  <c r="K57" i="18" s="1"/>
  <c r="K56" i="18" s="1"/>
  <c r="J58" i="18"/>
  <c r="J57" i="18" s="1"/>
  <c r="J56" i="18" s="1"/>
  <c r="I58" i="18"/>
  <c r="H58" i="18"/>
  <c r="H57" i="18" s="1"/>
  <c r="H56" i="18" s="1"/>
  <c r="G58" i="18"/>
  <c r="G57" i="18" s="1"/>
  <c r="G56" i="18" s="1"/>
  <c r="F58" i="18"/>
  <c r="E58" i="18"/>
  <c r="U58" i="18" s="1"/>
  <c r="D58" i="18"/>
  <c r="T58" i="18" s="1"/>
  <c r="C58" i="18"/>
  <c r="S58" i="18" s="1"/>
  <c r="B58" i="18"/>
  <c r="R58" i="18" s="1"/>
  <c r="Q57" i="18"/>
  <c r="Q56" i="18" s="1"/>
  <c r="N57" i="18"/>
  <c r="N56" i="18" s="1"/>
  <c r="M57" i="18"/>
  <c r="M56" i="18" s="1"/>
  <c r="I57" i="18"/>
  <c r="I56" i="18" s="1"/>
  <c r="F57" i="18"/>
  <c r="F56" i="18" s="1"/>
  <c r="E57" i="18"/>
  <c r="E56" i="18" s="1"/>
  <c r="U55" i="18"/>
  <c r="T55" i="18"/>
  <c r="S55" i="18"/>
  <c r="R55" i="18"/>
  <c r="Q54" i="18"/>
  <c r="Q53" i="18" s="1"/>
  <c r="Q52" i="18" s="1"/>
  <c r="P54" i="18"/>
  <c r="P53" i="18" s="1"/>
  <c r="P52" i="18" s="1"/>
  <c r="O54" i="18"/>
  <c r="O53" i="18" s="1"/>
  <c r="O52" i="18" s="1"/>
  <c r="O51" i="18" s="1"/>
  <c r="N54" i="18"/>
  <c r="M54" i="18"/>
  <c r="M53" i="18" s="1"/>
  <c r="M52" i="18" s="1"/>
  <c r="L54" i="18"/>
  <c r="L53" i="18" s="1"/>
  <c r="L52" i="18" s="1"/>
  <c r="K54" i="18"/>
  <c r="K53" i="18" s="1"/>
  <c r="K52" i="18" s="1"/>
  <c r="J54" i="18"/>
  <c r="J53" i="18" s="1"/>
  <c r="J52" i="18" s="1"/>
  <c r="J51" i="18" s="1"/>
  <c r="J50" i="18" s="1"/>
  <c r="I54" i="18"/>
  <c r="I53" i="18" s="1"/>
  <c r="I52" i="18" s="1"/>
  <c r="H54" i="18"/>
  <c r="H53" i="18" s="1"/>
  <c r="H52" i="18" s="1"/>
  <c r="G54" i="18"/>
  <c r="G53" i="18" s="1"/>
  <c r="G52" i="18" s="1"/>
  <c r="F54" i="18"/>
  <c r="E54" i="18"/>
  <c r="U54" i="18" s="1"/>
  <c r="D54" i="18"/>
  <c r="T54" i="18" s="1"/>
  <c r="C54" i="18"/>
  <c r="S54" i="18" s="1"/>
  <c r="B54" i="18"/>
  <c r="R54" i="18" s="1"/>
  <c r="N53" i="18"/>
  <c r="N52" i="18" s="1"/>
  <c r="F53" i="18"/>
  <c r="F52" i="18" s="1"/>
  <c r="C53" i="18"/>
  <c r="C52" i="18" s="1"/>
  <c r="U48" i="18"/>
  <c r="T48" i="18"/>
  <c r="S48" i="18"/>
  <c r="R48" i="18"/>
  <c r="U47" i="18"/>
  <c r="T47" i="18"/>
  <c r="S47" i="18"/>
  <c r="R47" i="18"/>
  <c r="U46" i="18"/>
  <c r="T46" i="18"/>
  <c r="S46" i="18"/>
  <c r="R46" i="18"/>
  <c r="U45" i="18"/>
  <c r="T45" i="18"/>
  <c r="S45" i="18"/>
  <c r="R45" i="18"/>
  <c r="Q44" i="18"/>
  <c r="P44" i="18"/>
  <c r="O44" i="18"/>
  <c r="N44" i="18"/>
  <c r="M44" i="18"/>
  <c r="L44" i="18"/>
  <c r="K44" i="18"/>
  <c r="J44" i="18"/>
  <c r="I44" i="18"/>
  <c r="H44" i="18"/>
  <c r="G44" i="18"/>
  <c r="E44" i="18"/>
  <c r="D44" i="18"/>
  <c r="T44" i="18" s="1"/>
  <c r="C44" i="18"/>
  <c r="B44" i="18"/>
  <c r="U43" i="18"/>
  <c r="T43" i="18"/>
  <c r="S43" i="18"/>
  <c r="R43" i="18"/>
  <c r="U42" i="18"/>
  <c r="T42" i="18"/>
  <c r="S42" i="18"/>
  <c r="R42" i="18"/>
  <c r="U41" i="18"/>
  <c r="T41" i="18"/>
  <c r="S41" i="18"/>
  <c r="R41" i="18"/>
  <c r="Q40" i="18"/>
  <c r="P40" i="18"/>
  <c r="P39" i="18" s="1"/>
  <c r="O40" i="18"/>
  <c r="N40" i="18"/>
  <c r="M40" i="18"/>
  <c r="L40" i="18"/>
  <c r="L39" i="18" s="1"/>
  <c r="K40" i="18"/>
  <c r="J40" i="18"/>
  <c r="I40" i="18"/>
  <c r="H40" i="18"/>
  <c r="G40" i="18"/>
  <c r="F40" i="18"/>
  <c r="E40" i="18"/>
  <c r="U40" i="18" s="1"/>
  <c r="D40" i="18"/>
  <c r="T40" i="18" s="1"/>
  <c r="C40" i="18"/>
  <c r="S40" i="18" s="1"/>
  <c r="B40" i="18"/>
  <c r="R40" i="18" s="1"/>
  <c r="K39" i="18"/>
  <c r="H39" i="18"/>
  <c r="U38" i="18"/>
  <c r="T38" i="18"/>
  <c r="S38" i="18"/>
  <c r="R38" i="18"/>
  <c r="U37" i="18"/>
  <c r="T37" i="18"/>
  <c r="S37" i="18"/>
  <c r="R37" i="18"/>
  <c r="U36" i="18"/>
  <c r="T36" i="18"/>
  <c r="S36" i="18"/>
  <c r="R36" i="18"/>
  <c r="Q35" i="18"/>
  <c r="P35" i="18"/>
  <c r="O35" i="18"/>
  <c r="N35" i="18"/>
  <c r="M35" i="18"/>
  <c r="L35" i="18"/>
  <c r="K35" i="18"/>
  <c r="J35" i="18"/>
  <c r="I35" i="18"/>
  <c r="H35" i="18"/>
  <c r="G35" i="18"/>
  <c r="F35" i="18"/>
  <c r="E35" i="18"/>
  <c r="U35" i="18" s="1"/>
  <c r="D35" i="18"/>
  <c r="T35" i="18" s="1"/>
  <c r="C35" i="18"/>
  <c r="S35" i="18" s="1"/>
  <c r="B35" i="18"/>
  <c r="R35" i="18" s="1"/>
  <c r="U34" i="18"/>
  <c r="T34" i="18"/>
  <c r="T33" i="18" s="1"/>
  <c r="S34" i="18"/>
  <c r="S33" i="18" s="1"/>
  <c r="R34" i="18"/>
  <c r="U33" i="18"/>
  <c r="R33" i="18"/>
  <c r="Q33" i="18"/>
  <c r="P33" i="18"/>
  <c r="O33" i="18"/>
  <c r="N33" i="18"/>
  <c r="M33" i="18"/>
  <c r="L33" i="18"/>
  <c r="K33" i="18"/>
  <c r="J33" i="18"/>
  <c r="I33" i="18"/>
  <c r="H33" i="18"/>
  <c r="G33" i="18"/>
  <c r="F33" i="18"/>
  <c r="E33" i="18"/>
  <c r="D33" i="18"/>
  <c r="C33" i="18"/>
  <c r="B33" i="18"/>
  <c r="U32" i="18"/>
  <c r="T32" i="18"/>
  <c r="S32" i="18"/>
  <c r="R32" i="18"/>
  <c r="Q31" i="18"/>
  <c r="P31" i="18"/>
  <c r="O31" i="18"/>
  <c r="N31" i="18"/>
  <c r="M31" i="18"/>
  <c r="L31" i="18"/>
  <c r="K31" i="18"/>
  <c r="J31" i="18"/>
  <c r="I31" i="18"/>
  <c r="H31" i="18"/>
  <c r="G31" i="18"/>
  <c r="F31" i="18"/>
  <c r="E31" i="18"/>
  <c r="U31" i="18" s="1"/>
  <c r="D31" i="18"/>
  <c r="T31" i="18" s="1"/>
  <c r="C31" i="18"/>
  <c r="S31" i="18" s="1"/>
  <c r="B31" i="18"/>
  <c r="R31" i="18" s="1"/>
  <c r="U30" i="18"/>
  <c r="T30" i="18"/>
  <c r="S30" i="18"/>
  <c r="R30" i="18"/>
  <c r="U29" i="18"/>
  <c r="T29" i="18"/>
  <c r="S29" i="18"/>
  <c r="S28" i="18" s="1"/>
  <c r="S27" i="18" s="1"/>
  <c r="R29" i="18"/>
  <c r="R28" i="18" s="1"/>
  <c r="R27" i="18" s="1"/>
  <c r="U28" i="18"/>
  <c r="U27" i="18" s="1"/>
  <c r="T28" i="18"/>
  <c r="Q28" i="18"/>
  <c r="Q27" i="18" s="1"/>
  <c r="Q26" i="18" s="1"/>
  <c r="P28" i="18"/>
  <c r="P27" i="18" s="1"/>
  <c r="P26" i="18" s="1"/>
  <c r="O28" i="18"/>
  <c r="N28" i="18"/>
  <c r="N27" i="18" s="1"/>
  <c r="M28" i="18"/>
  <c r="M27" i="18" s="1"/>
  <c r="M26" i="18" s="1"/>
  <c r="L28" i="18"/>
  <c r="L27" i="18" s="1"/>
  <c r="L26" i="18" s="1"/>
  <c r="K28" i="18"/>
  <c r="J28" i="18"/>
  <c r="J27" i="18" s="1"/>
  <c r="I28" i="18"/>
  <c r="I27" i="18" s="1"/>
  <c r="I26" i="18" s="1"/>
  <c r="H28" i="18"/>
  <c r="H27" i="18" s="1"/>
  <c r="H26" i="18" s="1"/>
  <c r="G28" i="18"/>
  <c r="F28" i="18"/>
  <c r="F27" i="18" s="1"/>
  <c r="E28" i="18"/>
  <c r="E27" i="18" s="1"/>
  <c r="E26" i="18" s="1"/>
  <c r="U26" i="18" s="1"/>
  <c r="D28" i="18"/>
  <c r="D27" i="18" s="1"/>
  <c r="D26" i="18" s="1"/>
  <c r="T26" i="18" s="1"/>
  <c r="C28" i="18"/>
  <c r="B28" i="18"/>
  <c r="B27" i="18" s="1"/>
  <c r="T27" i="18"/>
  <c r="O27" i="18"/>
  <c r="O26" i="18" s="1"/>
  <c r="K27" i="18"/>
  <c r="K26" i="18" s="1"/>
  <c r="G27" i="18"/>
  <c r="G26" i="18" s="1"/>
  <c r="C27" i="18"/>
  <c r="C26" i="18" s="1"/>
  <c r="S26" i="18" s="1"/>
  <c r="U25" i="18"/>
  <c r="T25" i="18"/>
  <c r="S25" i="18"/>
  <c r="R25" i="18"/>
  <c r="U24" i="18"/>
  <c r="T24" i="18"/>
  <c r="T23" i="18" s="1"/>
  <c r="S24" i="18"/>
  <c r="S23" i="18" s="1"/>
  <c r="R24" i="18"/>
  <c r="R23" i="18" s="1"/>
  <c r="U23" i="18"/>
  <c r="Q23" i="18"/>
  <c r="P23" i="18"/>
  <c r="O23" i="18"/>
  <c r="N23" i="18"/>
  <c r="M23" i="18"/>
  <c r="L23" i="18"/>
  <c r="K23" i="18"/>
  <c r="J23" i="18"/>
  <c r="I23" i="18"/>
  <c r="H23" i="18"/>
  <c r="G23" i="18"/>
  <c r="F23" i="18"/>
  <c r="E23" i="18"/>
  <c r="D23" i="18"/>
  <c r="C23" i="18"/>
  <c r="B23" i="18"/>
  <c r="U22" i="18"/>
  <c r="T22" i="18"/>
  <c r="S22" i="18"/>
  <c r="R22" i="18"/>
  <c r="U21" i="18"/>
  <c r="T21" i="18"/>
  <c r="S21" i="18"/>
  <c r="R21" i="18"/>
  <c r="S20" i="18"/>
  <c r="Q20" i="18"/>
  <c r="P20" i="18"/>
  <c r="P19" i="18" s="1"/>
  <c r="O20" i="18"/>
  <c r="O19" i="18" s="1"/>
  <c r="N20" i="18"/>
  <c r="N19" i="18" s="1"/>
  <c r="M20" i="18"/>
  <c r="L20" i="18"/>
  <c r="L19" i="18" s="1"/>
  <c r="K20" i="18"/>
  <c r="J20" i="18"/>
  <c r="J19" i="18" s="1"/>
  <c r="I20" i="18"/>
  <c r="H20" i="18"/>
  <c r="H19" i="18" s="1"/>
  <c r="G20" i="18"/>
  <c r="G19" i="18" s="1"/>
  <c r="F20" i="18"/>
  <c r="F19" i="18" s="1"/>
  <c r="E20" i="18"/>
  <c r="U20" i="18" s="1"/>
  <c r="D20" i="18"/>
  <c r="T20" i="18" s="1"/>
  <c r="C20" i="18"/>
  <c r="B20" i="18"/>
  <c r="R20" i="18" s="1"/>
  <c r="Q19" i="18"/>
  <c r="M19" i="18"/>
  <c r="K19" i="18"/>
  <c r="I19" i="18"/>
  <c r="E19" i="18"/>
  <c r="U19" i="18" s="1"/>
  <c r="C19" i="18"/>
  <c r="U18" i="18"/>
  <c r="T18" i="18"/>
  <c r="S18" i="18"/>
  <c r="R18" i="18"/>
  <c r="Q17" i="18"/>
  <c r="P17" i="18"/>
  <c r="O17" i="18"/>
  <c r="N17" i="18"/>
  <c r="M17" i="18"/>
  <c r="L17" i="18"/>
  <c r="K17" i="18"/>
  <c r="J17" i="18"/>
  <c r="I17" i="18"/>
  <c r="H17" i="18"/>
  <c r="G17" i="18"/>
  <c r="F17" i="18"/>
  <c r="E17" i="18"/>
  <c r="U17" i="18" s="1"/>
  <c r="D17" i="18"/>
  <c r="T17" i="18" s="1"/>
  <c r="C17" i="18"/>
  <c r="S17" i="18" s="1"/>
  <c r="B17" i="18"/>
  <c r="R17" i="18" s="1"/>
  <c r="U16" i="18"/>
  <c r="T16" i="18"/>
  <c r="S16" i="18"/>
  <c r="R16" i="18"/>
  <c r="U15" i="18"/>
  <c r="T15" i="18"/>
  <c r="S15" i="18"/>
  <c r="R15" i="18"/>
  <c r="Q14" i="18"/>
  <c r="P14" i="18"/>
  <c r="P13" i="18" s="1"/>
  <c r="O14" i="18"/>
  <c r="O13" i="18" s="1"/>
  <c r="O12" i="18" s="1"/>
  <c r="N14" i="18"/>
  <c r="N13" i="18" s="1"/>
  <c r="N12" i="18" s="1"/>
  <c r="M14" i="18"/>
  <c r="L14" i="18"/>
  <c r="L13" i="18" s="1"/>
  <c r="K14" i="18"/>
  <c r="K13" i="18" s="1"/>
  <c r="K12" i="18" s="1"/>
  <c r="K9" i="18" s="1"/>
  <c r="J14" i="18"/>
  <c r="I14" i="18"/>
  <c r="U14" i="18" s="1"/>
  <c r="H14" i="18"/>
  <c r="T14" i="18" s="1"/>
  <c r="G14" i="18"/>
  <c r="G13" i="18" s="1"/>
  <c r="F14" i="18"/>
  <c r="R14" i="18" s="1"/>
  <c r="Q13" i="18"/>
  <c r="M13" i="18"/>
  <c r="M12" i="18" s="1"/>
  <c r="J13" i="18"/>
  <c r="J12" i="18" s="1"/>
  <c r="J9" i="18" s="1"/>
  <c r="E13" i="18"/>
  <c r="D13" i="18"/>
  <c r="D12" i="18" s="1"/>
  <c r="C13" i="18"/>
  <c r="B13" i="18"/>
  <c r="Q12" i="18"/>
  <c r="C12" i="18"/>
  <c r="U11" i="18"/>
  <c r="T11" i="18"/>
  <c r="S11" i="18"/>
  <c r="R11" i="18"/>
  <c r="E10" i="18"/>
  <c r="U10" i="18" s="1"/>
  <c r="D10" i="18"/>
  <c r="T10" i="18" s="1"/>
  <c r="C10" i="18"/>
  <c r="C9" i="18" s="1"/>
  <c r="B10" i="18"/>
  <c r="R10" i="18" s="1"/>
  <c r="U8" i="18"/>
  <c r="T8" i="18"/>
  <c r="S8" i="18"/>
  <c r="R8" i="18"/>
  <c r="U7" i="18"/>
  <c r="U6" i="18" s="1"/>
  <c r="T7" i="18"/>
  <c r="T6" i="18" s="1"/>
  <c r="S7" i="18"/>
  <c r="S6" i="18" s="1"/>
  <c r="R7" i="18"/>
  <c r="R6" i="18" s="1"/>
  <c r="Q6" i="18"/>
  <c r="P6" i="18"/>
  <c r="O6" i="18"/>
  <c r="N6" i="18"/>
  <c r="M6" i="18"/>
  <c r="L6" i="18"/>
  <c r="K6" i="18"/>
  <c r="J6" i="18"/>
  <c r="I6" i="18"/>
  <c r="H6" i="18"/>
  <c r="G6" i="18"/>
  <c r="F6" i="18"/>
  <c r="E6" i="18"/>
  <c r="D6" i="18"/>
  <c r="C6" i="18"/>
  <c r="B6" i="18"/>
  <c r="U5" i="18"/>
  <c r="T5" i="18"/>
  <c r="S5" i="18"/>
  <c r="R5" i="18"/>
  <c r="Q5" i="18"/>
  <c r="P5" i="18"/>
  <c r="O5" i="18"/>
  <c r="N5" i="18"/>
  <c r="G23" i="14"/>
  <c r="G4" i="14"/>
  <c r="AL76" i="3" l="1"/>
  <c r="S19" i="18"/>
  <c r="U60" i="18"/>
  <c r="M9" i="18"/>
  <c r="M4" i="18" s="1"/>
  <c r="B26" i="18"/>
  <c r="J26" i="18"/>
  <c r="I80" i="18"/>
  <c r="R109" i="18"/>
  <c r="Q9" i="18"/>
  <c r="S10" i="18"/>
  <c r="I13" i="18"/>
  <c r="I12" i="18" s="1"/>
  <c r="I9" i="18" s="1"/>
  <c r="I4" i="18" s="1"/>
  <c r="N9" i="18"/>
  <c r="B39" i="18"/>
  <c r="G39" i="18"/>
  <c r="O39" i="18"/>
  <c r="B53" i="18"/>
  <c r="B52" i="18" s="1"/>
  <c r="C61" i="18"/>
  <c r="C60" i="18" s="1"/>
  <c r="B64" i="18"/>
  <c r="B69" i="18"/>
  <c r="R69" i="18" s="1"/>
  <c r="W69" i="18" s="1"/>
  <c r="K51" i="18"/>
  <c r="K50" i="18" s="1"/>
  <c r="P80" i="18"/>
  <c r="D86" i="18"/>
  <c r="B90" i="18"/>
  <c r="B89" i="18" s="1"/>
  <c r="B96" i="18"/>
  <c r="B95" i="18" s="1"/>
  <c r="F94" i="18"/>
  <c r="B103" i="18"/>
  <c r="E108" i="18"/>
  <c r="E107" i="18" s="1"/>
  <c r="C112" i="18"/>
  <c r="T112" i="18"/>
  <c r="P93" i="18"/>
  <c r="N124" i="18"/>
  <c r="B155" i="18"/>
  <c r="Q167" i="18"/>
  <c r="T184" i="18"/>
  <c r="U61" i="18"/>
  <c r="Q139" i="18"/>
  <c r="F167" i="18"/>
  <c r="N26" i="18"/>
  <c r="N80" i="18"/>
  <c r="E103" i="18"/>
  <c r="T141" i="18"/>
  <c r="T163" i="18"/>
  <c r="K167" i="18"/>
  <c r="Q181" i="18"/>
  <c r="O9" i="18"/>
  <c r="F26" i="18"/>
  <c r="M39" i="18"/>
  <c r="U44" i="18"/>
  <c r="G80" i="18"/>
  <c r="O50" i="18"/>
  <c r="U56" i="18"/>
  <c r="T74" i="18"/>
  <c r="B82" i="18"/>
  <c r="B81" i="18" s="1"/>
  <c r="L93" i="18"/>
  <c r="B112" i="18"/>
  <c r="R112" i="18" s="1"/>
  <c r="U119" i="18"/>
  <c r="N148" i="18"/>
  <c r="P153" i="18"/>
  <c r="B173" i="18"/>
  <c r="B172" i="18" s="1"/>
  <c r="E191" i="18"/>
  <c r="U194" i="18"/>
  <c r="D203" i="18"/>
  <c r="I206" i="18"/>
  <c r="N4" i="18"/>
  <c r="J4" i="18"/>
  <c r="G51" i="18"/>
  <c r="F51" i="18"/>
  <c r="T69" i="18"/>
  <c r="S91" i="18"/>
  <c r="C90" i="18"/>
  <c r="T96" i="18"/>
  <c r="D95" i="18"/>
  <c r="AP76" i="3"/>
  <c r="U142" i="18"/>
  <c r="E141" i="18"/>
  <c r="F13" i="18"/>
  <c r="F12" i="18" s="1"/>
  <c r="F9" i="18" s="1"/>
  <c r="F4" i="18" s="1"/>
  <c r="L12" i="18"/>
  <c r="L9" i="18" s="1"/>
  <c r="L4" i="18" s="1"/>
  <c r="P12" i="18"/>
  <c r="P9" i="18" s="1"/>
  <c r="B19" i="18"/>
  <c r="R19" i="18" s="1"/>
  <c r="C39" i="18"/>
  <c r="S39" i="18" s="1"/>
  <c r="S44" i="18"/>
  <c r="I51" i="18"/>
  <c r="M51" i="18"/>
  <c r="Q51" i="18"/>
  <c r="B57" i="18"/>
  <c r="C69" i="18"/>
  <c r="S69" i="18" s="1"/>
  <c r="R82" i="18"/>
  <c r="S97" i="18"/>
  <c r="C96" i="18"/>
  <c r="T103" i="18"/>
  <c r="U113" i="18"/>
  <c r="E112" i="18"/>
  <c r="N123" i="18"/>
  <c r="R123" i="18" s="1"/>
  <c r="AG95" i="3" s="1"/>
  <c r="R124" i="18"/>
  <c r="S146" i="18"/>
  <c r="C145" i="18"/>
  <c r="K153" i="18"/>
  <c r="T64" i="18"/>
  <c r="U70" i="18"/>
  <c r="E69" i="18"/>
  <c r="E12" i="18"/>
  <c r="I39" i="18"/>
  <c r="Q39" i="18"/>
  <c r="R53" i="18"/>
  <c r="D57" i="18"/>
  <c r="S60" i="18"/>
  <c r="S61" i="18"/>
  <c r="N51" i="18"/>
  <c r="R64" i="18"/>
  <c r="V64" i="18" s="1"/>
  <c r="B68" i="18"/>
  <c r="R68" i="18" s="1"/>
  <c r="T68" i="18"/>
  <c r="R73" i="18"/>
  <c r="U74" i="18"/>
  <c r="E73" i="18"/>
  <c r="S82" i="18"/>
  <c r="H80" i="18"/>
  <c r="L80" i="18"/>
  <c r="T86" i="18"/>
  <c r="R87" i="18"/>
  <c r="B86" i="18"/>
  <c r="I94" i="18"/>
  <c r="I50" i="18" s="1"/>
  <c r="B111" i="18"/>
  <c r="R111" i="18" s="1"/>
  <c r="R155" i="18"/>
  <c r="B154" i="18"/>
  <c r="S81" i="18"/>
  <c r="C4" i="18"/>
  <c r="B12" i="18"/>
  <c r="S14" i="18"/>
  <c r="D19" i="18"/>
  <c r="T19" i="18" s="1"/>
  <c r="J39" i="18"/>
  <c r="N39" i="18"/>
  <c r="S52" i="18"/>
  <c r="S53" i="18"/>
  <c r="U57" i="18"/>
  <c r="D61" i="18"/>
  <c r="S64" i="18"/>
  <c r="C73" i="18"/>
  <c r="R81" i="18"/>
  <c r="U90" i="18"/>
  <c r="E89" i="18"/>
  <c r="U89" i="18" s="1"/>
  <c r="H94" i="18"/>
  <c r="T100" i="18"/>
  <c r="D99" i="18"/>
  <c r="T99" i="18" s="1"/>
  <c r="G94" i="18"/>
  <c r="U116" i="18"/>
  <c r="E115" i="18"/>
  <c r="U115" i="18" s="1"/>
  <c r="T119" i="18"/>
  <c r="R129" i="18"/>
  <c r="N128" i="18"/>
  <c r="B186" i="18"/>
  <c r="R186" i="18" s="1"/>
  <c r="S204" i="18"/>
  <c r="C203" i="18"/>
  <c r="R89" i="18"/>
  <c r="U103" i="18"/>
  <c r="T107" i="18"/>
  <c r="T108" i="18"/>
  <c r="R119" i="18"/>
  <c r="AG101" i="3" s="1"/>
  <c r="T124" i="18"/>
  <c r="P123" i="18"/>
  <c r="T123" i="18" s="1"/>
  <c r="C141" i="18"/>
  <c r="S160" i="18"/>
  <c r="C159" i="18"/>
  <c r="S164" i="18"/>
  <c r="C163" i="18"/>
  <c r="O167" i="18"/>
  <c r="O166" i="18"/>
  <c r="M181" i="18"/>
  <c r="D191" i="18"/>
  <c r="T192" i="18"/>
  <c r="U200" i="18"/>
  <c r="E199" i="18"/>
  <c r="U213" i="18"/>
  <c r="E212" i="18"/>
  <c r="R90" i="18"/>
  <c r="W90" i="18" s="1"/>
  <c r="U107" i="18"/>
  <c r="U108" i="18"/>
  <c r="AP93" i="3"/>
  <c r="BC93" i="3" s="1"/>
  <c r="BD93" i="3" s="1"/>
  <c r="Y111" i="18"/>
  <c r="L94" i="18"/>
  <c r="B116" i="18"/>
  <c r="B115" i="18" s="1"/>
  <c r="U125" i="18"/>
  <c r="Q124" i="18"/>
  <c r="F139" i="18"/>
  <c r="N167" i="18"/>
  <c r="C173" i="18"/>
  <c r="M180" i="18"/>
  <c r="I181" i="18"/>
  <c r="U183" i="18"/>
  <c r="E182" i="18"/>
  <c r="M206" i="18"/>
  <c r="F206" i="18"/>
  <c r="U237" i="18"/>
  <c r="E236" i="18"/>
  <c r="E82" i="18"/>
  <c r="C86" i="18"/>
  <c r="T91" i="18"/>
  <c r="T101" i="18"/>
  <c r="R101" i="18"/>
  <c r="R103" i="18"/>
  <c r="T116" i="18"/>
  <c r="H139" i="18"/>
  <c r="O149" i="18"/>
  <c r="O153" i="18"/>
  <c r="G167" i="18"/>
  <c r="G166" i="18"/>
  <c r="S170" i="18"/>
  <c r="C169" i="18"/>
  <c r="R172" i="18"/>
  <c r="S177" i="18"/>
  <c r="C176" i="18"/>
  <c r="S176" i="18" s="1"/>
  <c r="T203" i="18"/>
  <c r="D202" i="18"/>
  <c r="T202" i="18" s="1"/>
  <c r="H206" i="18"/>
  <c r="S209" i="18"/>
  <c r="C208" i="18"/>
  <c r="C207" i="18" s="1"/>
  <c r="C206" i="18" s="1"/>
  <c r="K206" i="18"/>
  <c r="G93" i="18"/>
  <c r="K93" i="18"/>
  <c r="O93" i="18"/>
  <c r="S155" i="18"/>
  <c r="D162" i="18"/>
  <c r="T162" i="18" s="1"/>
  <c r="E173" i="18"/>
  <c r="E186" i="18"/>
  <c r="U186" i="18" s="1"/>
  <c r="R198" i="18"/>
  <c r="R199" i="18"/>
  <c r="E203" i="18"/>
  <c r="T207" i="18"/>
  <c r="E208" i="18"/>
  <c r="T235" i="18"/>
  <c r="H153" i="18"/>
  <c r="R190" i="18"/>
  <c r="R191" i="18"/>
  <c r="D212" i="18"/>
  <c r="G206" i="18"/>
  <c r="T236" i="18"/>
  <c r="G152" i="18"/>
  <c r="K152" i="18"/>
  <c r="U150" i="18"/>
  <c r="S154" i="18"/>
  <c r="R173" i="18"/>
  <c r="W173" i="18" s="1"/>
  <c r="R177" i="18"/>
  <c r="R183" i="18"/>
  <c r="G181" i="18"/>
  <c r="R194" i="18"/>
  <c r="J181" i="18"/>
  <c r="N181" i="18"/>
  <c r="S211" i="18"/>
  <c r="D81" i="18"/>
  <c r="T82" i="18"/>
  <c r="G50" i="18"/>
  <c r="G12" i="18"/>
  <c r="S13" i="18"/>
  <c r="F50" i="18"/>
  <c r="H51" i="18"/>
  <c r="L51" i="18"/>
  <c r="P51" i="18"/>
  <c r="T90" i="18"/>
  <c r="D89" i="18"/>
  <c r="T89" i="18" s="1"/>
  <c r="N50" i="18"/>
  <c r="T73" i="18"/>
  <c r="D72" i="18"/>
  <c r="T72" i="18" s="1"/>
  <c r="Q50" i="18"/>
  <c r="E95" i="18"/>
  <c r="U96" i="18"/>
  <c r="M94" i="18"/>
  <c r="M93" i="18"/>
  <c r="Q93" i="18"/>
  <c r="K4" i="18"/>
  <c r="K94" i="18"/>
  <c r="O123" i="18"/>
  <c r="S123" i="18" s="1"/>
  <c r="S124" i="18"/>
  <c r="T140" i="18"/>
  <c r="D139" i="18"/>
  <c r="U160" i="18"/>
  <c r="E159" i="18"/>
  <c r="H166" i="18"/>
  <c r="H167" i="18"/>
  <c r="P166" i="18"/>
  <c r="P167" i="18"/>
  <c r="T182" i="18"/>
  <c r="H180" i="18"/>
  <c r="H181" i="18"/>
  <c r="L181" i="18"/>
  <c r="L180" i="18"/>
  <c r="P181" i="18"/>
  <c r="P180" i="18"/>
  <c r="E39" i="18"/>
  <c r="U39" i="18" s="1"/>
  <c r="D53" i="18"/>
  <c r="B61" i="18"/>
  <c r="U65" i="18"/>
  <c r="V68" i="18"/>
  <c r="D85" i="18"/>
  <c r="T85" i="18" s="1"/>
  <c r="U97" i="18"/>
  <c r="S100" i="18"/>
  <c r="C103" i="18"/>
  <c r="C108" i="18"/>
  <c r="F93" i="18"/>
  <c r="R128" i="18"/>
  <c r="N127" i="18"/>
  <c r="T129" i="18"/>
  <c r="P128" i="18"/>
  <c r="J153" i="18"/>
  <c r="J152" i="18"/>
  <c r="D155" i="18"/>
  <c r="T156" i="18"/>
  <c r="L153" i="18"/>
  <c r="L152" i="18"/>
  <c r="T158" i="18"/>
  <c r="J167" i="18"/>
  <c r="R52" i="18"/>
  <c r="R95" i="18"/>
  <c r="B94" i="18"/>
  <c r="J93" i="18"/>
  <c r="C115" i="18"/>
  <c r="S115" i="18" s="1"/>
  <c r="S116" i="18"/>
  <c r="D39" i="18"/>
  <c r="T39" i="18" s="1"/>
  <c r="E53" i="18"/>
  <c r="C57" i="18"/>
  <c r="T83" i="18"/>
  <c r="H93" i="18"/>
  <c r="T115" i="18"/>
  <c r="R115" i="18"/>
  <c r="V115" i="18" s="1"/>
  <c r="R116" i="18"/>
  <c r="W116" i="18" s="1"/>
  <c r="U141" i="18"/>
  <c r="E140" i="18"/>
  <c r="J140" i="18"/>
  <c r="J139" i="18" s="1"/>
  <c r="R141" i="18"/>
  <c r="B144" i="18"/>
  <c r="R144" i="18" s="1"/>
  <c r="AG110" i="3" s="1"/>
  <c r="R145" i="18"/>
  <c r="R146" i="18"/>
  <c r="R154" i="18"/>
  <c r="W154" i="18" s="1"/>
  <c r="M152" i="18"/>
  <c r="M153" i="18"/>
  <c r="E163" i="18"/>
  <c r="U164" i="18"/>
  <c r="R170" i="18"/>
  <c r="B169" i="18"/>
  <c r="D199" i="18"/>
  <c r="T200" i="18"/>
  <c r="H13" i="18"/>
  <c r="H12" i="18" s="1"/>
  <c r="H9" i="18" s="1"/>
  <c r="H4" i="18" s="1"/>
  <c r="R44" i="18"/>
  <c r="M80" i="18"/>
  <c r="S99" i="18"/>
  <c r="E100" i="18"/>
  <c r="S101" i="18"/>
  <c r="S117" i="18"/>
  <c r="S125" i="18"/>
  <c r="T145" i="18"/>
  <c r="D144" i="18"/>
  <c r="T144" i="18" s="1"/>
  <c r="F153" i="18"/>
  <c r="F152" i="18"/>
  <c r="I153" i="18"/>
  <c r="E168" i="18"/>
  <c r="U169" i="18"/>
  <c r="E86" i="18"/>
  <c r="R96" i="18"/>
  <c r="J100" i="18"/>
  <c r="J99" i="18" s="1"/>
  <c r="R99" i="18" s="1"/>
  <c r="O128" i="18"/>
  <c r="E145" i="18"/>
  <c r="T150" i="18"/>
  <c r="P149" i="18"/>
  <c r="T159" i="18"/>
  <c r="B158" i="18"/>
  <c r="R158" i="18" s="1"/>
  <c r="R159" i="18"/>
  <c r="W159" i="18" s="1"/>
  <c r="R160" i="18"/>
  <c r="R163" i="18"/>
  <c r="W163" i="18" s="1"/>
  <c r="B162" i="18"/>
  <c r="R162" i="18" s="1"/>
  <c r="D186" i="18"/>
  <c r="T186" i="18" s="1"/>
  <c r="T187" i="18"/>
  <c r="C68" i="18"/>
  <c r="S68" i="18" s="1"/>
  <c r="B139" i="18"/>
  <c r="T142" i="18"/>
  <c r="M167" i="18"/>
  <c r="M166" i="18"/>
  <c r="T177" i="18"/>
  <c r="D176" i="18"/>
  <c r="T176" i="18" s="1"/>
  <c r="S192" i="18"/>
  <c r="C191" i="18"/>
  <c r="O206" i="18"/>
  <c r="N139" i="18"/>
  <c r="U154" i="18"/>
  <c r="Q153" i="18"/>
  <c r="U155" i="18"/>
  <c r="Q166" i="18"/>
  <c r="T169" i="18"/>
  <c r="D168" i="18"/>
  <c r="I167" i="18"/>
  <c r="U173" i="18"/>
  <c r="E172" i="18"/>
  <c r="U172" i="18" s="1"/>
  <c r="L166" i="18"/>
  <c r="L167" i="18"/>
  <c r="T174" i="18"/>
  <c r="D173" i="18"/>
  <c r="U178" i="18"/>
  <c r="E177" i="18"/>
  <c r="S184" i="18"/>
  <c r="C183" i="18"/>
  <c r="T195" i="18"/>
  <c r="B207" i="18"/>
  <c r="B206" i="18" s="1"/>
  <c r="R207" i="18"/>
  <c r="R211" i="18"/>
  <c r="S213" i="18"/>
  <c r="S195" i="18"/>
  <c r="C194" i="18"/>
  <c r="S194" i="18" s="1"/>
  <c r="S208" i="18"/>
  <c r="S235" i="18"/>
  <c r="S236" i="18"/>
  <c r="K180" i="18"/>
  <c r="K181" i="18"/>
  <c r="O180" i="18"/>
  <c r="O181" i="18"/>
  <c r="S187" i="18"/>
  <c r="C186" i="18"/>
  <c r="S186" i="18" s="1"/>
  <c r="S200" i="18"/>
  <c r="C199" i="18"/>
  <c r="B202" i="18"/>
  <c r="R203" i="18"/>
  <c r="F181" i="18"/>
  <c r="R204" i="18"/>
  <c r="W204" i="18" s="1"/>
  <c r="S207" i="18"/>
  <c r="S206" i="18" s="1"/>
  <c r="R209" i="18"/>
  <c r="W209" i="18" s="1"/>
  <c r="R236" i="18"/>
  <c r="B235" i="18"/>
  <c r="R235" i="18" s="1"/>
  <c r="R212" i="18"/>
  <c r="R237" i="18"/>
  <c r="R164" i="18"/>
  <c r="AQ76" i="3" l="1"/>
  <c r="BC76" i="3"/>
  <c r="BD76" i="3" s="1"/>
  <c r="AR76" i="3"/>
  <c r="AL101" i="3"/>
  <c r="AQ101" i="3"/>
  <c r="AQ110" i="3"/>
  <c r="AL110" i="3"/>
  <c r="AP91" i="3"/>
  <c r="BC91" i="3" s="1"/>
  <c r="AQ93" i="3"/>
  <c r="AQ95" i="3"/>
  <c r="AL95" i="3"/>
  <c r="AG91" i="3"/>
  <c r="R140" i="18"/>
  <c r="G49" i="18"/>
  <c r="D94" i="18"/>
  <c r="D93" i="18" s="1"/>
  <c r="U13" i="18"/>
  <c r="R26" i="18"/>
  <c r="R148" i="18"/>
  <c r="AG109" i="3" s="1"/>
  <c r="B93" i="18"/>
  <c r="R39" i="18"/>
  <c r="R13" i="18"/>
  <c r="U191" i="18"/>
  <c r="E190" i="18"/>
  <c r="U190" i="18" s="1"/>
  <c r="S112" i="18"/>
  <c r="C111" i="18"/>
  <c r="S111" i="18" s="1"/>
  <c r="AK93" i="3" s="1"/>
  <c r="F49" i="18"/>
  <c r="F247" i="18" s="1"/>
  <c r="M50" i="18"/>
  <c r="AG70" i="3"/>
  <c r="W95" i="18"/>
  <c r="R127" i="18"/>
  <c r="AG69" i="3"/>
  <c r="T212" i="18"/>
  <c r="D211" i="18"/>
  <c r="U203" i="18"/>
  <c r="E202" i="18"/>
  <c r="U202" i="18" s="1"/>
  <c r="S169" i="18"/>
  <c r="C168" i="18"/>
  <c r="S86" i="18"/>
  <c r="C85" i="18"/>
  <c r="T191" i="18"/>
  <c r="D190" i="18"/>
  <c r="T190" i="18" s="1"/>
  <c r="S163" i="18"/>
  <c r="C162" i="18"/>
  <c r="S162" i="18" s="1"/>
  <c r="S141" i="18"/>
  <c r="C140" i="18"/>
  <c r="W81" i="18"/>
  <c r="R86" i="18"/>
  <c r="W86" i="18" s="1"/>
  <c r="B85" i="18"/>
  <c r="U69" i="18"/>
  <c r="E68" i="18"/>
  <c r="U68" i="18" s="1"/>
  <c r="S173" i="18"/>
  <c r="C172" i="18"/>
  <c r="S172" i="18" s="1"/>
  <c r="T61" i="18"/>
  <c r="D60" i="18"/>
  <c r="T60" i="18" s="1"/>
  <c r="R12" i="18"/>
  <c r="R9" i="18" s="1"/>
  <c r="B9" i="18"/>
  <c r="B4" i="18" s="1"/>
  <c r="R4" i="18" s="1"/>
  <c r="U12" i="18"/>
  <c r="U9" i="18" s="1"/>
  <c r="E9" i="18"/>
  <c r="E4" i="18" s="1"/>
  <c r="U4" i="18" s="1"/>
  <c r="W99" i="18"/>
  <c r="AG75" i="3"/>
  <c r="AG72" i="3" s="1"/>
  <c r="S149" i="18"/>
  <c r="O148" i="18"/>
  <c r="U82" i="18"/>
  <c r="E81" i="18"/>
  <c r="U81" i="18" s="1"/>
  <c r="U199" i="18"/>
  <c r="E198" i="18"/>
  <c r="U198" i="18" s="1"/>
  <c r="S203" i="18"/>
  <c r="C202" i="18"/>
  <c r="S202" i="18" s="1"/>
  <c r="T95" i="18"/>
  <c r="S73" i="18"/>
  <c r="C72" i="18"/>
  <c r="S72" i="18" s="1"/>
  <c r="D9" i="18"/>
  <c r="D4" i="18" s="1"/>
  <c r="S145" i="18"/>
  <c r="C144" i="18"/>
  <c r="S144" i="18" s="1"/>
  <c r="S96" i="18"/>
  <c r="C95" i="18"/>
  <c r="S95" i="18" s="1"/>
  <c r="R57" i="18"/>
  <c r="W57" i="18" s="1"/>
  <c r="B56" i="18"/>
  <c r="R56" i="18" s="1"/>
  <c r="V56" i="18" s="1"/>
  <c r="S90" i="18"/>
  <c r="C89" i="18"/>
  <c r="S89" i="18" s="1"/>
  <c r="X99" i="18"/>
  <c r="AK75" i="3"/>
  <c r="BA75" i="3" s="1"/>
  <c r="BB75" i="3" s="1"/>
  <c r="U182" i="18"/>
  <c r="U181" i="18" s="1"/>
  <c r="E181" i="18"/>
  <c r="U212" i="18"/>
  <c r="E211" i="18"/>
  <c r="U211" i="18" s="1"/>
  <c r="D56" i="18"/>
  <c r="T56" i="18" s="1"/>
  <c r="T57" i="18"/>
  <c r="I49" i="18"/>
  <c r="I247" i="18" s="1"/>
  <c r="U208" i="18"/>
  <c r="E207" i="18"/>
  <c r="U236" i="18"/>
  <c r="E235" i="18"/>
  <c r="U235" i="18" s="1"/>
  <c r="U124" i="18"/>
  <c r="Q123" i="18"/>
  <c r="S159" i="18"/>
  <c r="C158" i="18"/>
  <c r="Y99" i="18"/>
  <c r="AP75" i="3"/>
  <c r="BC75" i="3" s="1"/>
  <c r="BD75" i="3" s="1"/>
  <c r="AK14" i="3"/>
  <c r="BA14" i="3" s="1"/>
  <c r="BB14" i="3" s="1"/>
  <c r="AK16" i="3"/>
  <c r="BA16" i="3" s="1"/>
  <c r="BB16" i="3" s="1"/>
  <c r="X52" i="18"/>
  <c r="W111" i="18"/>
  <c r="U73" i="18"/>
  <c r="E72" i="18"/>
  <c r="U72" i="18" s="1"/>
  <c r="AK25" i="3"/>
  <c r="BA25" i="3" s="1"/>
  <c r="BB25" i="3" s="1"/>
  <c r="AK26" i="3"/>
  <c r="BA26" i="3" s="1"/>
  <c r="BB26" i="3" s="1"/>
  <c r="AK23" i="3"/>
  <c r="BA23" i="3" s="1"/>
  <c r="BB23" i="3" s="1"/>
  <c r="AK22" i="3"/>
  <c r="BA22" i="3" s="1"/>
  <c r="BB22" i="3" s="1"/>
  <c r="AK27" i="3"/>
  <c r="BA27" i="3" s="1"/>
  <c r="BB27" i="3" s="1"/>
  <c r="U112" i="18"/>
  <c r="E111" i="18"/>
  <c r="U111" i="18" s="1"/>
  <c r="T128" i="18"/>
  <c r="P127" i="18"/>
  <c r="K49" i="18"/>
  <c r="K247" i="18" s="1"/>
  <c r="T12" i="18"/>
  <c r="T9" i="18" s="1"/>
  <c r="H50" i="18"/>
  <c r="H49" i="18"/>
  <c r="G9" i="18"/>
  <c r="G4" i="18" s="1"/>
  <c r="S12" i="18"/>
  <c r="S9" i="18" s="1"/>
  <c r="D80" i="18"/>
  <c r="T81" i="18"/>
  <c r="T80" i="18" s="1"/>
  <c r="T168" i="18"/>
  <c r="P148" i="18"/>
  <c r="T149" i="18"/>
  <c r="H247" i="18"/>
  <c r="S103" i="18"/>
  <c r="T139" i="18"/>
  <c r="D172" i="18"/>
  <c r="T172" i="18" s="1"/>
  <c r="T173" i="18"/>
  <c r="U145" i="18"/>
  <c r="E144" i="18"/>
  <c r="U144" i="18" s="1"/>
  <c r="E99" i="18"/>
  <c r="U99" i="18" s="1"/>
  <c r="Z99" i="18" s="1"/>
  <c r="U100" i="18"/>
  <c r="R153" i="18"/>
  <c r="R152" i="18" s="1"/>
  <c r="R94" i="18"/>
  <c r="B153" i="18"/>
  <c r="B152" i="18" s="1"/>
  <c r="R100" i="18"/>
  <c r="T13" i="18"/>
  <c r="S191" i="18"/>
  <c r="C190" i="18"/>
  <c r="S190" i="18" s="1"/>
  <c r="W140" i="18"/>
  <c r="R139" i="18"/>
  <c r="B168" i="18"/>
  <c r="R169" i="18"/>
  <c r="W169" i="18" s="1"/>
  <c r="E139" i="18"/>
  <c r="U140" i="18"/>
  <c r="C56" i="18"/>
  <c r="S57" i="18"/>
  <c r="J94" i="18"/>
  <c r="J49" i="18" s="1"/>
  <c r="J247" i="18" s="1"/>
  <c r="D52" i="18"/>
  <c r="T53" i="18"/>
  <c r="E158" i="18"/>
  <c r="U159" i="18"/>
  <c r="U95" i="18"/>
  <c r="Z95" i="18" s="1"/>
  <c r="M49" i="18"/>
  <c r="M247" i="18" s="1"/>
  <c r="L50" i="18"/>
  <c r="L49" i="18"/>
  <c r="L247" i="18" s="1"/>
  <c r="S183" i="18"/>
  <c r="C182" i="18"/>
  <c r="V99" i="18"/>
  <c r="U168" i="18"/>
  <c r="T4" i="18"/>
  <c r="E52" i="18"/>
  <c r="U53" i="18"/>
  <c r="W52" i="18"/>
  <c r="D154" i="18"/>
  <c r="T155" i="18"/>
  <c r="R202" i="18"/>
  <c r="B181" i="18"/>
  <c r="B180" i="18" s="1"/>
  <c r="R206" i="18"/>
  <c r="S199" i="18"/>
  <c r="C198" i="18"/>
  <c r="S198" i="18" s="1"/>
  <c r="U177" i="18"/>
  <c r="E176" i="18"/>
  <c r="U176" i="18" s="1"/>
  <c r="O127" i="18"/>
  <c r="O94" i="18" s="1"/>
  <c r="S128" i="18"/>
  <c r="U86" i="18"/>
  <c r="E85" i="18"/>
  <c r="T199" i="18"/>
  <c r="D198" i="18"/>
  <c r="T198" i="18" s="1"/>
  <c r="T181" i="18" s="1"/>
  <c r="E162" i="18"/>
  <c r="U162" i="18" s="1"/>
  <c r="U163" i="18"/>
  <c r="S108" i="18"/>
  <c r="C107" i="18"/>
  <c r="S107" i="18" s="1"/>
  <c r="S94" i="18" s="1"/>
  <c r="B60" i="18"/>
  <c r="R61" i="18"/>
  <c r="W61" i="18" s="1"/>
  <c r="N94" i="18"/>
  <c r="P50" i="18"/>
  <c r="AR93" i="3" l="1"/>
  <c r="BA93" i="3"/>
  <c r="BB93" i="3" s="1"/>
  <c r="AL27" i="3"/>
  <c r="AL25" i="3"/>
  <c r="AR75" i="3"/>
  <c r="AL16" i="3"/>
  <c r="AL23" i="3"/>
  <c r="AL26" i="3"/>
  <c r="AG67" i="3"/>
  <c r="AG66" i="3" s="1"/>
  <c r="AP72" i="3"/>
  <c r="AQ75" i="3"/>
  <c r="AL75" i="3"/>
  <c r="AK72" i="3"/>
  <c r="BA72" i="3" s="1"/>
  <c r="AQ109" i="3"/>
  <c r="AL109" i="3"/>
  <c r="AG108" i="3"/>
  <c r="AL22" i="3"/>
  <c r="AK21" i="3"/>
  <c r="BA21" i="3" s="1"/>
  <c r="AL93" i="3"/>
  <c r="AK91" i="3"/>
  <c r="BA91" i="3" s="1"/>
  <c r="AL14" i="3"/>
  <c r="AK9" i="3"/>
  <c r="BA9" i="3" s="1"/>
  <c r="AQ91" i="3"/>
  <c r="U139" i="18"/>
  <c r="Z140" i="18"/>
  <c r="X111" i="18"/>
  <c r="D167" i="18"/>
  <c r="D166" i="18" s="1"/>
  <c r="S148" i="18"/>
  <c r="O139" i="18"/>
  <c r="O49" i="18" s="1"/>
  <c r="O247" i="18" s="1"/>
  <c r="S158" i="18"/>
  <c r="S153" i="18" s="1"/>
  <c r="S152" i="18" s="1"/>
  <c r="C153" i="18"/>
  <c r="C152" i="18" s="1"/>
  <c r="AP70" i="3"/>
  <c r="R85" i="18"/>
  <c r="R80" i="18" s="1"/>
  <c r="B80" i="18"/>
  <c r="S85" i="18"/>
  <c r="S80" i="18" s="1"/>
  <c r="C80" i="18"/>
  <c r="E94" i="18"/>
  <c r="E93" i="18" s="1"/>
  <c r="AK70" i="3"/>
  <c r="BA70" i="3" s="1"/>
  <c r="BB70" i="3" s="1"/>
  <c r="T94" i="18"/>
  <c r="T93" i="18" s="1"/>
  <c r="AP25" i="3"/>
  <c r="AP23" i="3"/>
  <c r="AP27" i="3"/>
  <c r="AP22" i="3"/>
  <c r="AP26" i="3"/>
  <c r="W248" i="18"/>
  <c r="U94" i="18"/>
  <c r="U93" i="18" s="1"/>
  <c r="U123" i="18"/>
  <c r="Z111" i="18" s="1"/>
  <c r="Q94" i="18"/>
  <c r="Q49" i="18" s="1"/>
  <c r="Q247" i="18" s="1"/>
  <c r="E206" i="18"/>
  <c r="E180" i="18" s="1"/>
  <c r="U207" i="18"/>
  <c r="U206" i="18" s="1"/>
  <c r="U180" i="18" s="1"/>
  <c r="S140" i="18"/>
  <c r="C139" i="18"/>
  <c r="S168" i="18"/>
  <c r="S167" i="18" s="1"/>
  <c r="S166" i="18" s="1"/>
  <c r="C167" i="18"/>
  <c r="C166" i="18" s="1"/>
  <c r="T211" i="18"/>
  <c r="T206" i="18" s="1"/>
  <c r="T180" i="18" s="1"/>
  <c r="D206" i="18"/>
  <c r="R60" i="18"/>
  <c r="B51" i="18"/>
  <c r="E80" i="18"/>
  <c r="U85" i="18"/>
  <c r="U80" i="18" s="1"/>
  <c r="S56" i="18"/>
  <c r="S51" i="18" s="1"/>
  <c r="S50" i="18" s="1"/>
  <c r="C51" i="18"/>
  <c r="D181" i="18"/>
  <c r="D180" i="18" s="1"/>
  <c r="T52" i="18"/>
  <c r="D51" i="18"/>
  <c r="T127" i="18"/>
  <c r="AP69" i="3" s="1"/>
  <c r="BC69" i="3" s="1"/>
  <c r="BD69" i="3" s="1"/>
  <c r="P94" i="18"/>
  <c r="T154" i="18"/>
  <c r="T153" i="18" s="1"/>
  <c r="T152" i="18" s="1"/>
  <c r="D153" i="18"/>
  <c r="D152" i="18" s="1"/>
  <c r="E51" i="18"/>
  <c r="U52" i="18"/>
  <c r="R181" i="18"/>
  <c r="R180" i="18" s="1"/>
  <c r="V202" i="18"/>
  <c r="U167" i="18"/>
  <c r="U166" i="18" s="1"/>
  <c r="S182" i="18"/>
  <c r="S181" i="18" s="1"/>
  <c r="S180" i="18" s="1"/>
  <c r="C181" i="18"/>
  <c r="C180" i="18" s="1"/>
  <c r="R93" i="18"/>
  <c r="T148" i="18"/>
  <c r="Y140" i="18" s="1"/>
  <c r="P139" i="18"/>
  <c r="N93" i="18"/>
  <c r="N49" i="18"/>
  <c r="N247" i="18" s="1"/>
  <c r="R168" i="18"/>
  <c r="R167" i="18" s="1"/>
  <c r="R166" i="18" s="1"/>
  <c r="B167" i="18"/>
  <c r="B166" i="18" s="1"/>
  <c r="G247" i="18"/>
  <c r="S4" i="18"/>
  <c r="S127" i="18"/>
  <c r="AK69" i="3" s="1"/>
  <c r="E167" i="18"/>
  <c r="E166" i="18" s="1"/>
  <c r="U158" i="18"/>
  <c r="U153" i="18" s="1"/>
  <c r="U152" i="18" s="1"/>
  <c r="E153" i="18"/>
  <c r="E152" i="18" s="1"/>
  <c r="C94" i="18"/>
  <c r="C93" i="18" s="1"/>
  <c r="T167" i="18"/>
  <c r="T166" i="18" s="1"/>
  <c r="AQ26" i="3" l="1"/>
  <c r="BC26" i="3"/>
  <c r="BD26" i="3" s="1"/>
  <c r="AQ25" i="3"/>
  <c r="BC25" i="3"/>
  <c r="BD25" i="3" s="1"/>
  <c r="AQ70" i="3"/>
  <c r="BC70" i="3"/>
  <c r="BD70" i="3" s="1"/>
  <c r="AR22" i="3"/>
  <c r="BC22" i="3"/>
  <c r="BD22" i="3" s="1"/>
  <c r="AQ72" i="3"/>
  <c r="BC72" i="3"/>
  <c r="AQ27" i="3"/>
  <c r="BC27" i="3"/>
  <c r="BD27" i="3" s="1"/>
  <c r="AQ23" i="3"/>
  <c r="BC23" i="3"/>
  <c r="BD23" i="3" s="1"/>
  <c r="AR69" i="3"/>
  <c r="BA69" i="3"/>
  <c r="BB69" i="3" s="1"/>
  <c r="AR25" i="3"/>
  <c r="AL70" i="3"/>
  <c r="AR70" i="3"/>
  <c r="AL21" i="3"/>
  <c r="AL72" i="3"/>
  <c r="AR72" i="3"/>
  <c r="AR23" i="3"/>
  <c r="AR27" i="3"/>
  <c r="AL91" i="3"/>
  <c r="AR91" i="3"/>
  <c r="AR26" i="3"/>
  <c r="AP67" i="3"/>
  <c r="BC67" i="3" s="1"/>
  <c r="AQ69" i="3"/>
  <c r="AQ108" i="3"/>
  <c r="AL108" i="3"/>
  <c r="AL69" i="3"/>
  <c r="AK67" i="3"/>
  <c r="BA67" i="3" s="1"/>
  <c r="AP21" i="3"/>
  <c r="AQ22" i="3"/>
  <c r="AL9" i="3"/>
  <c r="AK8" i="3"/>
  <c r="AG107" i="3"/>
  <c r="AQ107" i="3" s="1"/>
  <c r="T51" i="18"/>
  <c r="T50" i="18" s="1"/>
  <c r="AP16" i="3"/>
  <c r="BC16" i="3" s="1"/>
  <c r="BD16" i="3" s="1"/>
  <c r="AP14" i="3"/>
  <c r="Y52" i="18"/>
  <c r="X140" i="18"/>
  <c r="X145" i="18" s="1"/>
  <c r="S139" i="18"/>
  <c r="S93" i="18" s="1"/>
  <c r="Y95" i="18"/>
  <c r="U51" i="18"/>
  <c r="Z52" i="18"/>
  <c r="P49" i="18"/>
  <c r="P247" i="18" s="1"/>
  <c r="X95" i="18"/>
  <c r="E49" i="18"/>
  <c r="E50" i="18"/>
  <c r="D50" i="18"/>
  <c r="D49" i="18"/>
  <c r="C50" i="18"/>
  <c r="C49" i="18"/>
  <c r="B50" i="18"/>
  <c r="B49" i="18"/>
  <c r="U50" i="18"/>
  <c r="V60" i="18"/>
  <c r="R51" i="18"/>
  <c r="R50" i="18" s="1"/>
  <c r="BC66" i="3" l="1"/>
  <c r="AQ21" i="3"/>
  <c r="BC21" i="3"/>
  <c r="AR14" i="3"/>
  <c r="BC14" i="3"/>
  <c r="BD14" i="3" s="1"/>
  <c r="BA66" i="3"/>
  <c r="BA65" i="3" s="1"/>
  <c r="AR67" i="3"/>
  <c r="AQ16" i="3"/>
  <c r="AR16" i="3"/>
  <c r="AR21" i="3"/>
  <c r="AL8" i="3"/>
  <c r="AK7" i="3"/>
  <c r="AL67" i="3"/>
  <c r="AK66" i="3"/>
  <c r="AP9" i="3"/>
  <c r="AQ14" i="3"/>
  <c r="AQ67" i="3"/>
  <c r="AP66" i="3"/>
  <c r="AG65" i="3"/>
  <c r="AG223" i="3" s="1"/>
  <c r="AL107" i="3"/>
  <c r="S49" i="18"/>
  <c r="S247" i="18" s="1"/>
  <c r="C247" i="18"/>
  <c r="R49" i="18"/>
  <c r="R247" i="18" s="1"/>
  <c r="R248" i="18" s="1"/>
  <c r="B247" i="18"/>
  <c r="T49" i="18"/>
  <c r="T247" i="18" s="1"/>
  <c r="D247" i="18"/>
  <c r="U49" i="18"/>
  <c r="U247" i="18" s="1"/>
  <c r="E247" i="18"/>
  <c r="AR9" i="3" l="1"/>
  <c r="BC9" i="3"/>
  <c r="BC65" i="3"/>
  <c r="AL7" i="3"/>
  <c r="AR66" i="3"/>
  <c r="AP65" i="3"/>
  <c r="AQ65" i="3" s="1"/>
  <c r="AQ66" i="3"/>
  <c r="AL66" i="3"/>
  <c r="AK65" i="3"/>
  <c r="AQ9" i="3"/>
  <c r="AP8" i="3"/>
  <c r="AR8" i="3" s="1"/>
  <c r="K180" i="3"/>
  <c r="AL65" i="3" l="1"/>
  <c r="AR65" i="3"/>
  <c r="AQ8" i="3"/>
  <c r="AP7" i="3"/>
  <c r="AR7" i="3" s="1"/>
  <c r="AR223" i="3" s="1"/>
  <c r="Z180" i="3"/>
  <c r="AA180" i="3" s="1"/>
  <c r="R180" i="3"/>
  <c r="R174" i="3" s="1"/>
  <c r="R159" i="3" s="1"/>
  <c r="R158" i="3" s="1"/>
  <c r="C47" i="4"/>
  <c r="AP223" i="3" l="1"/>
  <c r="AQ223" i="3" s="1"/>
  <c r="AQ7" i="3"/>
  <c r="C17" i="4"/>
  <c r="C23" i="4"/>
  <c r="C40" i="4"/>
  <c r="C5" i="4" l="1"/>
  <c r="C24" i="4"/>
  <c r="C26" i="4"/>
  <c r="C60" i="4"/>
  <c r="C54" i="4"/>
  <c r="C19" i="4"/>
  <c r="C58" i="4"/>
  <c r="C45" i="4"/>
  <c r="C38" i="4"/>
  <c r="C16" i="4"/>
  <c r="C63" i="4"/>
  <c r="C52" i="4"/>
  <c r="C56" i="4"/>
  <c r="C51" i="4"/>
  <c r="C32" i="4"/>
  <c r="C30" i="4"/>
  <c r="C11" i="4"/>
  <c r="C9" i="4"/>
  <c r="C44" i="4"/>
  <c r="C28" i="4"/>
  <c r="C13" i="4"/>
  <c r="C4" i="4"/>
  <c r="C7" i="4" l="1"/>
  <c r="R8" i="3"/>
  <c r="C15" i="4"/>
  <c r="C39" i="4"/>
  <c r="C62" i="4"/>
  <c r="C64" i="4"/>
  <c r="C34" i="4"/>
  <c r="C35" i="4"/>
  <c r="C50" i="4"/>
  <c r="R7" i="3" l="1"/>
  <c r="R223" i="3" s="1"/>
  <c r="C21" i="4"/>
  <c r="C22" i="4"/>
  <c r="C3" i="4"/>
  <c r="C42" i="4"/>
  <c r="C43" i="4"/>
  <c r="C36" i="4"/>
  <c r="C37" i="4"/>
  <c r="C2" i="4" l="1"/>
  <c r="I226" i="11"/>
  <c r="M226" i="11"/>
  <c r="Q226" i="11"/>
  <c r="AU72" i="3" l="1"/>
  <c r="AM210" i="3" l="1"/>
  <c r="AM159" i="3"/>
  <c r="AM140" i="3"/>
  <c r="AM139" i="3" s="1"/>
  <c r="AM136" i="3"/>
  <c r="AM107" i="3"/>
  <c r="AM66" i="3"/>
  <c r="AM56" i="3"/>
  <c r="AM29" i="3"/>
  <c r="AU218" i="3"/>
  <c r="AU211" i="3"/>
  <c r="AU205" i="3"/>
  <c r="AU201" i="3"/>
  <c r="AU193" i="3"/>
  <c r="AU185" i="3"/>
  <c r="AU174" i="3"/>
  <c r="AU160" i="3"/>
  <c r="AU154" i="3"/>
  <c r="AU147" i="3"/>
  <c r="AU141" i="3"/>
  <c r="AU136" i="3"/>
  <c r="AU131" i="3"/>
  <c r="AU126" i="3"/>
  <c r="AU108" i="3"/>
  <c r="AU103" i="3"/>
  <c r="AU91" i="3"/>
  <c r="AU86" i="3"/>
  <c r="AU77" i="3"/>
  <c r="AU67" i="3"/>
  <c r="AU60" i="3"/>
  <c r="AU56" i="3"/>
  <c r="AU52" i="3"/>
  <c r="AU41" i="3"/>
  <c r="AU35" i="3"/>
  <c r="AU29" i="3"/>
  <c r="AU21" i="3"/>
  <c r="AU17" i="3"/>
  <c r="AU9" i="3"/>
  <c r="AW10" i="3"/>
  <c r="AY10" i="3" s="1"/>
  <c r="AW221" i="3"/>
  <c r="AY221" i="3" s="1"/>
  <c r="AN210" i="3"/>
  <c r="AN159" i="3"/>
  <c r="AN140" i="3"/>
  <c r="AN139" i="3" s="1"/>
  <c r="AN125" i="3"/>
  <c r="AN124" i="3" s="1"/>
  <c r="AN107" i="3"/>
  <c r="AN66" i="3"/>
  <c r="AN51" i="3"/>
  <c r="AN7" i="3" s="1"/>
  <c r="AM8" i="3" l="1"/>
  <c r="BC29" i="3"/>
  <c r="AM125" i="3"/>
  <c r="AM124" i="3" s="1"/>
  <c r="BC136" i="3"/>
  <c r="AM51" i="3"/>
  <c r="BC56" i="3"/>
  <c r="AM7" i="3"/>
  <c r="AM158" i="3"/>
  <c r="AM65" i="3"/>
  <c r="AU8" i="3"/>
  <c r="AN158" i="3"/>
  <c r="AN65" i="3"/>
  <c r="BC125" i="3" l="1"/>
  <c r="BC51" i="3"/>
  <c r="BC8" i="3"/>
  <c r="AM223" i="3"/>
  <c r="AN223" i="3"/>
  <c r="AI223" i="3"/>
  <c r="BC7" i="3" l="1"/>
  <c r="BC124" i="3"/>
  <c r="Y72" i="3"/>
  <c r="Z72" i="3"/>
  <c r="AA72" i="3"/>
  <c r="BC223" i="3" l="1"/>
  <c r="AA9" i="3"/>
  <c r="AU210" i="3" l="1"/>
  <c r="AV210" i="3"/>
  <c r="AV159" i="3"/>
  <c r="AU159" i="3"/>
  <c r="AV140" i="3"/>
  <c r="AU140" i="3"/>
  <c r="AU139" i="3" s="1"/>
  <c r="AU125" i="3"/>
  <c r="AU124" i="3" s="1"/>
  <c r="AV51" i="3"/>
  <c r="AU51" i="3"/>
  <c r="AV66" i="3"/>
  <c r="AU66" i="3"/>
  <c r="AV107" i="3"/>
  <c r="AU107" i="3"/>
  <c r="AV8" i="3"/>
  <c r="AW43" i="3"/>
  <c r="AY43" i="3" s="1"/>
  <c r="AV139" i="3" l="1"/>
  <c r="AU158" i="3"/>
  <c r="AV158" i="3"/>
  <c r="AU65" i="3"/>
  <c r="BD91" i="3" l="1"/>
  <c r="BB91" i="3"/>
  <c r="O66" i="3"/>
  <c r="O65" i="3" s="1"/>
  <c r="O8" i="3"/>
  <c r="O7" i="3" s="1"/>
  <c r="O139" i="3"/>
  <c r="BD52" i="3" l="1"/>
  <c r="BB52" i="3"/>
  <c r="BD35" i="3"/>
  <c r="BB35" i="3"/>
  <c r="O223" i="3"/>
  <c r="U226" i="11" l="1"/>
  <c r="AD11" i="11" l="1"/>
  <c r="AD37" i="11"/>
  <c r="AD4" i="11"/>
  <c r="AD47" i="11" l="1"/>
  <c r="AU7" i="3" l="1"/>
  <c r="AV125" i="3"/>
  <c r="AV124" i="3" l="1"/>
  <c r="AV7" i="3"/>
  <c r="AU223" i="3" l="1"/>
  <c r="AU229" i="3" s="1"/>
  <c r="AV223" i="3"/>
  <c r="Z117" i="11" l="1"/>
  <c r="Y117" i="11"/>
  <c r="AC158" i="11"/>
  <c r="D168" i="14" l="1"/>
  <c r="D147" i="14"/>
  <c r="D126" i="14" l="1"/>
  <c r="D42" i="14"/>
  <c r="D62" i="14"/>
  <c r="D83" i="14"/>
  <c r="D105" i="14"/>
  <c r="H45" i="14"/>
  <c r="Y167" i="11" l="1"/>
  <c r="Z167" i="11"/>
  <c r="AA167" i="11"/>
  <c r="AB167" i="11"/>
  <c r="Y125" i="11"/>
  <c r="Z125" i="11"/>
  <c r="AA125" i="11"/>
  <c r="AB125" i="11"/>
  <c r="Y108" i="11"/>
  <c r="Z108" i="11"/>
  <c r="AA108" i="11"/>
  <c r="AB108" i="11"/>
  <c r="Y100" i="11"/>
  <c r="Z100" i="11"/>
  <c r="AA100" i="11"/>
  <c r="AB100" i="11"/>
  <c r="Y96" i="11"/>
  <c r="Z96" i="11"/>
  <c r="AA96" i="11"/>
  <c r="AB96" i="11"/>
  <c r="Y92" i="11"/>
  <c r="Z92" i="11"/>
  <c r="AA92" i="11"/>
  <c r="AB92" i="11"/>
  <c r="Y86" i="11"/>
  <c r="Z86" i="11"/>
  <c r="AA86" i="11"/>
  <c r="AB86" i="11"/>
  <c r="Y78" i="11"/>
  <c r="Z78" i="11"/>
  <c r="AA78" i="11"/>
  <c r="AB78" i="11"/>
  <c r="V222" i="11" l="1"/>
  <c r="V221" i="11" s="1"/>
  <c r="U222" i="11"/>
  <c r="U221" i="11" s="1"/>
  <c r="T223" i="11"/>
  <c r="T222" i="11" s="1"/>
  <c r="T221" i="11" s="1"/>
  <c r="S223" i="11"/>
  <c r="S222" i="11" s="1"/>
  <c r="S221" i="11" s="1"/>
  <c r="R223" i="11"/>
  <c r="R222" i="11" s="1"/>
  <c r="R221" i="11" s="1"/>
  <c r="Q223" i="11"/>
  <c r="Q222" i="11" s="1"/>
  <c r="Q221" i="11" s="1"/>
  <c r="P223" i="11"/>
  <c r="P222" i="11" s="1"/>
  <c r="P221" i="11" s="1"/>
  <c r="O223" i="11"/>
  <c r="O222" i="11" s="1"/>
  <c r="O221" i="11" s="1"/>
  <c r="N223" i="11"/>
  <c r="N222" i="11" s="1"/>
  <c r="N221" i="11" s="1"/>
  <c r="M223" i="11"/>
  <c r="M222" i="11" s="1"/>
  <c r="M221" i="11" s="1"/>
  <c r="L223" i="11"/>
  <c r="L222" i="11" s="1"/>
  <c r="L221" i="11" s="1"/>
  <c r="K223" i="11"/>
  <c r="J223" i="11"/>
  <c r="J222" i="11" s="1"/>
  <c r="I223" i="11"/>
  <c r="I222" i="11" s="1"/>
  <c r="X222" i="11"/>
  <c r="X221" i="11" s="1"/>
  <c r="W222" i="11"/>
  <c r="W221" i="11" s="1"/>
  <c r="T219" i="11"/>
  <c r="S219" i="11"/>
  <c r="R219" i="11"/>
  <c r="Q219" i="11"/>
  <c r="P219" i="11"/>
  <c r="O219" i="11"/>
  <c r="N219" i="11"/>
  <c r="M219" i="11"/>
  <c r="L219" i="11"/>
  <c r="K219" i="11"/>
  <c r="J219" i="11"/>
  <c r="I219" i="11"/>
  <c r="T218" i="11"/>
  <c r="T217" i="11" s="1"/>
  <c r="S218" i="11"/>
  <c r="S217" i="11" s="1"/>
  <c r="R218" i="11"/>
  <c r="R217" i="11" s="1"/>
  <c r="Q218" i="11"/>
  <c r="Q217" i="11" s="1"/>
  <c r="P218" i="11"/>
  <c r="P217" i="11" s="1"/>
  <c r="O218" i="11"/>
  <c r="O217" i="11" s="1"/>
  <c r="N218" i="11"/>
  <c r="N217" i="11" s="1"/>
  <c r="M218" i="11"/>
  <c r="M217" i="11" s="1"/>
  <c r="L218" i="11"/>
  <c r="K218" i="11"/>
  <c r="J218" i="11"/>
  <c r="J217" i="11" s="1"/>
  <c r="I218" i="11"/>
  <c r="I217" i="11" s="1"/>
  <c r="AB216" i="11"/>
  <c r="AA216" i="11"/>
  <c r="Z216" i="11"/>
  <c r="Y216" i="11"/>
  <c r="X215" i="11"/>
  <c r="W215" i="11"/>
  <c r="V215" i="11"/>
  <c r="V214" i="11" s="1"/>
  <c r="U215" i="11"/>
  <c r="U214" i="11" s="1"/>
  <c r="U213" i="11" s="1"/>
  <c r="T215" i="11"/>
  <c r="T214" i="11" s="1"/>
  <c r="T213" i="11" s="1"/>
  <c r="S215" i="11"/>
  <c r="S214" i="11" s="1"/>
  <c r="S213" i="11" s="1"/>
  <c r="R215" i="11"/>
  <c r="Q215" i="11"/>
  <c r="Q214" i="11" s="1"/>
  <c r="Q213" i="11" s="1"/>
  <c r="P215" i="11"/>
  <c r="P214" i="11" s="1"/>
  <c r="P213" i="11" s="1"/>
  <c r="O215" i="11"/>
  <c r="O214" i="11" s="1"/>
  <c r="O213" i="11" s="1"/>
  <c r="N215" i="11"/>
  <c r="M215" i="11"/>
  <c r="M214" i="11" s="1"/>
  <c r="M213" i="11" s="1"/>
  <c r="L215" i="11"/>
  <c r="AB215" i="11" s="1"/>
  <c r="K215" i="11"/>
  <c r="J215" i="11"/>
  <c r="J214" i="11" s="1"/>
  <c r="J213" i="11" s="1"/>
  <c r="I215" i="11"/>
  <c r="Y215" i="11" s="1"/>
  <c r="X214" i="11"/>
  <c r="X213" i="11" s="1"/>
  <c r="W214" i="11"/>
  <c r="W213" i="11" s="1"/>
  <c r="V213" i="11"/>
  <c r="T211" i="11"/>
  <c r="S211" i="11"/>
  <c r="R211" i="11"/>
  <c r="Q211" i="11"/>
  <c r="P211" i="11"/>
  <c r="O211" i="11"/>
  <c r="N211" i="11"/>
  <c r="M211" i="11"/>
  <c r="L211" i="11"/>
  <c r="K211" i="11"/>
  <c r="J211" i="11"/>
  <c r="I211" i="11"/>
  <c r="T210" i="11"/>
  <c r="T209" i="11" s="1"/>
  <c r="S210" i="11"/>
  <c r="S209" i="11" s="1"/>
  <c r="R210" i="11"/>
  <c r="R209" i="11" s="1"/>
  <c r="Q210" i="11"/>
  <c r="Q209" i="11" s="1"/>
  <c r="P210" i="11"/>
  <c r="P209" i="11" s="1"/>
  <c r="O210" i="11"/>
  <c r="O209" i="11" s="1"/>
  <c r="N210" i="11"/>
  <c r="N209" i="11" s="1"/>
  <c r="M210" i="11"/>
  <c r="M209" i="11" s="1"/>
  <c r="L210" i="11"/>
  <c r="K210" i="11"/>
  <c r="J210" i="11"/>
  <c r="J209" i="11" s="1"/>
  <c r="I210" i="11"/>
  <c r="I209" i="11" s="1"/>
  <c r="T207" i="11"/>
  <c r="T206" i="11" s="1"/>
  <c r="T205" i="11" s="1"/>
  <c r="S207" i="11"/>
  <c r="S206" i="11" s="1"/>
  <c r="S205" i="11" s="1"/>
  <c r="R207" i="11"/>
  <c r="R206" i="11" s="1"/>
  <c r="R205" i="11" s="1"/>
  <c r="Q207" i="11"/>
  <c r="Q206" i="11" s="1"/>
  <c r="Q205" i="11" s="1"/>
  <c r="P207" i="11"/>
  <c r="P206" i="11" s="1"/>
  <c r="P205" i="11" s="1"/>
  <c r="O207" i="11"/>
  <c r="O206" i="11" s="1"/>
  <c r="O205" i="11" s="1"/>
  <c r="N207" i="11"/>
  <c r="N206" i="11" s="1"/>
  <c r="N205" i="11" s="1"/>
  <c r="M207" i="11"/>
  <c r="M206" i="11" s="1"/>
  <c r="M205" i="11" s="1"/>
  <c r="L207" i="11"/>
  <c r="K207" i="11"/>
  <c r="J207" i="11"/>
  <c r="J206" i="11" s="1"/>
  <c r="I207" i="11"/>
  <c r="T203" i="11"/>
  <c r="T202" i="11" s="1"/>
  <c r="T201" i="11" s="1"/>
  <c r="S203" i="11"/>
  <c r="S202" i="11" s="1"/>
  <c r="S201" i="11" s="1"/>
  <c r="R203" i="11"/>
  <c r="R202" i="11" s="1"/>
  <c r="R201" i="11" s="1"/>
  <c r="Q203" i="11"/>
  <c r="Q202" i="11" s="1"/>
  <c r="Q201" i="11" s="1"/>
  <c r="P203" i="11"/>
  <c r="P202" i="11" s="1"/>
  <c r="P201" i="11" s="1"/>
  <c r="O203" i="11"/>
  <c r="O202" i="11" s="1"/>
  <c r="O201" i="11" s="1"/>
  <c r="N203" i="11"/>
  <c r="N202" i="11" s="1"/>
  <c r="N201" i="11" s="1"/>
  <c r="M203" i="11"/>
  <c r="M202" i="11" s="1"/>
  <c r="M201" i="11" s="1"/>
  <c r="L203" i="11"/>
  <c r="K203" i="11"/>
  <c r="J203" i="11"/>
  <c r="J202" i="11" s="1"/>
  <c r="J201" i="11" s="1"/>
  <c r="I203" i="11"/>
  <c r="X198" i="11"/>
  <c r="X197" i="11" s="1"/>
  <c r="W198" i="11"/>
  <c r="W197" i="11" s="1"/>
  <c r="V198" i="11"/>
  <c r="V197" i="11" s="1"/>
  <c r="U198" i="11"/>
  <c r="U197" i="11" s="1"/>
  <c r="T199" i="11"/>
  <c r="S199" i="11"/>
  <c r="S198" i="11" s="1"/>
  <c r="S197" i="11" s="1"/>
  <c r="R199" i="11"/>
  <c r="R198" i="11" s="1"/>
  <c r="R197" i="11" s="1"/>
  <c r="Q199" i="11"/>
  <c r="Q198" i="11" s="1"/>
  <c r="Q197" i="11" s="1"/>
  <c r="P199" i="11"/>
  <c r="P198" i="11" s="1"/>
  <c r="P197" i="11" s="1"/>
  <c r="O199" i="11"/>
  <c r="O198" i="11" s="1"/>
  <c r="O197" i="11" s="1"/>
  <c r="N199" i="11"/>
  <c r="N198" i="11" s="1"/>
  <c r="N197" i="11" s="1"/>
  <c r="M199" i="11"/>
  <c r="M198" i="11" s="1"/>
  <c r="M197" i="11" s="1"/>
  <c r="L199" i="11"/>
  <c r="K199" i="11"/>
  <c r="J199" i="11"/>
  <c r="I199" i="11"/>
  <c r="I198" i="11" s="1"/>
  <c r="T198" i="11"/>
  <c r="T197" i="11" s="1"/>
  <c r="T195" i="11"/>
  <c r="S195" i="11"/>
  <c r="R195" i="11"/>
  <c r="Q195" i="11"/>
  <c r="P195" i="11"/>
  <c r="O195" i="11"/>
  <c r="N195" i="11"/>
  <c r="M195" i="11"/>
  <c r="L195" i="11"/>
  <c r="K195" i="11"/>
  <c r="J195" i="11"/>
  <c r="I195" i="11"/>
  <c r="T194" i="11"/>
  <c r="T193" i="11" s="1"/>
  <c r="S194" i="11"/>
  <c r="S193" i="11" s="1"/>
  <c r="R194" i="11"/>
  <c r="R193" i="11" s="1"/>
  <c r="Q194" i="11"/>
  <c r="Q193" i="11" s="1"/>
  <c r="P194" i="11"/>
  <c r="P193" i="11" s="1"/>
  <c r="O194" i="11"/>
  <c r="O193" i="11" s="1"/>
  <c r="N194" i="11"/>
  <c r="N193" i="11" s="1"/>
  <c r="M194" i="11"/>
  <c r="M193" i="11" s="1"/>
  <c r="L194" i="11"/>
  <c r="K194" i="11"/>
  <c r="J194" i="11"/>
  <c r="I194" i="11"/>
  <c r="I193" i="11" s="1"/>
  <c r="AB192" i="11"/>
  <c r="AA192" i="11"/>
  <c r="Z192" i="11"/>
  <c r="Y192" i="11"/>
  <c r="X191" i="11"/>
  <c r="W191" i="11"/>
  <c r="V191" i="11"/>
  <c r="U191" i="11"/>
  <c r="U190" i="11" s="1"/>
  <c r="U189" i="11" s="1"/>
  <c r="T191" i="11"/>
  <c r="T190" i="11" s="1"/>
  <c r="T189" i="11" s="1"/>
  <c r="S191" i="11"/>
  <c r="S190" i="11" s="1"/>
  <c r="S189" i="11" s="1"/>
  <c r="R191" i="11"/>
  <c r="R190" i="11" s="1"/>
  <c r="R189" i="11" s="1"/>
  <c r="Q191" i="11"/>
  <c r="Q190" i="11" s="1"/>
  <c r="Q189" i="11" s="1"/>
  <c r="P191" i="11"/>
  <c r="P190" i="11" s="1"/>
  <c r="P189" i="11" s="1"/>
  <c r="O191" i="11"/>
  <c r="O190" i="11" s="1"/>
  <c r="O189" i="11" s="1"/>
  <c r="N191" i="11"/>
  <c r="N190" i="11" s="1"/>
  <c r="N189" i="11" s="1"/>
  <c r="M191" i="11"/>
  <c r="M190" i="11" s="1"/>
  <c r="M189" i="11" s="1"/>
  <c r="L191" i="11"/>
  <c r="L190" i="11" s="1"/>
  <c r="K191" i="11"/>
  <c r="AA191" i="11" s="1"/>
  <c r="J191" i="11"/>
  <c r="Z191" i="11" s="1"/>
  <c r="I191" i="11"/>
  <c r="I190" i="11" s="1"/>
  <c r="X190" i="11"/>
  <c r="X189" i="11" s="1"/>
  <c r="W190" i="11"/>
  <c r="W189" i="11" s="1"/>
  <c r="V190" i="11"/>
  <c r="V189" i="11" s="1"/>
  <c r="AB188" i="11"/>
  <c r="AA188" i="11"/>
  <c r="Z188" i="11"/>
  <c r="Y188" i="11"/>
  <c r="X187" i="11"/>
  <c r="W187" i="11"/>
  <c r="V187" i="11"/>
  <c r="V186" i="11" s="1"/>
  <c r="V185" i="11" s="1"/>
  <c r="U187" i="11"/>
  <c r="U186" i="11" s="1"/>
  <c r="U185" i="11" s="1"/>
  <c r="T187" i="11"/>
  <c r="T186" i="11" s="1"/>
  <c r="T185" i="11" s="1"/>
  <c r="S187" i="11"/>
  <c r="S186" i="11" s="1"/>
  <c r="S185" i="11" s="1"/>
  <c r="R187" i="11"/>
  <c r="R186" i="11" s="1"/>
  <c r="R185" i="11" s="1"/>
  <c r="R184" i="11" s="1"/>
  <c r="Q187" i="11"/>
  <c r="Q186" i="11" s="1"/>
  <c r="Q185" i="11" s="1"/>
  <c r="P187" i="11"/>
  <c r="P186" i="11" s="1"/>
  <c r="P185" i="11" s="1"/>
  <c r="O187" i="11"/>
  <c r="N187" i="11"/>
  <c r="N186" i="11" s="1"/>
  <c r="N185" i="11" s="1"/>
  <c r="M187" i="11"/>
  <c r="M186" i="11" s="1"/>
  <c r="M185" i="11" s="1"/>
  <c r="L187" i="11"/>
  <c r="AB187" i="11" s="1"/>
  <c r="K187" i="11"/>
  <c r="AA187" i="11" s="1"/>
  <c r="J187" i="11"/>
  <c r="J186" i="11" s="1"/>
  <c r="I187" i="11"/>
  <c r="Y187" i="11" s="1"/>
  <c r="X186" i="11"/>
  <c r="X185" i="11" s="1"/>
  <c r="W186" i="11"/>
  <c r="W185" i="11" s="1"/>
  <c r="O186" i="11"/>
  <c r="O185" i="11" s="1"/>
  <c r="AB183" i="11"/>
  <c r="AA183" i="11"/>
  <c r="Z183" i="11"/>
  <c r="Y183" i="11"/>
  <c r="X182" i="11"/>
  <c r="X181" i="11" s="1"/>
  <c r="X180" i="11" s="1"/>
  <c r="W182" i="11"/>
  <c r="W181" i="11" s="1"/>
  <c r="W180" i="11" s="1"/>
  <c r="V182" i="11"/>
  <c r="V181" i="11" s="1"/>
  <c r="V180" i="11" s="1"/>
  <c r="U182" i="11"/>
  <c r="U181" i="11" s="1"/>
  <c r="U180" i="11" s="1"/>
  <c r="T182" i="11"/>
  <c r="T181" i="11" s="1"/>
  <c r="T180" i="11" s="1"/>
  <c r="S182" i="11"/>
  <c r="S181" i="11" s="1"/>
  <c r="S180" i="11" s="1"/>
  <c r="R182" i="11"/>
  <c r="R181" i="11" s="1"/>
  <c r="R180" i="11" s="1"/>
  <c r="Q182" i="11"/>
  <c r="Q181" i="11" s="1"/>
  <c r="Q180" i="11" s="1"/>
  <c r="P182" i="11"/>
  <c r="P181" i="11" s="1"/>
  <c r="P180" i="11" s="1"/>
  <c r="O182" i="11"/>
  <c r="O181" i="11" s="1"/>
  <c r="O180" i="11" s="1"/>
  <c r="N182" i="11"/>
  <c r="N181" i="11" s="1"/>
  <c r="N180" i="11" s="1"/>
  <c r="M182" i="11"/>
  <c r="M181" i="11" s="1"/>
  <c r="M180" i="11" s="1"/>
  <c r="L182" i="11"/>
  <c r="K182" i="11"/>
  <c r="AA182" i="11" s="1"/>
  <c r="J182" i="11"/>
  <c r="Z182" i="11" s="1"/>
  <c r="I182" i="11"/>
  <c r="Y182" i="11" s="1"/>
  <c r="AB179" i="11"/>
  <c r="AA179" i="11"/>
  <c r="Z179" i="11"/>
  <c r="Y179" i="11"/>
  <c r="X178" i="11"/>
  <c r="X177" i="11" s="1"/>
  <c r="X176" i="11" s="1"/>
  <c r="W178" i="11"/>
  <c r="W177" i="11" s="1"/>
  <c r="W176" i="11" s="1"/>
  <c r="V178" i="11"/>
  <c r="V177" i="11" s="1"/>
  <c r="V176" i="11" s="1"/>
  <c r="U178" i="11"/>
  <c r="U177" i="11" s="1"/>
  <c r="U176" i="11" s="1"/>
  <c r="T178" i="11"/>
  <c r="S178" i="11"/>
  <c r="R178" i="11"/>
  <c r="R177" i="11" s="1"/>
  <c r="R176" i="11" s="1"/>
  <c r="Q178" i="11"/>
  <c r="Q177" i="11" s="1"/>
  <c r="Q176" i="11" s="1"/>
  <c r="P178" i="11"/>
  <c r="P177" i="11" s="1"/>
  <c r="P176" i="11" s="1"/>
  <c r="O178" i="11"/>
  <c r="O177" i="11" s="1"/>
  <c r="O176" i="11" s="1"/>
  <c r="N178" i="11"/>
  <c r="N177" i="11" s="1"/>
  <c r="N176" i="11" s="1"/>
  <c r="M178" i="11"/>
  <c r="M177" i="11" s="1"/>
  <c r="M176" i="11" s="1"/>
  <c r="L178" i="11"/>
  <c r="AB178" i="11" s="1"/>
  <c r="K178" i="11"/>
  <c r="AA178" i="11" s="1"/>
  <c r="J178" i="11"/>
  <c r="Z178" i="11" s="1"/>
  <c r="I178" i="11"/>
  <c r="I177" i="11" s="1"/>
  <c r="Y177" i="11" s="1"/>
  <c r="T177" i="11"/>
  <c r="T176" i="11" s="1"/>
  <c r="S177" i="11"/>
  <c r="S176" i="11" s="1"/>
  <c r="K177" i="11"/>
  <c r="AB175" i="11"/>
  <c r="AA175" i="11"/>
  <c r="Z175" i="11"/>
  <c r="Y175" i="11"/>
  <c r="X174" i="11"/>
  <c r="W174" i="11"/>
  <c r="V174" i="11"/>
  <c r="U174" i="11"/>
  <c r="T174" i="11"/>
  <c r="S174" i="11"/>
  <c r="R174" i="11"/>
  <c r="Q174" i="11"/>
  <c r="P174" i="11"/>
  <c r="O174" i="11"/>
  <c r="N174" i="11"/>
  <c r="M174" i="11"/>
  <c r="L174" i="11"/>
  <c r="AB174" i="11" s="1"/>
  <c r="K174" i="11"/>
  <c r="AA174" i="11" s="1"/>
  <c r="J174" i="11"/>
  <c r="Z174" i="11" s="1"/>
  <c r="I174" i="11"/>
  <c r="Y174" i="11" s="1"/>
  <c r="X173" i="11"/>
  <c r="W173" i="11"/>
  <c r="V173" i="11"/>
  <c r="U173" i="11"/>
  <c r="U172" i="11" s="1"/>
  <c r="T173" i="11"/>
  <c r="T172" i="11" s="1"/>
  <c r="S173" i="11"/>
  <c r="S172" i="11" s="1"/>
  <c r="R173" i="11"/>
  <c r="R172" i="11" s="1"/>
  <c r="Q173" i="11"/>
  <c r="Q172" i="11" s="1"/>
  <c r="P173" i="11"/>
  <c r="P172" i="11" s="1"/>
  <c r="O173" i="11"/>
  <c r="O172" i="11" s="1"/>
  <c r="N173" i="11"/>
  <c r="N172" i="11" s="1"/>
  <c r="M173" i="11"/>
  <c r="M172" i="11" s="1"/>
  <c r="L173" i="11"/>
  <c r="K173" i="11"/>
  <c r="AA173" i="11" s="1"/>
  <c r="J173" i="11"/>
  <c r="I173" i="11"/>
  <c r="I172" i="11" s="1"/>
  <c r="Y172" i="11" s="1"/>
  <c r="X172" i="11"/>
  <c r="W172" i="11"/>
  <c r="V172" i="11"/>
  <c r="AB171" i="11"/>
  <c r="AA171" i="11"/>
  <c r="Z171" i="11"/>
  <c r="Y171" i="11"/>
  <c r="X170" i="11"/>
  <c r="W170" i="11"/>
  <c r="V170" i="11"/>
  <c r="U170" i="11"/>
  <c r="U169" i="11" s="1"/>
  <c r="U168" i="11" s="1"/>
  <c r="T170" i="11"/>
  <c r="T169" i="11" s="1"/>
  <c r="T168" i="11" s="1"/>
  <c r="S170" i="11"/>
  <c r="S169" i="11" s="1"/>
  <c r="S168" i="11" s="1"/>
  <c r="R170" i="11"/>
  <c r="R169" i="11" s="1"/>
  <c r="R168" i="11" s="1"/>
  <c r="Q170" i="11"/>
  <c r="Q169" i="11" s="1"/>
  <c r="Q168" i="11" s="1"/>
  <c r="P170" i="11"/>
  <c r="P169" i="11" s="1"/>
  <c r="P168" i="11" s="1"/>
  <c r="O170" i="11"/>
  <c r="O169" i="11" s="1"/>
  <c r="O168" i="11" s="1"/>
  <c r="N170" i="11"/>
  <c r="N169" i="11" s="1"/>
  <c r="N168" i="11" s="1"/>
  <c r="M170" i="11"/>
  <c r="M169" i="11" s="1"/>
  <c r="M168" i="11" s="1"/>
  <c r="L170" i="11"/>
  <c r="L169" i="11" s="1"/>
  <c r="K170" i="11"/>
  <c r="AA170" i="11" s="1"/>
  <c r="J170" i="11"/>
  <c r="Z170" i="11" s="1"/>
  <c r="I170" i="11"/>
  <c r="I169" i="11" s="1"/>
  <c r="X169" i="11"/>
  <c r="X168" i="11" s="1"/>
  <c r="W169" i="11"/>
  <c r="W168" i="11" s="1"/>
  <c r="V169" i="11"/>
  <c r="V168" i="11" s="1"/>
  <c r="T166" i="11"/>
  <c r="S166" i="11"/>
  <c r="R166" i="11"/>
  <c r="Q166" i="11"/>
  <c r="P166" i="11"/>
  <c r="O166" i="11"/>
  <c r="N166" i="11"/>
  <c r="M166" i="11"/>
  <c r="L166" i="11"/>
  <c r="AB166" i="11" s="1"/>
  <c r="K166" i="11"/>
  <c r="AA166" i="11" s="1"/>
  <c r="J166" i="11"/>
  <c r="Z166" i="11" s="1"/>
  <c r="I166" i="11"/>
  <c r="X165" i="11"/>
  <c r="X164" i="11" s="1"/>
  <c r="W165" i="11"/>
  <c r="W164" i="11" s="1"/>
  <c r="V165" i="11"/>
  <c r="V164" i="11" s="1"/>
  <c r="U165" i="11"/>
  <c r="U164" i="11" s="1"/>
  <c r="T165" i="11"/>
  <c r="T164" i="11" s="1"/>
  <c r="S165" i="11"/>
  <c r="S164" i="11" s="1"/>
  <c r="R165" i="11"/>
  <c r="R164" i="11" s="1"/>
  <c r="Q165" i="11"/>
  <c r="Q164" i="11" s="1"/>
  <c r="P165" i="11"/>
  <c r="P164" i="11" s="1"/>
  <c r="O165" i="11"/>
  <c r="O164" i="11" s="1"/>
  <c r="N165" i="11"/>
  <c r="N164" i="11" s="1"/>
  <c r="M165" i="11"/>
  <c r="M164" i="11" s="1"/>
  <c r="L165" i="11"/>
  <c r="K165" i="11"/>
  <c r="AA165" i="11" s="1"/>
  <c r="J165" i="11"/>
  <c r="Z165" i="11" s="1"/>
  <c r="I165" i="11"/>
  <c r="I164" i="11" s="1"/>
  <c r="AB163" i="11"/>
  <c r="AA163" i="11"/>
  <c r="Z163" i="11"/>
  <c r="Y163" i="11"/>
  <c r="X162" i="11"/>
  <c r="X161" i="11" s="1"/>
  <c r="X160" i="11" s="1"/>
  <c r="W162" i="11"/>
  <c r="W161" i="11" s="1"/>
  <c r="W160" i="11" s="1"/>
  <c r="W158" i="11" s="1"/>
  <c r="V162" i="11"/>
  <c r="V161" i="11" s="1"/>
  <c r="V160" i="11" s="1"/>
  <c r="V158" i="11" s="1"/>
  <c r="U162" i="11"/>
  <c r="U161" i="11" s="1"/>
  <c r="U160" i="11" s="1"/>
  <c r="U158" i="11" s="1"/>
  <c r="T162" i="11"/>
  <c r="T161" i="11" s="1"/>
  <c r="T160" i="11" s="1"/>
  <c r="S162" i="11"/>
  <c r="S161" i="11" s="1"/>
  <c r="S160" i="11" s="1"/>
  <c r="R162" i="11"/>
  <c r="R161" i="11" s="1"/>
  <c r="R160" i="11" s="1"/>
  <c r="Q162" i="11"/>
  <c r="Q161" i="11" s="1"/>
  <c r="Q160" i="11" s="1"/>
  <c r="Q158" i="11" s="1"/>
  <c r="P162" i="11"/>
  <c r="P161" i="11" s="1"/>
  <c r="P160" i="11" s="1"/>
  <c r="O162" i="11"/>
  <c r="O161" i="11" s="1"/>
  <c r="O160" i="11" s="1"/>
  <c r="O158" i="11" s="1"/>
  <c r="N162" i="11"/>
  <c r="N161" i="11" s="1"/>
  <c r="N160" i="11" s="1"/>
  <c r="M162" i="11"/>
  <c r="M161" i="11" s="1"/>
  <c r="M160" i="11" s="1"/>
  <c r="M158" i="11" s="1"/>
  <c r="L162" i="11"/>
  <c r="K162" i="11"/>
  <c r="J162" i="11"/>
  <c r="Z162" i="11" s="1"/>
  <c r="I162" i="11"/>
  <c r="Y162" i="11" s="1"/>
  <c r="AB157" i="11"/>
  <c r="AA157" i="11"/>
  <c r="Z157" i="11"/>
  <c r="Y157" i="11"/>
  <c r="X156" i="11"/>
  <c r="W156" i="11"/>
  <c r="W155" i="11" s="1"/>
  <c r="W154" i="11" s="1"/>
  <c r="V156" i="11"/>
  <c r="V155" i="11" s="1"/>
  <c r="V154" i="11" s="1"/>
  <c r="U156" i="11"/>
  <c r="U155" i="11" s="1"/>
  <c r="U154" i="11" s="1"/>
  <c r="T156" i="11"/>
  <c r="T155" i="11" s="1"/>
  <c r="T154" i="11" s="1"/>
  <c r="S156" i="11"/>
  <c r="S155" i="11" s="1"/>
  <c r="S154" i="11" s="1"/>
  <c r="R156" i="11"/>
  <c r="R155" i="11" s="1"/>
  <c r="R154" i="11" s="1"/>
  <c r="Q156" i="11"/>
  <c r="Q155" i="11" s="1"/>
  <c r="Q154" i="11" s="1"/>
  <c r="P156" i="11"/>
  <c r="P155" i="11" s="1"/>
  <c r="P154" i="11" s="1"/>
  <c r="O156" i="11"/>
  <c r="O155" i="11" s="1"/>
  <c r="O154" i="11" s="1"/>
  <c r="N156" i="11"/>
  <c r="N155" i="11" s="1"/>
  <c r="N154" i="11" s="1"/>
  <c r="M156" i="11"/>
  <c r="M155" i="11" s="1"/>
  <c r="M154" i="11" s="1"/>
  <c r="L156" i="11"/>
  <c r="K156" i="11"/>
  <c r="J156" i="11"/>
  <c r="Z156" i="11" s="1"/>
  <c r="I156" i="11"/>
  <c r="I155" i="11" s="1"/>
  <c r="X155" i="11"/>
  <c r="X154" i="11" s="1"/>
  <c r="AB153" i="11"/>
  <c r="AA153" i="11"/>
  <c r="Z153" i="11"/>
  <c r="Y153" i="11"/>
  <c r="X152" i="11"/>
  <c r="X151" i="11" s="1"/>
  <c r="X150" i="11" s="1"/>
  <c r="W152" i="11"/>
  <c r="W151" i="11" s="1"/>
  <c r="W150" i="11" s="1"/>
  <c r="V152" i="11"/>
  <c r="V151" i="11" s="1"/>
  <c r="V150" i="11" s="1"/>
  <c r="U152" i="11"/>
  <c r="U151" i="11" s="1"/>
  <c r="U150" i="11" s="1"/>
  <c r="T152" i="11"/>
  <c r="T151" i="11" s="1"/>
  <c r="T150" i="11" s="1"/>
  <c r="S152" i="11"/>
  <c r="S151" i="11" s="1"/>
  <c r="S150" i="11" s="1"/>
  <c r="R152" i="11"/>
  <c r="R151" i="11" s="1"/>
  <c r="R150" i="11" s="1"/>
  <c r="Q152" i="11"/>
  <c r="Q151" i="11" s="1"/>
  <c r="Q150" i="11" s="1"/>
  <c r="P152" i="11"/>
  <c r="P151" i="11" s="1"/>
  <c r="P150" i="11" s="1"/>
  <c r="O152" i="11"/>
  <c r="O151" i="11" s="1"/>
  <c r="O150" i="11" s="1"/>
  <c r="N152" i="11"/>
  <c r="N151" i="11" s="1"/>
  <c r="N150" i="11" s="1"/>
  <c r="M152" i="11"/>
  <c r="M151" i="11" s="1"/>
  <c r="M150" i="11" s="1"/>
  <c r="L152" i="11"/>
  <c r="K152" i="11"/>
  <c r="AA152" i="11" s="1"/>
  <c r="J152" i="11"/>
  <c r="Z152" i="11" s="1"/>
  <c r="I152" i="11"/>
  <c r="Y152" i="11" s="1"/>
  <c r="AB149" i="11"/>
  <c r="AA149" i="11"/>
  <c r="Z149" i="11"/>
  <c r="Y149" i="11"/>
  <c r="X148" i="11"/>
  <c r="W148" i="11"/>
  <c r="V148" i="11"/>
  <c r="U148" i="11"/>
  <c r="U147" i="11" s="1"/>
  <c r="U146" i="11" s="1"/>
  <c r="T148" i="11"/>
  <c r="T147" i="11" s="1"/>
  <c r="T146" i="11" s="1"/>
  <c r="T144" i="11" s="1"/>
  <c r="S148" i="11"/>
  <c r="S147" i="11" s="1"/>
  <c r="S146" i="11" s="1"/>
  <c r="R148" i="11"/>
  <c r="R147" i="11" s="1"/>
  <c r="R146" i="11" s="1"/>
  <c r="Q148" i="11"/>
  <c r="Q147" i="11" s="1"/>
  <c r="Q146" i="11" s="1"/>
  <c r="Q144" i="11" s="1"/>
  <c r="P148" i="11"/>
  <c r="P147" i="11" s="1"/>
  <c r="P146" i="11" s="1"/>
  <c r="O148" i="11"/>
  <c r="O147" i="11" s="1"/>
  <c r="O146" i="11" s="1"/>
  <c r="O144" i="11" s="1"/>
  <c r="N148" i="11"/>
  <c r="N147" i="11" s="1"/>
  <c r="N146" i="11" s="1"/>
  <c r="M148" i="11"/>
  <c r="M147" i="11" s="1"/>
  <c r="M146" i="11" s="1"/>
  <c r="M144" i="11" s="1"/>
  <c r="L148" i="11"/>
  <c r="K148" i="11"/>
  <c r="J148" i="11"/>
  <c r="Z148" i="11" s="1"/>
  <c r="I148" i="11"/>
  <c r="I147" i="11" s="1"/>
  <c r="Y147" i="11" s="1"/>
  <c r="X147" i="11"/>
  <c r="X146" i="11" s="1"/>
  <c r="X144" i="11" s="1"/>
  <c r="W147" i="11"/>
  <c r="W146" i="11" s="1"/>
  <c r="W144" i="11" s="1"/>
  <c r="V147" i="11"/>
  <c r="V146" i="11" s="1"/>
  <c r="V144" i="11" s="1"/>
  <c r="X142" i="11"/>
  <c r="X141" i="11" s="1"/>
  <c r="X140" i="11" s="1"/>
  <c r="W142" i="11"/>
  <c r="W141" i="11" s="1"/>
  <c r="W140" i="11" s="1"/>
  <c r="V142" i="11"/>
  <c r="V141" i="11" s="1"/>
  <c r="V140" i="11" s="1"/>
  <c r="U142" i="11"/>
  <c r="U141" i="11" s="1"/>
  <c r="U140" i="11" s="1"/>
  <c r="T142" i="11"/>
  <c r="T141" i="11" s="1"/>
  <c r="T140" i="11" s="1"/>
  <c r="S142" i="11"/>
  <c r="S141" i="11" s="1"/>
  <c r="S140" i="11" s="1"/>
  <c r="R142" i="11"/>
  <c r="R141" i="11" s="1"/>
  <c r="R140" i="11" s="1"/>
  <c r="Q142" i="11"/>
  <c r="Q141" i="11" s="1"/>
  <c r="Q140" i="11" s="1"/>
  <c r="L142" i="11"/>
  <c r="K142" i="11"/>
  <c r="J142" i="11"/>
  <c r="I142" i="11"/>
  <c r="AB139" i="11"/>
  <c r="AA139" i="11"/>
  <c r="Z139" i="11"/>
  <c r="Y139" i="11"/>
  <c r="X138" i="11"/>
  <c r="W138" i="11"/>
  <c r="V138" i="11"/>
  <c r="U138" i="11"/>
  <c r="U137" i="11" s="1"/>
  <c r="U136" i="11" s="1"/>
  <c r="T138" i="11"/>
  <c r="T137" i="11" s="1"/>
  <c r="T136" i="11" s="1"/>
  <c r="S138" i="11"/>
  <c r="S137" i="11" s="1"/>
  <c r="S136" i="11" s="1"/>
  <c r="R138" i="11"/>
  <c r="R137" i="11" s="1"/>
  <c r="R136" i="11" s="1"/>
  <c r="Q138" i="11"/>
  <c r="Q137" i="11" s="1"/>
  <c r="Q136" i="11" s="1"/>
  <c r="P138" i="11"/>
  <c r="P137" i="11" s="1"/>
  <c r="P136" i="11" s="1"/>
  <c r="O138" i="11"/>
  <c r="O137" i="11" s="1"/>
  <c r="O136" i="11" s="1"/>
  <c r="N138" i="11"/>
  <c r="N137" i="11" s="1"/>
  <c r="N136" i="11" s="1"/>
  <c r="M138" i="11"/>
  <c r="M137" i="11" s="1"/>
  <c r="M136" i="11" s="1"/>
  <c r="L138" i="11"/>
  <c r="AB138" i="11" s="1"/>
  <c r="K138" i="11"/>
  <c r="AA138" i="11" s="1"/>
  <c r="J138" i="11"/>
  <c r="Z138" i="11" s="1"/>
  <c r="I138" i="11"/>
  <c r="I137" i="11" s="1"/>
  <c r="Y137" i="11" s="1"/>
  <c r="X137" i="11"/>
  <c r="X136" i="11" s="1"/>
  <c r="W137" i="11"/>
  <c r="W136" i="11" s="1"/>
  <c r="V137" i="11"/>
  <c r="V136" i="11" s="1"/>
  <c r="AB135" i="11"/>
  <c r="AA135" i="11"/>
  <c r="Z135" i="11"/>
  <c r="Y135" i="11"/>
  <c r="X134" i="11"/>
  <c r="X133" i="11" s="1"/>
  <c r="X132" i="11" s="1"/>
  <c r="W134" i="11"/>
  <c r="W133" i="11" s="1"/>
  <c r="W132" i="11" s="1"/>
  <c r="V134" i="11"/>
  <c r="V133" i="11" s="1"/>
  <c r="V132" i="11" s="1"/>
  <c r="U134" i="11"/>
  <c r="U133" i="11" s="1"/>
  <c r="U132" i="11" s="1"/>
  <c r="T134" i="11"/>
  <c r="T133" i="11" s="1"/>
  <c r="T132" i="11" s="1"/>
  <c r="S134" i="11"/>
  <c r="S133" i="11" s="1"/>
  <c r="S132" i="11" s="1"/>
  <c r="R134" i="11"/>
  <c r="R133" i="11" s="1"/>
  <c r="R132" i="11" s="1"/>
  <c r="Q134" i="11"/>
  <c r="Q133" i="11" s="1"/>
  <c r="Q132" i="11" s="1"/>
  <c r="P134" i="11"/>
  <c r="O134" i="11"/>
  <c r="O133" i="11" s="1"/>
  <c r="O132" i="11" s="1"/>
  <c r="N134" i="11"/>
  <c r="N133" i="11" s="1"/>
  <c r="N132" i="11" s="1"/>
  <c r="M134" i="11"/>
  <c r="M133" i="11" s="1"/>
  <c r="M132" i="11" s="1"/>
  <c r="L134" i="11"/>
  <c r="AB134" i="11" s="1"/>
  <c r="K134" i="11"/>
  <c r="AA134" i="11" s="1"/>
  <c r="J134" i="11"/>
  <c r="Z134" i="11" s="1"/>
  <c r="I134" i="11"/>
  <c r="P133" i="11"/>
  <c r="P132" i="11" s="1"/>
  <c r="AB131" i="11"/>
  <c r="AA131" i="11"/>
  <c r="Z131" i="11"/>
  <c r="Y131" i="11"/>
  <c r="X130" i="11"/>
  <c r="X129" i="11" s="1"/>
  <c r="X128" i="11" s="1"/>
  <c r="W130" i="11"/>
  <c r="W129" i="11" s="1"/>
  <c r="W128" i="11" s="1"/>
  <c r="V130" i="11"/>
  <c r="V129" i="11" s="1"/>
  <c r="V128" i="11" s="1"/>
  <c r="U130" i="11"/>
  <c r="U129" i="11" s="1"/>
  <c r="U128" i="11" s="1"/>
  <c r="T130" i="11"/>
  <c r="T129" i="11" s="1"/>
  <c r="T128" i="11" s="1"/>
  <c r="S130" i="11"/>
  <c r="S129" i="11" s="1"/>
  <c r="S128" i="11" s="1"/>
  <c r="R130" i="11"/>
  <c r="R129" i="11" s="1"/>
  <c r="R128" i="11" s="1"/>
  <c r="Q130" i="11"/>
  <c r="Q129" i="11" s="1"/>
  <c r="Q128" i="11" s="1"/>
  <c r="P130" i="11"/>
  <c r="P129" i="11" s="1"/>
  <c r="P128" i="11" s="1"/>
  <c r="O130" i="11"/>
  <c r="O129" i="11" s="1"/>
  <c r="O128" i="11" s="1"/>
  <c r="O126" i="11" s="1"/>
  <c r="N130" i="11"/>
  <c r="N129" i="11" s="1"/>
  <c r="N128" i="11" s="1"/>
  <c r="M130" i="11"/>
  <c r="M129" i="11" s="1"/>
  <c r="M128" i="11" s="1"/>
  <c r="L130" i="11"/>
  <c r="K130" i="11"/>
  <c r="AA130" i="11" s="1"/>
  <c r="J130" i="11"/>
  <c r="I130" i="11"/>
  <c r="I129" i="11" s="1"/>
  <c r="Y129" i="11" s="1"/>
  <c r="X123" i="11"/>
  <c r="W123" i="11"/>
  <c r="W122" i="11" s="1"/>
  <c r="W121" i="11" s="1"/>
  <c r="V123" i="11"/>
  <c r="V122" i="11" s="1"/>
  <c r="V121" i="11" s="1"/>
  <c r="U123" i="11"/>
  <c r="U122" i="11" s="1"/>
  <c r="U121" i="11" s="1"/>
  <c r="T124" i="11"/>
  <c r="T123" i="11" s="1"/>
  <c r="T122" i="11" s="1"/>
  <c r="S124" i="11"/>
  <c r="S123" i="11" s="1"/>
  <c r="S122" i="11" s="1"/>
  <c r="R124" i="11"/>
  <c r="R123" i="11" s="1"/>
  <c r="R122" i="11" s="1"/>
  <c r="R121" i="11" s="1"/>
  <c r="Q124" i="11"/>
  <c r="Q123" i="11" s="1"/>
  <c r="Q122" i="11" s="1"/>
  <c r="P124" i="11"/>
  <c r="P123" i="11" s="1"/>
  <c r="P122" i="11" s="1"/>
  <c r="O124" i="11"/>
  <c r="O123" i="11" s="1"/>
  <c r="O122" i="11" s="1"/>
  <c r="N124" i="11"/>
  <c r="N123" i="11" s="1"/>
  <c r="N122" i="11" s="1"/>
  <c r="N121" i="11" s="1"/>
  <c r="M124" i="11"/>
  <c r="M123" i="11" s="1"/>
  <c r="M122" i="11" s="1"/>
  <c r="L124" i="11"/>
  <c r="K124" i="11"/>
  <c r="J124" i="11"/>
  <c r="Z124" i="11" s="1"/>
  <c r="I124" i="11"/>
  <c r="I123" i="11" s="1"/>
  <c r="X122" i="11"/>
  <c r="X121" i="11" s="1"/>
  <c r="P119" i="11"/>
  <c r="P118" i="11" s="1"/>
  <c r="P117" i="11" s="1"/>
  <c r="AB117" i="11" s="1"/>
  <c r="O119" i="11"/>
  <c r="O118" i="11" s="1"/>
  <c r="O117" i="11" s="1"/>
  <c r="AA117" i="11" s="1"/>
  <c r="X115" i="11"/>
  <c r="W115" i="11"/>
  <c r="W114" i="11" s="1"/>
  <c r="W113" i="11" s="1"/>
  <c r="V115" i="11"/>
  <c r="V114" i="11" s="1"/>
  <c r="V113" i="11" s="1"/>
  <c r="U115" i="11"/>
  <c r="U114" i="11" s="1"/>
  <c r="U113" i="11" s="1"/>
  <c r="T115" i="11"/>
  <c r="T114" i="11" s="1"/>
  <c r="T113" i="11" s="1"/>
  <c r="S115" i="11"/>
  <c r="S114" i="11" s="1"/>
  <c r="S113" i="11" s="1"/>
  <c r="R115" i="11"/>
  <c r="R114" i="11" s="1"/>
  <c r="R113" i="11" s="1"/>
  <c r="Q115" i="11"/>
  <c r="Q114" i="11" s="1"/>
  <c r="Q113" i="11" s="1"/>
  <c r="L115" i="11"/>
  <c r="K115" i="11"/>
  <c r="K114" i="11" s="1"/>
  <c r="J115" i="11"/>
  <c r="I115" i="11"/>
  <c r="X114" i="11"/>
  <c r="X113" i="11" s="1"/>
  <c r="AB112" i="11"/>
  <c r="AA112" i="11"/>
  <c r="Z112" i="11"/>
  <c r="Y112" i="11"/>
  <c r="X111" i="11"/>
  <c r="X110" i="11" s="1"/>
  <c r="X109" i="11" s="1"/>
  <c r="W111" i="11"/>
  <c r="W110" i="11" s="1"/>
  <c r="W109" i="11" s="1"/>
  <c r="V111" i="11"/>
  <c r="V110" i="11" s="1"/>
  <c r="V109" i="11" s="1"/>
  <c r="U111" i="11"/>
  <c r="U110" i="11" s="1"/>
  <c r="U109" i="11" s="1"/>
  <c r="T111" i="11"/>
  <c r="T110" i="11" s="1"/>
  <c r="T109" i="11" s="1"/>
  <c r="S111" i="11"/>
  <c r="S110" i="11" s="1"/>
  <c r="S109" i="11" s="1"/>
  <c r="R111" i="11"/>
  <c r="R110" i="11" s="1"/>
  <c r="R109" i="11" s="1"/>
  <c r="Q111" i="11"/>
  <c r="Q110" i="11" s="1"/>
  <c r="Q109" i="11" s="1"/>
  <c r="P111" i="11"/>
  <c r="P110" i="11" s="1"/>
  <c r="P109" i="11" s="1"/>
  <c r="O111" i="11"/>
  <c r="O110" i="11" s="1"/>
  <c r="O109" i="11" s="1"/>
  <c r="N111" i="11"/>
  <c r="N110" i="11" s="1"/>
  <c r="N109" i="11" s="1"/>
  <c r="M111" i="11"/>
  <c r="M110" i="11" s="1"/>
  <c r="M109" i="11" s="1"/>
  <c r="L111" i="11"/>
  <c r="L110" i="11" s="1"/>
  <c r="K111" i="11"/>
  <c r="J111" i="11"/>
  <c r="Z111" i="11" s="1"/>
  <c r="I111" i="11"/>
  <c r="Y111" i="11" s="1"/>
  <c r="X106" i="11"/>
  <c r="X105" i="11" s="1"/>
  <c r="W106" i="11"/>
  <c r="W105" i="11" s="1"/>
  <c r="V106" i="11"/>
  <c r="V105" i="11" s="1"/>
  <c r="U106" i="11"/>
  <c r="U105" i="11" s="1"/>
  <c r="T107" i="11"/>
  <c r="T106" i="11" s="1"/>
  <c r="T105" i="11" s="1"/>
  <c r="S107" i="11"/>
  <c r="S106" i="11" s="1"/>
  <c r="S105" i="11" s="1"/>
  <c r="R107" i="11"/>
  <c r="R106" i="11" s="1"/>
  <c r="R105" i="11" s="1"/>
  <c r="Q107" i="11"/>
  <c r="Q106" i="11" s="1"/>
  <c r="Q105" i="11" s="1"/>
  <c r="P107" i="11"/>
  <c r="P106" i="11" s="1"/>
  <c r="P105" i="11" s="1"/>
  <c r="O107" i="11"/>
  <c r="O106" i="11" s="1"/>
  <c r="O105" i="11" s="1"/>
  <c r="N107" i="11"/>
  <c r="N106" i="11" s="1"/>
  <c r="N105" i="11" s="1"/>
  <c r="M107" i="11"/>
  <c r="M106" i="11" s="1"/>
  <c r="M105" i="11" s="1"/>
  <c r="L107" i="11"/>
  <c r="K107" i="11"/>
  <c r="AA107" i="11" s="1"/>
  <c r="J107" i="11"/>
  <c r="Z107" i="11" s="1"/>
  <c r="I107" i="11"/>
  <c r="Y107" i="11" s="1"/>
  <c r="AB104" i="11"/>
  <c r="AA104" i="11"/>
  <c r="Z104" i="11"/>
  <c r="Y104" i="11"/>
  <c r="X103" i="11"/>
  <c r="W103" i="11"/>
  <c r="V103" i="11"/>
  <c r="V102" i="11" s="1"/>
  <c r="V101" i="11" s="1"/>
  <c r="U103" i="11"/>
  <c r="U102" i="11" s="1"/>
  <c r="U101" i="11" s="1"/>
  <c r="T103" i="11"/>
  <c r="T102" i="11" s="1"/>
  <c r="T101" i="11" s="1"/>
  <c r="S103" i="11"/>
  <c r="S102" i="11" s="1"/>
  <c r="S101" i="11" s="1"/>
  <c r="R103" i="11"/>
  <c r="R102" i="11" s="1"/>
  <c r="R101" i="11" s="1"/>
  <c r="Q103" i="11"/>
  <c r="Q102" i="11" s="1"/>
  <c r="Q101" i="11" s="1"/>
  <c r="P103" i="11"/>
  <c r="P102" i="11" s="1"/>
  <c r="P101" i="11" s="1"/>
  <c r="O103" i="11"/>
  <c r="O102" i="11" s="1"/>
  <c r="O101" i="11" s="1"/>
  <c r="N103" i="11"/>
  <c r="N102" i="11" s="1"/>
  <c r="N101" i="11" s="1"/>
  <c r="M103" i="11"/>
  <c r="M102" i="11" s="1"/>
  <c r="M101" i="11" s="1"/>
  <c r="L103" i="11"/>
  <c r="AB103" i="11" s="1"/>
  <c r="K103" i="11"/>
  <c r="AA103" i="11" s="1"/>
  <c r="J103" i="11"/>
  <c r="J102" i="11" s="1"/>
  <c r="Z102" i="11" s="1"/>
  <c r="I103" i="11"/>
  <c r="Y103" i="11" s="1"/>
  <c r="X102" i="11"/>
  <c r="X101" i="11" s="1"/>
  <c r="W102" i="11"/>
  <c r="W101" i="11" s="1"/>
  <c r="W98" i="11"/>
  <c r="W97" i="11" s="1"/>
  <c r="V98" i="11"/>
  <c r="V97" i="11" s="1"/>
  <c r="U98" i="11"/>
  <c r="U97" i="11" s="1"/>
  <c r="T99" i="11"/>
  <c r="T98" i="11" s="1"/>
  <c r="T97" i="11" s="1"/>
  <c r="S99" i="11"/>
  <c r="S98" i="11" s="1"/>
  <c r="S97" i="11" s="1"/>
  <c r="R99" i="11"/>
  <c r="R98" i="11" s="1"/>
  <c r="R97" i="11" s="1"/>
  <c r="Q99" i="11"/>
  <c r="Q98" i="11" s="1"/>
  <c r="Q97" i="11" s="1"/>
  <c r="P99" i="11"/>
  <c r="P98" i="11" s="1"/>
  <c r="P97" i="11" s="1"/>
  <c r="O99" i="11"/>
  <c r="O98" i="11" s="1"/>
  <c r="O97" i="11" s="1"/>
  <c r="N99" i="11"/>
  <c r="N98" i="11" s="1"/>
  <c r="N97" i="11" s="1"/>
  <c r="M99" i="11"/>
  <c r="M98" i="11" s="1"/>
  <c r="M97" i="11" s="1"/>
  <c r="L99" i="11"/>
  <c r="AB99" i="11" s="1"/>
  <c r="K99" i="11"/>
  <c r="J99" i="11"/>
  <c r="I99" i="11"/>
  <c r="Y99" i="11" s="1"/>
  <c r="X98" i="11"/>
  <c r="X97" i="11" s="1"/>
  <c r="X95" i="11"/>
  <c r="X94" i="11" s="1"/>
  <c r="X93" i="11" s="1"/>
  <c r="W95" i="11"/>
  <c r="W94" i="11" s="1"/>
  <c r="W93" i="11" s="1"/>
  <c r="V95" i="11"/>
  <c r="V94" i="11" s="1"/>
  <c r="V93" i="11" s="1"/>
  <c r="U95" i="11"/>
  <c r="U94" i="11" s="1"/>
  <c r="U93" i="11" s="1"/>
  <c r="T95" i="11"/>
  <c r="T94" i="11" s="1"/>
  <c r="T93" i="11" s="1"/>
  <c r="S95" i="11"/>
  <c r="S94" i="11" s="1"/>
  <c r="S93" i="11" s="1"/>
  <c r="R95" i="11"/>
  <c r="R94" i="11" s="1"/>
  <c r="R93" i="11" s="1"/>
  <c r="Q95" i="11"/>
  <c r="Q94" i="11" s="1"/>
  <c r="Q93" i="11" s="1"/>
  <c r="P95" i="11"/>
  <c r="P94" i="11" s="1"/>
  <c r="P93" i="11" s="1"/>
  <c r="O95" i="11"/>
  <c r="O94" i="11" s="1"/>
  <c r="O93" i="11" s="1"/>
  <c r="M94" i="11"/>
  <c r="M93" i="11" s="1"/>
  <c r="L95" i="11"/>
  <c r="K95" i="11"/>
  <c r="J95" i="11"/>
  <c r="I95" i="11"/>
  <c r="N94" i="11"/>
  <c r="N93" i="11" s="1"/>
  <c r="X91" i="11"/>
  <c r="X90" i="11" s="1"/>
  <c r="X89" i="11" s="1"/>
  <c r="W91" i="11"/>
  <c r="W90" i="11" s="1"/>
  <c r="W89" i="11" s="1"/>
  <c r="V91" i="11"/>
  <c r="V90" i="11" s="1"/>
  <c r="V89" i="11" s="1"/>
  <c r="U91" i="11"/>
  <c r="U90" i="11" s="1"/>
  <c r="U89" i="11" s="1"/>
  <c r="T91" i="11"/>
  <c r="T90" i="11" s="1"/>
  <c r="T89" i="11" s="1"/>
  <c r="S91" i="11"/>
  <c r="S90" i="11" s="1"/>
  <c r="S89" i="11" s="1"/>
  <c r="R91" i="11"/>
  <c r="R90" i="11" s="1"/>
  <c r="R89" i="11" s="1"/>
  <c r="Q91" i="11"/>
  <c r="Q90" i="11" s="1"/>
  <c r="Q89" i="11" s="1"/>
  <c r="P89" i="11"/>
  <c r="O89" i="11"/>
  <c r="N89" i="11"/>
  <c r="M89" i="11"/>
  <c r="L91" i="11"/>
  <c r="K91" i="11"/>
  <c r="K90" i="11" s="1"/>
  <c r="J91" i="11"/>
  <c r="I91" i="11"/>
  <c r="Y91" i="11" s="1"/>
  <c r="X85" i="11"/>
  <c r="W85" i="11"/>
  <c r="W84" i="11" s="1"/>
  <c r="W83" i="11" s="1"/>
  <c r="V85" i="11"/>
  <c r="V84" i="11" s="1"/>
  <c r="V83" i="11" s="1"/>
  <c r="U85" i="11"/>
  <c r="U84" i="11" s="1"/>
  <c r="U83" i="11" s="1"/>
  <c r="T85" i="11"/>
  <c r="T84" i="11" s="1"/>
  <c r="T83" i="11" s="1"/>
  <c r="S85" i="11"/>
  <c r="S84" i="11" s="1"/>
  <c r="S83" i="11" s="1"/>
  <c r="R85" i="11"/>
  <c r="R84" i="11" s="1"/>
  <c r="R83" i="11" s="1"/>
  <c r="Q85" i="11"/>
  <c r="Q84" i="11" s="1"/>
  <c r="Q83" i="11" s="1"/>
  <c r="P84" i="11"/>
  <c r="P83" i="11" s="1"/>
  <c r="O84" i="11"/>
  <c r="O83" i="11" s="1"/>
  <c r="N84" i="11"/>
  <c r="N83" i="11" s="1"/>
  <c r="M84" i="11"/>
  <c r="M83" i="11" s="1"/>
  <c r="L85" i="11"/>
  <c r="AB85" i="11" s="1"/>
  <c r="K85" i="11"/>
  <c r="K84" i="11" s="1"/>
  <c r="J85" i="11"/>
  <c r="I85" i="11"/>
  <c r="Y85" i="11" s="1"/>
  <c r="X84" i="11"/>
  <c r="X83" i="11" s="1"/>
  <c r="AB82" i="11"/>
  <c r="AA82" i="11"/>
  <c r="Z82" i="11"/>
  <c r="Y82" i="11"/>
  <c r="X81" i="11"/>
  <c r="X80" i="11" s="1"/>
  <c r="X79" i="11" s="1"/>
  <c r="W81" i="11"/>
  <c r="W80" i="11" s="1"/>
  <c r="W79" i="11" s="1"/>
  <c r="V81" i="11"/>
  <c r="V80" i="11" s="1"/>
  <c r="V79" i="11" s="1"/>
  <c r="U81" i="11"/>
  <c r="U80" i="11" s="1"/>
  <c r="U79" i="11" s="1"/>
  <c r="T81" i="11"/>
  <c r="T80" i="11" s="1"/>
  <c r="T79" i="11" s="1"/>
  <c r="S81" i="11"/>
  <c r="S80" i="11" s="1"/>
  <c r="S79" i="11" s="1"/>
  <c r="R81" i="11"/>
  <c r="R80" i="11" s="1"/>
  <c r="R79" i="11" s="1"/>
  <c r="Q81" i="11"/>
  <c r="Q80" i="11" s="1"/>
  <c r="Q79" i="11" s="1"/>
  <c r="P81" i="11"/>
  <c r="P80" i="11" s="1"/>
  <c r="P79" i="11" s="1"/>
  <c r="O81" i="11"/>
  <c r="O80" i="11" s="1"/>
  <c r="O79" i="11" s="1"/>
  <c r="N81" i="11"/>
  <c r="N80" i="11" s="1"/>
  <c r="N79" i="11" s="1"/>
  <c r="M81" i="11"/>
  <c r="M80" i="11" s="1"/>
  <c r="M79" i="11" s="1"/>
  <c r="L81" i="11"/>
  <c r="L80" i="11" s="1"/>
  <c r="L79" i="11" s="1"/>
  <c r="K81" i="11"/>
  <c r="J81" i="11"/>
  <c r="Z81" i="11" s="1"/>
  <c r="I81" i="11"/>
  <c r="Y81" i="11" s="1"/>
  <c r="T77" i="11"/>
  <c r="S77" i="11"/>
  <c r="R77" i="11"/>
  <c r="Q77" i="11"/>
  <c r="P77" i="11"/>
  <c r="O77" i="11"/>
  <c r="N77" i="11"/>
  <c r="M77" i="11"/>
  <c r="L77" i="11"/>
  <c r="AB77" i="11" s="1"/>
  <c r="K77" i="11"/>
  <c r="AA77" i="11" s="1"/>
  <c r="J77" i="11"/>
  <c r="Z77" i="11" s="1"/>
  <c r="I77" i="11"/>
  <c r="Y77" i="11" s="1"/>
  <c r="X76" i="11"/>
  <c r="X75" i="11" s="1"/>
  <c r="W76" i="11"/>
  <c r="W75" i="11" s="1"/>
  <c r="V76" i="11"/>
  <c r="V75" i="11" s="1"/>
  <c r="U76" i="11"/>
  <c r="U75" i="11" s="1"/>
  <c r="T76" i="11"/>
  <c r="T75" i="11" s="1"/>
  <c r="S76" i="11"/>
  <c r="S75" i="11" s="1"/>
  <c r="R76" i="11"/>
  <c r="R75" i="11" s="1"/>
  <c r="Q76" i="11"/>
  <c r="Q75" i="11" s="1"/>
  <c r="P76" i="11"/>
  <c r="P75" i="11" s="1"/>
  <c r="O76" i="11"/>
  <c r="O75" i="11" s="1"/>
  <c r="N76" i="11"/>
  <c r="N75" i="11" s="1"/>
  <c r="M76" i="11"/>
  <c r="M75" i="11" s="1"/>
  <c r="L76" i="11"/>
  <c r="L75" i="11" s="1"/>
  <c r="AB75" i="11" s="1"/>
  <c r="K76" i="11"/>
  <c r="AA76" i="11" s="1"/>
  <c r="J76" i="11"/>
  <c r="Z76" i="11" s="1"/>
  <c r="I76" i="11"/>
  <c r="Y76" i="11" s="1"/>
  <c r="AB73" i="11"/>
  <c r="AA73" i="11"/>
  <c r="Z73" i="11"/>
  <c r="Y73" i="11"/>
  <c r="X72" i="11"/>
  <c r="X71" i="11" s="1"/>
  <c r="X70" i="11" s="1"/>
  <c r="W72" i="11"/>
  <c r="W71" i="11" s="1"/>
  <c r="W70" i="11" s="1"/>
  <c r="V72" i="11"/>
  <c r="V71" i="11" s="1"/>
  <c r="V70" i="11" s="1"/>
  <c r="U72" i="11"/>
  <c r="U71" i="11" s="1"/>
  <c r="U70" i="11" s="1"/>
  <c r="T72" i="11"/>
  <c r="T71" i="11" s="1"/>
  <c r="T70" i="11" s="1"/>
  <c r="S72" i="11"/>
  <c r="S71" i="11" s="1"/>
  <c r="S70" i="11" s="1"/>
  <c r="R72" i="11"/>
  <c r="R71" i="11" s="1"/>
  <c r="R70" i="11" s="1"/>
  <c r="Q72" i="11"/>
  <c r="Q71" i="11" s="1"/>
  <c r="Q70" i="11" s="1"/>
  <c r="P72" i="11"/>
  <c r="P71" i="11" s="1"/>
  <c r="P70" i="11" s="1"/>
  <c r="O72" i="11"/>
  <c r="O71" i="11" s="1"/>
  <c r="O70" i="11" s="1"/>
  <c r="N72" i="11"/>
  <c r="N71" i="11" s="1"/>
  <c r="N70" i="11" s="1"/>
  <c r="M72" i="11"/>
  <c r="M71" i="11" s="1"/>
  <c r="M70" i="11" s="1"/>
  <c r="L72" i="11"/>
  <c r="AB72" i="11" s="1"/>
  <c r="K72" i="11"/>
  <c r="AA72" i="11" s="1"/>
  <c r="J72" i="11"/>
  <c r="Z72" i="11" s="1"/>
  <c r="I72" i="11"/>
  <c r="Y72" i="11" s="1"/>
  <c r="AB69" i="11"/>
  <c r="AA69" i="11"/>
  <c r="Z69" i="11"/>
  <c r="Y69" i="11"/>
  <c r="X68" i="11"/>
  <c r="W68" i="11"/>
  <c r="V68" i="11"/>
  <c r="V67" i="11" s="1"/>
  <c r="V66" i="11" s="1"/>
  <c r="U68" i="11"/>
  <c r="U67" i="11" s="1"/>
  <c r="U66" i="11" s="1"/>
  <c r="T68" i="11"/>
  <c r="T67" i="11" s="1"/>
  <c r="T66" i="11" s="1"/>
  <c r="S68" i="11"/>
  <c r="S67" i="11" s="1"/>
  <c r="S66" i="11" s="1"/>
  <c r="R68" i="11"/>
  <c r="R67" i="11" s="1"/>
  <c r="R66" i="11" s="1"/>
  <c r="Q68" i="11"/>
  <c r="Q67" i="11" s="1"/>
  <c r="Q66" i="11" s="1"/>
  <c r="P68" i="11"/>
  <c r="P67" i="11" s="1"/>
  <c r="P66" i="11" s="1"/>
  <c r="O68" i="11"/>
  <c r="O67" i="11" s="1"/>
  <c r="O66" i="11" s="1"/>
  <c r="N68" i="11"/>
  <c r="N67" i="11" s="1"/>
  <c r="N66" i="11" s="1"/>
  <c r="M68" i="11"/>
  <c r="M67" i="11" s="1"/>
  <c r="M66" i="11" s="1"/>
  <c r="L68" i="11"/>
  <c r="AB68" i="11" s="1"/>
  <c r="K68" i="11"/>
  <c r="J68" i="11"/>
  <c r="J67" i="11" s="1"/>
  <c r="J66" i="11" s="1"/>
  <c r="Z66" i="11" s="1"/>
  <c r="I68" i="11"/>
  <c r="X67" i="11"/>
  <c r="X66" i="11" s="1"/>
  <c r="W67" i="11"/>
  <c r="W66" i="11" s="1"/>
  <c r="AB65" i="11"/>
  <c r="AA65" i="11"/>
  <c r="Z65" i="11"/>
  <c r="Y65" i="11"/>
  <c r="X64" i="11"/>
  <c r="X63" i="11" s="1"/>
  <c r="X62" i="11" s="1"/>
  <c r="W64" i="11"/>
  <c r="W63" i="11" s="1"/>
  <c r="W62" i="11" s="1"/>
  <c r="V64" i="11"/>
  <c r="V63" i="11" s="1"/>
  <c r="V62" i="11" s="1"/>
  <c r="U64" i="11"/>
  <c r="U63" i="11" s="1"/>
  <c r="U62" i="11" s="1"/>
  <c r="T64" i="11"/>
  <c r="T63" i="11" s="1"/>
  <c r="T62" i="11" s="1"/>
  <c r="S64" i="11"/>
  <c r="S63" i="11" s="1"/>
  <c r="S62" i="11" s="1"/>
  <c r="R64" i="11"/>
  <c r="R63" i="11" s="1"/>
  <c r="R62" i="11" s="1"/>
  <c r="Q64" i="11"/>
  <c r="Q63" i="11" s="1"/>
  <c r="Q62" i="11" s="1"/>
  <c r="P64" i="11"/>
  <c r="P63" i="11" s="1"/>
  <c r="P62" i="11" s="1"/>
  <c r="O64" i="11"/>
  <c r="O63" i="11" s="1"/>
  <c r="O62" i="11" s="1"/>
  <c r="N64" i="11"/>
  <c r="N63" i="11" s="1"/>
  <c r="N62" i="11" s="1"/>
  <c r="M64" i="11"/>
  <c r="M63" i="11" s="1"/>
  <c r="M62" i="11" s="1"/>
  <c r="L64" i="11"/>
  <c r="K64" i="11"/>
  <c r="K63" i="11" s="1"/>
  <c r="K62" i="11" s="1"/>
  <c r="AA62" i="11" s="1"/>
  <c r="J64" i="11"/>
  <c r="Z64" i="11" s="1"/>
  <c r="I64" i="11"/>
  <c r="Y64" i="11" s="1"/>
  <c r="AB61" i="11"/>
  <c r="AA61" i="11"/>
  <c r="Z61" i="11"/>
  <c r="Y61" i="11"/>
  <c r="X60" i="11"/>
  <c r="X59" i="11" s="1"/>
  <c r="X58" i="11" s="1"/>
  <c r="W60" i="11"/>
  <c r="W59" i="11" s="1"/>
  <c r="W58" i="11" s="1"/>
  <c r="V60" i="11"/>
  <c r="V59" i="11" s="1"/>
  <c r="V58" i="11" s="1"/>
  <c r="U60" i="11"/>
  <c r="U59" i="11" s="1"/>
  <c r="U58" i="11" s="1"/>
  <c r="T60" i="11"/>
  <c r="T59" i="11" s="1"/>
  <c r="T58" i="11" s="1"/>
  <c r="S60" i="11"/>
  <c r="S59" i="11" s="1"/>
  <c r="S58" i="11" s="1"/>
  <c r="R60" i="11"/>
  <c r="R59" i="11" s="1"/>
  <c r="R58" i="11" s="1"/>
  <c r="Q60" i="11"/>
  <c r="Q59" i="11" s="1"/>
  <c r="Q58" i="11" s="1"/>
  <c r="P60" i="11"/>
  <c r="P59" i="11" s="1"/>
  <c r="P58" i="11" s="1"/>
  <c r="O60" i="11"/>
  <c r="O59" i="11" s="1"/>
  <c r="O58" i="11" s="1"/>
  <c r="N60" i="11"/>
  <c r="N59" i="11" s="1"/>
  <c r="N58" i="11" s="1"/>
  <c r="M60" i="11"/>
  <c r="M59" i="11" s="1"/>
  <c r="M58" i="11" s="1"/>
  <c r="L60" i="11"/>
  <c r="L59" i="11" s="1"/>
  <c r="L58" i="11" s="1"/>
  <c r="K60" i="11"/>
  <c r="AA60" i="11" s="1"/>
  <c r="J60" i="11"/>
  <c r="Z60" i="11" s="1"/>
  <c r="I60" i="11"/>
  <c r="Y60" i="11" s="1"/>
  <c r="AB57" i="11"/>
  <c r="AA57" i="11"/>
  <c r="Z57" i="11"/>
  <c r="Y57" i="11"/>
  <c r="X56" i="11"/>
  <c r="W56" i="11"/>
  <c r="V56" i="11"/>
  <c r="U56" i="11"/>
  <c r="T56" i="11"/>
  <c r="S56" i="11"/>
  <c r="R56" i="11"/>
  <c r="Q56" i="11"/>
  <c r="P56" i="11"/>
  <c r="O56" i="11"/>
  <c r="N56" i="11"/>
  <c r="M56" i="11"/>
  <c r="L56" i="11"/>
  <c r="AB56" i="11" s="1"/>
  <c r="K56" i="11"/>
  <c r="AA56" i="11" s="1"/>
  <c r="J56" i="11"/>
  <c r="Z56" i="11" s="1"/>
  <c r="I56" i="11"/>
  <c r="Y56" i="11" s="1"/>
  <c r="X55" i="11"/>
  <c r="X54" i="11" s="1"/>
  <c r="W55" i="11"/>
  <c r="W54" i="11" s="1"/>
  <c r="V55" i="11"/>
  <c r="V54" i="11" s="1"/>
  <c r="U55" i="11"/>
  <c r="U54" i="11" s="1"/>
  <c r="T55" i="11"/>
  <c r="T54" i="11" s="1"/>
  <c r="S55" i="11"/>
  <c r="S54" i="11" s="1"/>
  <c r="R55" i="11"/>
  <c r="R54" i="11" s="1"/>
  <c r="Q55" i="11"/>
  <c r="Q54" i="11" s="1"/>
  <c r="P55" i="11"/>
  <c r="P54" i="11" s="1"/>
  <c r="O55" i="11"/>
  <c r="O54" i="11" s="1"/>
  <c r="N55" i="11"/>
  <c r="N54" i="11" s="1"/>
  <c r="M55" i="11"/>
  <c r="M54" i="11" s="1"/>
  <c r="L55" i="11"/>
  <c r="L54" i="11" s="1"/>
  <c r="AB54" i="11" s="1"/>
  <c r="K55" i="11"/>
  <c r="AA55" i="11" s="1"/>
  <c r="J55" i="11"/>
  <c r="I55" i="11"/>
  <c r="Y55" i="11" s="1"/>
  <c r="AB53" i="11"/>
  <c r="AA53" i="11"/>
  <c r="Z53" i="11"/>
  <c r="Y53" i="11"/>
  <c r="X52" i="11"/>
  <c r="W52" i="11"/>
  <c r="V52" i="11"/>
  <c r="U52" i="11"/>
  <c r="U51" i="11" s="1"/>
  <c r="U50" i="11" s="1"/>
  <c r="T52" i="11"/>
  <c r="T51" i="11" s="1"/>
  <c r="T50" i="11" s="1"/>
  <c r="S52" i="11"/>
  <c r="R52" i="11"/>
  <c r="R51" i="11" s="1"/>
  <c r="R50" i="11" s="1"/>
  <c r="Q52" i="11"/>
  <c r="Q51" i="11" s="1"/>
  <c r="Q50" i="11" s="1"/>
  <c r="P52" i="11"/>
  <c r="P51" i="11" s="1"/>
  <c r="P50" i="11" s="1"/>
  <c r="O52" i="11"/>
  <c r="N52" i="11"/>
  <c r="N51" i="11" s="1"/>
  <c r="N50" i="11" s="1"/>
  <c r="M52" i="11"/>
  <c r="M51" i="11" s="1"/>
  <c r="M50" i="11" s="1"/>
  <c r="L52" i="11"/>
  <c r="AB52" i="11" s="1"/>
  <c r="K52" i="11"/>
  <c r="AA52" i="11" s="1"/>
  <c r="J52" i="11"/>
  <c r="Z52" i="11" s="1"/>
  <c r="I52" i="11"/>
  <c r="I51" i="11" s="1"/>
  <c r="I50" i="11" s="1"/>
  <c r="Y50" i="11" s="1"/>
  <c r="X51" i="11"/>
  <c r="X50" i="11" s="1"/>
  <c r="W51" i="11"/>
  <c r="V51" i="11"/>
  <c r="V50" i="11" s="1"/>
  <c r="S51" i="11"/>
  <c r="S50" i="11" s="1"/>
  <c r="O51" i="11"/>
  <c r="O50" i="11" s="1"/>
  <c r="K51" i="11"/>
  <c r="W50" i="11"/>
  <c r="AB46" i="11"/>
  <c r="AA46" i="11"/>
  <c r="Z46" i="11"/>
  <c r="Y46" i="11"/>
  <c r="AB45" i="11"/>
  <c r="AA45" i="11"/>
  <c r="Z45" i="11"/>
  <c r="Y45" i="11"/>
  <c r="AB44" i="11"/>
  <c r="AA44" i="11"/>
  <c r="Z44" i="11"/>
  <c r="Y44" i="11"/>
  <c r="AB43" i="11"/>
  <c r="AA43" i="11"/>
  <c r="Z43" i="11"/>
  <c r="Y43" i="11"/>
  <c r="X42" i="11"/>
  <c r="W42" i="11"/>
  <c r="V42" i="11"/>
  <c r="U42" i="11"/>
  <c r="T42" i="11"/>
  <c r="S42" i="11"/>
  <c r="R42" i="11"/>
  <c r="Q42" i="11"/>
  <c r="P42" i="11"/>
  <c r="O42" i="11"/>
  <c r="N42" i="11"/>
  <c r="M42" i="11"/>
  <c r="L42" i="11"/>
  <c r="AB42" i="11" s="1"/>
  <c r="K42" i="11"/>
  <c r="J42" i="11"/>
  <c r="Z42" i="11" s="1"/>
  <c r="I42" i="11"/>
  <c r="Y42" i="11" s="1"/>
  <c r="AB41" i="11"/>
  <c r="AA41" i="11"/>
  <c r="Z41" i="11"/>
  <c r="Y41" i="11"/>
  <c r="AB40" i="11"/>
  <c r="AA40" i="11"/>
  <c r="Z40" i="11"/>
  <c r="Y40" i="11"/>
  <c r="AB39" i="11"/>
  <c r="AA39" i="11"/>
  <c r="Z39" i="11"/>
  <c r="Y39" i="11"/>
  <c r="X38" i="11"/>
  <c r="W38" i="11"/>
  <c r="V38" i="11"/>
  <c r="U38" i="11"/>
  <c r="T38" i="11"/>
  <c r="S38" i="11"/>
  <c r="R38" i="11"/>
  <c r="Q38" i="11"/>
  <c r="P38" i="11"/>
  <c r="O38" i="11"/>
  <c r="N38" i="11"/>
  <c r="M38" i="11"/>
  <c r="L38" i="11"/>
  <c r="AB38" i="11" s="1"/>
  <c r="K38" i="11"/>
  <c r="AA38" i="11" s="1"/>
  <c r="J38" i="11"/>
  <c r="Z38" i="11" s="1"/>
  <c r="I38" i="11"/>
  <c r="Y38" i="11" s="1"/>
  <c r="X37" i="11"/>
  <c r="W37" i="11"/>
  <c r="V37" i="11"/>
  <c r="U37" i="11"/>
  <c r="T37" i="11"/>
  <c r="S37" i="11"/>
  <c r="R37" i="11"/>
  <c r="Q37" i="11"/>
  <c r="P37" i="11"/>
  <c r="O37" i="11"/>
  <c r="N37" i="11"/>
  <c r="M37" i="11"/>
  <c r="L37" i="11"/>
  <c r="AB37" i="11" s="1"/>
  <c r="K37" i="11"/>
  <c r="AA37" i="11" s="1"/>
  <c r="J37" i="11"/>
  <c r="Z37" i="11" s="1"/>
  <c r="I37" i="11"/>
  <c r="Y37" i="11" s="1"/>
  <c r="AB36" i="11"/>
  <c r="AA36" i="11"/>
  <c r="Z36" i="11"/>
  <c r="Y36" i="11"/>
  <c r="AB35" i="11"/>
  <c r="AA35" i="11"/>
  <c r="Z35" i="11"/>
  <c r="Y35" i="11"/>
  <c r="AB34" i="11"/>
  <c r="AA34" i="11"/>
  <c r="Z34" i="11"/>
  <c r="Y34" i="11"/>
  <c r="X33" i="11"/>
  <c r="W33" i="11"/>
  <c r="V33" i="11"/>
  <c r="U33" i="11"/>
  <c r="T33" i="11"/>
  <c r="S33" i="11"/>
  <c r="R33" i="11"/>
  <c r="Q33" i="11"/>
  <c r="P33" i="11"/>
  <c r="O33" i="11"/>
  <c r="N33" i="11"/>
  <c r="M33" i="11"/>
  <c r="L33" i="11"/>
  <c r="AB33" i="11" s="1"/>
  <c r="K33" i="11"/>
  <c r="J33" i="11"/>
  <c r="Z33" i="11" s="1"/>
  <c r="I33" i="11"/>
  <c r="Y33" i="11" s="1"/>
  <c r="AB32" i="11"/>
  <c r="AB31" i="11" s="1"/>
  <c r="AA32" i="11"/>
  <c r="AA31" i="11" s="1"/>
  <c r="Z32" i="11"/>
  <c r="Z31" i="11" s="1"/>
  <c r="Y32" i="11"/>
  <c r="Y31" i="11" s="1"/>
  <c r="X31" i="11"/>
  <c r="W31" i="11"/>
  <c r="V31" i="11"/>
  <c r="U31" i="11"/>
  <c r="T31" i="11"/>
  <c r="S31" i="11"/>
  <c r="R31" i="11"/>
  <c r="Q31" i="11"/>
  <c r="P31" i="11"/>
  <c r="O31" i="11"/>
  <c r="N31" i="11"/>
  <c r="M31" i="11"/>
  <c r="L31" i="11"/>
  <c r="K31" i="11"/>
  <c r="J31" i="11"/>
  <c r="I31" i="11"/>
  <c r="AB30" i="11"/>
  <c r="AA30" i="11"/>
  <c r="Z30" i="11"/>
  <c r="Y30" i="11"/>
  <c r="X29" i="11"/>
  <c r="W29" i="11"/>
  <c r="V29" i="11"/>
  <c r="U29" i="11"/>
  <c r="T29" i="11"/>
  <c r="S29" i="11"/>
  <c r="R29" i="11"/>
  <c r="Q29" i="11"/>
  <c r="P29" i="11"/>
  <c r="O29" i="11"/>
  <c r="N29" i="11"/>
  <c r="M29" i="11"/>
  <c r="L29" i="11"/>
  <c r="AB29" i="11" s="1"/>
  <c r="K29" i="11"/>
  <c r="AA29" i="11" s="1"/>
  <c r="J29" i="11"/>
  <c r="Z29" i="11" s="1"/>
  <c r="I29" i="11"/>
  <c r="Y29" i="11" s="1"/>
  <c r="AB28" i="11"/>
  <c r="AA28" i="11"/>
  <c r="Z28" i="11"/>
  <c r="Y28" i="11"/>
  <c r="AB27" i="11"/>
  <c r="AB26" i="11" s="1"/>
  <c r="AB25" i="11" s="1"/>
  <c r="AA27" i="11"/>
  <c r="AA26" i="11" s="1"/>
  <c r="AA25" i="11" s="1"/>
  <c r="Z27" i="11"/>
  <c r="Z26" i="11" s="1"/>
  <c r="Z25" i="11" s="1"/>
  <c r="Y27" i="11"/>
  <c r="Y26" i="11" s="1"/>
  <c r="Y25" i="11" s="1"/>
  <c r="X26" i="11"/>
  <c r="W26" i="11"/>
  <c r="V26" i="11"/>
  <c r="V25" i="11" s="1"/>
  <c r="U26" i="11"/>
  <c r="U25" i="11" s="1"/>
  <c r="T26" i="11"/>
  <c r="T25" i="11" s="1"/>
  <c r="S26" i="11"/>
  <c r="S25" i="11" s="1"/>
  <c r="R26" i="11"/>
  <c r="R25" i="11" s="1"/>
  <c r="Q26" i="11"/>
  <c r="Q25" i="11" s="1"/>
  <c r="P26" i="11"/>
  <c r="P25" i="11" s="1"/>
  <c r="O26" i="11"/>
  <c r="O25" i="11" s="1"/>
  <c r="N26" i="11"/>
  <c r="N25" i="11" s="1"/>
  <c r="M26" i="11"/>
  <c r="M25" i="11" s="1"/>
  <c r="L26" i="11"/>
  <c r="L25" i="11" s="1"/>
  <c r="K26" i="11"/>
  <c r="K25" i="11" s="1"/>
  <c r="J26" i="11"/>
  <c r="J25" i="11" s="1"/>
  <c r="I26" i="11"/>
  <c r="I25" i="11" s="1"/>
  <c r="X25" i="11"/>
  <c r="W25" i="11"/>
  <c r="AB23" i="11"/>
  <c r="AA23" i="11"/>
  <c r="Z23" i="11"/>
  <c r="Y23" i="11"/>
  <c r="AB22" i="11"/>
  <c r="AB21" i="11" s="1"/>
  <c r="AA22" i="11"/>
  <c r="AA21" i="11" s="1"/>
  <c r="Z22" i="11"/>
  <c r="Z21" i="11" s="1"/>
  <c r="Y22" i="11"/>
  <c r="X21" i="11"/>
  <c r="W21" i="11"/>
  <c r="V21" i="11"/>
  <c r="U21" i="11"/>
  <c r="T21" i="11"/>
  <c r="S21" i="11"/>
  <c r="R21" i="11"/>
  <c r="Q21" i="11"/>
  <c r="P21" i="11"/>
  <c r="O21" i="11"/>
  <c r="N21" i="11"/>
  <c r="M21" i="11"/>
  <c r="L21" i="11"/>
  <c r="K21" i="11"/>
  <c r="J21" i="11"/>
  <c r="I21" i="11"/>
  <c r="AB20" i="11"/>
  <c r="AA20" i="11"/>
  <c r="Z20" i="11"/>
  <c r="Y20" i="11"/>
  <c r="AB19" i="11"/>
  <c r="AA19" i="11"/>
  <c r="Z19" i="11"/>
  <c r="Y19" i="11"/>
  <c r="X18" i="11"/>
  <c r="W18" i="11"/>
  <c r="V18" i="11"/>
  <c r="V17" i="11" s="1"/>
  <c r="U18" i="11"/>
  <c r="U17" i="11" s="1"/>
  <c r="T18" i="11"/>
  <c r="T17" i="11" s="1"/>
  <c r="S18" i="11"/>
  <c r="S17" i="11" s="1"/>
  <c r="R18" i="11"/>
  <c r="R17" i="11" s="1"/>
  <c r="Q18" i="11"/>
  <c r="Q17" i="11" s="1"/>
  <c r="P18" i="11"/>
  <c r="P17" i="11" s="1"/>
  <c r="O18" i="11"/>
  <c r="O17" i="11" s="1"/>
  <c r="N18" i="11"/>
  <c r="N17" i="11" s="1"/>
  <c r="M18" i="11"/>
  <c r="M17" i="11" s="1"/>
  <c r="L18" i="11"/>
  <c r="K18" i="11"/>
  <c r="AA18" i="11" s="1"/>
  <c r="J18" i="11"/>
  <c r="J17" i="11" s="1"/>
  <c r="I18" i="11"/>
  <c r="I17" i="11" s="1"/>
  <c r="Y17" i="11" s="1"/>
  <c r="X17" i="11"/>
  <c r="W17" i="11"/>
  <c r="AB16" i="11"/>
  <c r="AA16" i="11"/>
  <c r="Z16" i="11"/>
  <c r="Y16" i="11"/>
  <c r="X15" i="11"/>
  <c r="W15" i="11"/>
  <c r="V15" i="11"/>
  <c r="U15" i="11"/>
  <c r="T15" i="11"/>
  <c r="S15" i="11"/>
  <c r="R15" i="11"/>
  <c r="Q15" i="11"/>
  <c r="P15" i="11"/>
  <c r="O15" i="11"/>
  <c r="N15" i="11"/>
  <c r="M15" i="11"/>
  <c r="L15" i="11"/>
  <c r="AB15" i="11" s="1"/>
  <c r="K15" i="11"/>
  <c r="J15" i="11"/>
  <c r="Z15" i="11" s="1"/>
  <c r="I15" i="11"/>
  <c r="AB14" i="11"/>
  <c r="AA14" i="11"/>
  <c r="Z14" i="11"/>
  <c r="Y14" i="11"/>
  <c r="AB13" i="11"/>
  <c r="AA13" i="11"/>
  <c r="Z13" i="11"/>
  <c r="Y13" i="11"/>
  <c r="X12" i="11"/>
  <c r="W12" i="11"/>
  <c r="V12" i="11"/>
  <c r="U12" i="11"/>
  <c r="T12" i="11"/>
  <c r="S12" i="11"/>
  <c r="R12" i="11"/>
  <c r="Q12" i="11"/>
  <c r="P12" i="11"/>
  <c r="O12" i="11"/>
  <c r="N12" i="11"/>
  <c r="M12" i="11"/>
  <c r="L12" i="11"/>
  <c r="AB12" i="11" s="1"/>
  <c r="K12" i="11"/>
  <c r="AA12" i="11" s="1"/>
  <c r="J12" i="11"/>
  <c r="Z12" i="11" s="1"/>
  <c r="I12" i="11"/>
  <c r="Y12" i="11" s="1"/>
  <c r="X11" i="11"/>
  <c r="W11" i="11"/>
  <c r="V11" i="11"/>
  <c r="V10" i="11" s="1"/>
  <c r="U11" i="11"/>
  <c r="U10" i="11" s="1"/>
  <c r="T11" i="11"/>
  <c r="T10" i="11" s="1"/>
  <c r="S11" i="11"/>
  <c r="S10" i="11" s="1"/>
  <c r="R11" i="11"/>
  <c r="R10" i="11" s="1"/>
  <c r="Q11" i="11"/>
  <c r="Q10" i="11" s="1"/>
  <c r="P11" i="11"/>
  <c r="P10" i="11" s="1"/>
  <c r="O11" i="11"/>
  <c r="O10" i="11" s="1"/>
  <c r="N11" i="11"/>
  <c r="N10" i="11" s="1"/>
  <c r="M11" i="11"/>
  <c r="M10" i="11" s="1"/>
  <c r="L11" i="11"/>
  <c r="AB11" i="11" s="1"/>
  <c r="K11" i="11"/>
  <c r="J11" i="11"/>
  <c r="J10" i="11" s="1"/>
  <c r="I11" i="11"/>
  <c r="I10" i="11" s="1"/>
  <c r="X10" i="11"/>
  <c r="W10" i="11"/>
  <c r="T8" i="11"/>
  <c r="T6" i="11" s="1"/>
  <c r="S8" i="11"/>
  <c r="S6" i="11" s="1"/>
  <c r="M8" i="11"/>
  <c r="M6" i="11" s="1"/>
  <c r="L8" i="11"/>
  <c r="K8" i="11"/>
  <c r="K6" i="11" s="1"/>
  <c r="J8" i="11"/>
  <c r="Z8" i="11" s="1"/>
  <c r="I8" i="11"/>
  <c r="Y8" i="11" s="1"/>
  <c r="AB7" i="11"/>
  <c r="AA7" i="11"/>
  <c r="Z7" i="11"/>
  <c r="Y7" i="11"/>
  <c r="X6" i="11"/>
  <c r="X5" i="11" s="1"/>
  <c r="W6" i="11"/>
  <c r="W5" i="11" s="1"/>
  <c r="V6" i="11"/>
  <c r="V5" i="11" s="1"/>
  <c r="U6" i="11"/>
  <c r="U5" i="11" s="1"/>
  <c r="R6" i="11"/>
  <c r="Q6" i="11"/>
  <c r="P6" i="11"/>
  <c r="O6" i="11"/>
  <c r="N6" i="11"/>
  <c r="T5" i="11"/>
  <c r="S5" i="11"/>
  <c r="R5" i="11"/>
  <c r="Q5" i="11"/>
  <c r="P5" i="11"/>
  <c r="O5" i="11"/>
  <c r="N5" i="11"/>
  <c r="M5" i="11"/>
  <c r="L5" i="11"/>
  <c r="K5" i="11"/>
  <c r="J5" i="11"/>
  <c r="I5" i="11"/>
  <c r="AA15" i="11" l="1"/>
  <c r="K186" i="11"/>
  <c r="AA186" i="11" s="1"/>
  <c r="J137" i="11"/>
  <c r="AA162" i="11"/>
  <c r="U88" i="11"/>
  <c r="U87" i="11" s="1"/>
  <c r="I75" i="11"/>
  <c r="L186" i="11"/>
  <c r="L185" i="11" s="1"/>
  <c r="AB185" i="11" s="1"/>
  <c r="J151" i="11"/>
  <c r="J150" i="11" s="1"/>
  <c r="I186" i="11"/>
  <c r="I185" i="11" s="1"/>
  <c r="Y185" i="11" s="1"/>
  <c r="AB58" i="11"/>
  <c r="J75" i="11"/>
  <c r="Z75" i="11" s="1"/>
  <c r="Y15" i="11"/>
  <c r="Z186" i="11"/>
  <c r="Z187" i="11"/>
  <c r="AB5" i="11"/>
  <c r="AB79" i="11"/>
  <c r="AA51" i="11"/>
  <c r="AB64" i="11"/>
  <c r="AA42" i="11"/>
  <c r="L51" i="11"/>
  <c r="L50" i="11" s="1"/>
  <c r="AB50" i="11" s="1"/>
  <c r="I59" i="11"/>
  <c r="Y59" i="11" s="1"/>
  <c r="K161" i="11"/>
  <c r="K160" i="11" s="1"/>
  <c r="AA160" i="11" s="1"/>
  <c r="J164" i="11"/>
  <c r="Z164" i="11" s="1"/>
  <c r="Y164" i="11"/>
  <c r="I84" i="11"/>
  <c r="I83" i="11" s="1"/>
  <c r="Y83" i="11" s="1"/>
  <c r="Y95" i="11"/>
  <c r="L98" i="11"/>
  <c r="L97" i="11" s="1"/>
  <c r="AB97" i="11" s="1"/>
  <c r="W9" i="11"/>
  <c r="S9" i="11"/>
  <c r="J71" i="11"/>
  <c r="Z71" i="11" s="1"/>
  <c r="Z150" i="11"/>
  <c r="V184" i="11"/>
  <c r="X24" i="11"/>
  <c r="L24" i="11"/>
  <c r="P24" i="11"/>
  <c r="T24" i="11"/>
  <c r="J51" i="11"/>
  <c r="J50" i="11" s="1"/>
  <c r="Z50" i="11" s="1"/>
  <c r="J181" i="11"/>
  <c r="J180" i="11" s="1"/>
  <c r="Z180" i="11" s="1"/>
  <c r="J190" i="11"/>
  <c r="Z190" i="11" s="1"/>
  <c r="AB18" i="11"/>
  <c r="O24" i="11"/>
  <c r="L206" i="11"/>
  <c r="L205" i="11" s="1"/>
  <c r="Y21" i="11"/>
  <c r="Z95" i="11"/>
  <c r="I106" i="11"/>
  <c r="I105" i="11" s="1"/>
  <c r="Y105" i="11" s="1"/>
  <c r="K141" i="11"/>
  <c r="K140" i="11" s="1"/>
  <c r="I146" i="11"/>
  <c r="Y146" i="11" s="1"/>
  <c r="AB59" i="11"/>
  <c r="Q74" i="11"/>
  <c r="I94" i="11"/>
  <c r="I93" i="11" s="1"/>
  <c r="Y93" i="11" s="1"/>
  <c r="AC93" i="11" s="1"/>
  <c r="I98" i="11"/>
  <c r="I97" i="11" s="1"/>
  <c r="Y97" i="11" s="1"/>
  <c r="K137" i="11"/>
  <c r="J147" i="11"/>
  <c r="J146" i="11" s="1"/>
  <c r="J155" i="11"/>
  <c r="J154" i="11" s="1"/>
  <c r="K164" i="11"/>
  <c r="AA164" i="11" s="1"/>
  <c r="J169" i="11"/>
  <c r="Z169" i="11" s="1"/>
  <c r="K206" i="11"/>
  <c r="K205" i="11" s="1"/>
  <c r="L217" i="11"/>
  <c r="J177" i="11"/>
  <c r="Z177" i="11" s="1"/>
  <c r="I181" i="11"/>
  <c r="I180" i="11" s="1"/>
  <c r="J205" i="11"/>
  <c r="K133" i="11"/>
  <c r="K132" i="11" s="1"/>
  <c r="AA132" i="11" s="1"/>
  <c r="L133" i="11"/>
  <c r="L132" i="11" s="1"/>
  <c r="AB132" i="11" s="1"/>
  <c r="J94" i="11"/>
  <c r="Z94" i="11" s="1"/>
  <c r="AA91" i="11"/>
  <c r="Y68" i="11"/>
  <c r="AA156" i="11"/>
  <c r="AB8" i="11"/>
  <c r="AB6" i="11" s="1"/>
  <c r="AA11" i="11"/>
  <c r="L137" i="11"/>
  <c r="AB137" i="11" s="1"/>
  <c r="L84" i="11"/>
  <c r="J110" i="11"/>
  <c r="Z110" i="11" s="1"/>
  <c r="W184" i="11"/>
  <c r="Y166" i="11"/>
  <c r="K190" i="11"/>
  <c r="K189" i="11" s="1"/>
  <c r="I206" i="11"/>
  <c r="I205" i="11" s="1"/>
  <c r="X9" i="11"/>
  <c r="P9" i="11"/>
  <c r="T9" i="11"/>
  <c r="T4" i="11" s="1"/>
  <c r="Z17" i="11"/>
  <c r="K50" i="11"/>
  <c r="Q49" i="11"/>
  <c r="Y52" i="11"/>
  <c r="M9" i="11"/>
  <c r="Q9" i="11"/>
  <c r="U9" i="11"/>
  <c r="N49" i="11"/>
  <c r="R49" i="11"/>
  <c r="V49" i="11"/>
  <c r="I67" i="11"/>
  <c r="I66" i="11" s="1"/>
  <c r="Y66" i="11" s="1"/>
  <c r="AC66" i="11" s="1"/>
  <c r="I71" i="11"/>
  <c r="I70" i="11" s="1"/>
  <c r="Y70" i="11" s="1"/>
  <c r="K151" i="11"/>
  <c r="K150" i="11" s="1"/>
  <c r="I161" i="11"/>
  <c r="I160" i="11" s="1"/>
  <c r="Y160" i="11" s="1"/>
  <c r="Q184" i="11"/>
  <c r="I6" i="11"/>
  <c r="K71" i="11"/>
  <c r="K70" i="11" s="1"/>
  <c r="AA70" i="11" s="1"/>
  <c r="O121" i="11"/>
  <c r="S121" i="11"/>
  <c r="AB191" i="11"/>
  <c r="J221" i="11"/>
  <c r="Z91" i="11"/>
  <c r="V159" i="11"/>
  <c r="W24" i="11"/>
  <c r="I58" i="11"/>
  <c r="Y58" i="11" s="1"/>
  <c r="T121" i="11"/>
  <c r="N159" i="11"/>
  <c r="K169" i="11"/>
  <c r="K168" i="11" s="1"/>
  <c r="AA168" i="11" s="1"/>
  <c r="AB170" i="11"/>
  <c r="L177" i="11"/>
  <c r="L176" i="11" s="1"/>
  <c r="AB176" i="11" s="1"/>
  <c r="L198" i="11"/>
  <c r="L197" i="11" s="1"/>
  <c r="I24" i="11"/>
  <c r="M24" i="11"/>
  <c r="Q24" i="11"/>
  <c r="U24" i="11"/>
  <c r="I63" i="11"/>
  <c r="I62" i="11" s="1"/>
  <c r="Y62" i="11" s="1"/>
  <c r="AC62" i="11" s="1"/>
  <c r="L67" i="11"/>
  <c r="L66" i="11" s="1"/>
  <c r="AB66" i="11" s="1"/>
  <c r="J80" i="11"/>
  <c r="J79" i="11" s="1"/>
  <c r="Z79" i="11" s="1"/>
  <c r="L102" i="11"/>
  <c r="AB102" i="11" s="1"/>
  <c r="Q121" i="11"/>
  <c r="V145" i="11"/>
  <c r="J161" i="11"/>
  <c r="J160" i="11" s="1"/>
  <c r="I176" i="11"/>
  <c r="Y176" i="11" s="1"/>
  <c r="J185" i="11"/>
  <c r="Z185" i="11" s="1"/>
  <c r="X184" i="11"/>
  <c r="I197" i="11"/>
  <c r="L114" i="11"/>
  <c r="L113" i="11" s="1"/>
  <c r="AB113" i="11" s="1"/>
  <c r="N184" i="11"/>
  <c r="S24" i="11"/>
  <c r="S4" i="11" s="1"/>
  <c r="M49" i="11"/>
  <c r="L63" i="11"/>
  <c r="AB63" i="11" s="1"/>
  <c r="Y75" i="11"/>
  <c r="AB81" i="11"/>
  <c r="J90" i="11"/>
  <c r="J89" i="11" s="1"/>
  <c r="Z89" i="11" s="1"/>
  <c r="J106" i="11"/>
  <c r="J105" i="11" s="1"/>
  <c r="Z105" i="11" s="1"/>
  <c r="J123" i="11"/>
  <c r="Z123" i="11" s="1"/>
  <c r="P121" i="11"/>
  <c r="N127" i="11"/>
  <c r="R127" i="11"/>
  <c r="AB80" i="11"/>
  <c r="AB148" i="11"/>
  <c r="Z6" i="11"/>
  <c r="N9" i="11"/>
  <c r="R9" i="11"/>
  <c r="V9" i="11"/>
  <c r="K24" i="11"/>
  <c r="I54" i="11"/>
  <c r="Y54" i="11" s="1"/>
  <c r="J59" i="11"/>
  <c r="J58" i="11" s="1"/>
  <c r="Z58" i="11" s="1"/>
  <c r="AB60" i="11"/>
  <c r="Z68" i="11"/>
  <c r="R74" i="11"/>
  <c r="Y84" i="11"/>
  <c r="I141" i="11"/>
  <c r="I140" i="11" s="1"/>
  <c r="W159" i="11"/>
  <c r="O159" i="11"/>
  <c r="K181" i="11"/>
  <c r="K180" i="11" s="1"/>
  <c r="AA180" i="11" s="1"/>
  <c r="P184" i="11"/>
  <c r="S184" i="11"/>
  <c r="L209" i="11"/>
  <c r="I214" i="11"/>
  <c r="I213" i="11" s="1"/>
  <c r="Y213" i="11" s="1"/>
  <c r="V127" i="11"/>
  <c r="K59" i="11"/>
  <c r="K58" i="11" s="1"/>
  <c r="AA58" i="11" s="1"/>
  <c r="S49" i="11"/>
  <c r="M74" i="11"/>
  <c r="O74" i="11"/>
  <c r="S74" i="11"/>
  <c r="W74" i="11"/>
  <c r="Z103" i="11"/>
  <c r="I110" i="11"/>
  <c r="I109" i="11" s="1"/>
  <c r="W127" i="11"/>
  <c r="O127" i="11"/>
  <c r="I136" i="11"/>
  <c r="Y136" i="11" s="1"/>
  <c r="J141" i="11"/>
  <c r="L147" i="11"/>
  <c r="L146" i="11" s="1"/>
  <c r="AB146" i="11" s="1"/>
  <c r="I151" i="11"/>
  <c r="I150" i="11" s="1"/>
  <c r="Y150" i="11" s="1"/>
  <c r="O184" i="11"/>
  <c r="K198" i="11"/>
  <c r="K197" i="11" s="1"/>
  <c r="I202" i="11"/>
  <c r="I201" i="11" s="1"/>
  <c r="L214" i="11"/>
  <c r="I221" i="11"/>
  <c r="O9" i="11"/>
  <c r="L94" i="11"/>
  <c r="L93" i="11" s="1"/>
  <c r="AB93" i="11" s="1"/>
  <c r="AB95" i="11"/>
  <c r="Y5" i="11"/>
  <c r="J6" i="11"/>
  <c r="Y6" i="11"/>
  <c r="U49" i="11"/>
  <c r="AA68" i="11"/>
  <c r="K67" i="11"/>
  <c r="V74" i="11"/>
  <c r="I90" i="11"/>
  <c r="K106" i="11"/>
  <c r="K105" i="11" s="1"/>
  <c r="AA105" i="11" s="1"/>
  <c r="AA124" i="11"/>
  <c r="K123" i="11"/>
  <c r="AA123" i="11" s="1"/>
  <c r="M88" i="11"/>
  <c r="M87" i="11"/>
  <c r="Y134" i="11"/>
  <c r="I133" i="11"/>
  <c r="I132" i="11" s="1"/>
  <c r="Y132" i="11" s="1"/>
  <c r="J24" i="11"/>
  <c r="N24" i="11"/>
  <c r="R24" i="11"/>
  <c r="V24" i="11"/>
  <c r="O49" i="11"/>
  <c r="Z130" i="11"/>
  <c r="J129" i="11"/>
  <c r="Z137" i="11"/>
  <c r="J136" i="11"/>
  <c r="N158" i="11"/>
  <c r="Q88" i="11"/>
  <c r="Q87" i="11"/>
  <c r="L6" i="11"/>
  <c r="AA8" i="11"/>
  <c r="AA6" i="11" s="1"/>
  <c r="Z55" i="11"/>
  <c r="J54" i="11"/>
  <c r="Z54" i="11" s="1"/>
  <c r="U74" i="11"/>
  <c r="K98" i="11"/>
  <c r="AA98" i="11" s="1"/>
  <c r="AA99" i="11"/>
  <c r="I102" i="11"/>
  <c r="I114" i="11"/>
  <c r="S127" i="11"/>
  <c r="S126" i="11"/>
  <c r="Y169" i="11"/>
  <c r="I168" i="11"/>
  <c r="Y168" i="11" s="1"/>
  <c r="AA64" i="11"/>
  <c r="P74" i="11"/>
  <c r="T74" i="11"/>
  <c r="X74" i="11"/>
  <c r="I80" i="11"/>
  <c r="K102" i="11"/>
  <c r="AA102" i="11" s="1"/>
  <c r="AA137" i="11"/>
  <c r="K136" i="11"/>
  <c r="W145" i="11"/>
  <c r="AA148" i="11"/>
  <c r="K147" i="11"/>
  <c r="S145" i="11"/>
  <c r="S144" i="11"/>
  <c r="R159" i="11"/>
  <c r="M159" i="11"/>
  <c r="M184" i="11"/>
  <c r="U184" i="11"/>
  <c r="AA215" i="11"/>
  <c r="K214" i="11"/>
  <c r="K222" i="11"/>
  <c r="W49" i="11"/>
  <c r="P49" i="11"/>
  <c r="T49" i="11"/>
  <c r="X49" i="11"/>
  <c r="M121" i="11"/>
  <c r="J140" i="11"/>
  <c r="N145" i="11"/>
  <c r="N144" i="11"/>
  <c r="P144" i="11"/>
  <c r="P145" i="11"/>
  <c r="S159" i="11"/>
  <c r="S158" i="11"/>
  <c r="Y190" i="11"/>
  <c r="I189" i="11"/>
  <c r="Y189" i="11" s="1"/>
  <c r="J193" i="11"/>
  <c r="J198" i="11"/>
  <c r="K202" i="11"/>
  <c r="N74" i="11"/>
  <c r="AA85" i="11"/>
  <c r="P88" i="11"/>
  <c r="T88" i="11"/>
  <c r="X88" i="11"/>
  <c r="Y109" i="11"/>
  <c r="Y110" i="11"/>
  <c r="AB111" i="11"/>
  <c r="K129" i="11"/>
  <c r="Q127" i="11"/>
  <c r="U127" i="11"/>
  <c r="J133" i="11"/>
  <c r="X127" i="11"/>
  <c r="O145" i="11"/>
  <c r="R145" i="11"/>
  <c r="R144" i="11"/>
  <c r="L155" i="11"/>
  <c r="L154" i="11" s="1"/>
  <c r="AB154" i="11" s="1"/>
  <c r="AB156" i="11"/>
  <c r="T145" i="11"/>
  <c r="Z173" i="11"/>
  <c r="J172" i="11"/>
  <c r="Z172" i="11" s="1"/>
  <c r="Q159" i="11"/>
  <c r="K209" i="11"/>
  <c r="K217" i="11"/>
  <c r="AA177" i="11"/>
  <c r="AA190" i="11"/>
  <c r="K155" i="11"/>
  <c r="R158" i="11"/>
  <c r="AA161" i="11"/>
  <c r="K172" i="11"/>
  <c r="K176" i="11"/>
  <c r="AA176" i="11" s="1"/>
  <c r="K193" i="11"/>
  <c r="T184" i="11"/>
  <c r="AA189" i="11"/>
  <c r="AA33" i="11"/>
  <c r="AA5" i="11"/>
  <c r="K10" i="11"/>
  <c r="K17" i="11"/>
  <c r="AA17" i="11" s="1"/>
  <c r="Z5" i="11"/>
  <c r="L10" i="11"/>
  <c r="L17" i="11"/>
  <c r="AB17" i="11" s="1"/>
  <c r="Y10" i="11"/>
  <c r="I9" i="11"/>
  <c r="Z10" i="11"/>
  <c r="J9" i="11"/>
  <c r="Y11" i="11"/>
  <c r="Y51" i="11"/>
  <c r="R87" i="11"/>
  <c r="R88" i="11"/>
  <c r="S87" i="11"/>
  <c r="S88" i="11"/>
  <c r="AB91" i="11"/>
  <c r="L90" i="11"/>
  <c r="J109" i="11"/>
  <c r="K54" i="11"/>
  <c r="AA54" i="11" s="1"/>
  <c r="AB55" i="11"/>
  <c r="AA59" i="11"/>
  <c r="K75" i="11"/>
  <c r="AA75" i="11" s="1"/>
  <c r="AB76" i="11"/>
  <c r="Z85" i="11"/>
  <c r="J84" i="11"/>
  <c r="N87" i="11"/>
  <c r="N88" i="11"/>
  <c r="V87" i="11"/>
  <c r="V88" i="11"/>
  <c r="AA90" i="11"/>
  <c r="K89" i="11"/>
  <c r="AA89" i="11" s="1"/>
  <c r="AA95" i="11"/>
  <c r="K94" i="11"/>
  <c r="J101" i="11"/>
  <c r="Z101" i="11" s="1"/>
  <c r="AA111" i="11"/>
  <c r="K110" i="11"/>
  <c r="AB124" i="11"/>
  <c r="L123" i="11"/>
  <c r="Q126" i="11"/>
  <c r="X159" i="11"/>
  <c r="X158" i="11"/>
  <c r="Y18" i="11"/>
  <c r="K97" i="11"/>
  <c r="AA97" i="11" s="1"/>
  <c r="AB107" i="11"/>
  <c r="L106" i="11"/>
  <c r="K113" i="11"/>
  <c r="AA113" i="11" s="1"/>
  <c r="T126" i="11"/>
  <c r="T127" i="11"/>
  <c r="M127" i="11"/>
  <c r="M126" i="11"/>
  <c r="L136" i="11"/>
  <c r="AB136" i="11" s="1"/>
  <c r="Y155" i="11"/>
  <c r="I154" i="11"/>
  <c r="Y156" i="11"/>
  <c r="Y178" i="11"/>
  <c r="Z11" i="11"/>
  <c r="Z18" i="11"/>
  <c r="AA81" i="11"/>
  <c r="K80" i="11"/>
  <c r="P87" i="11"/>
  <c r="X87" i="11"/>
  <c r="O87" i="11"/>
  <c r="O88" i="11"/>
  <c r="AB186" i="11"/>
  <c r="J63" i="11"/>
  <c r="AA63" i="11"/>
  <c r="Z67" i="11"/>
  <c r="L71" i="11"/>
  <c r="K83" i="11"/>
  <c r="AA83" i="11" s="1"/>
  <c r="AA84" i="11"/>
  <c r="T87" i="11"/>
  <c r="W87" i="11"/>
  <c r="W88" i="11"/>
  <c r="Z99" i="11"/>
  <c r="J98" i="11"/>
  <c r="L109" i="11"/>
  <c r="AB109" i="11" s="1"/>
  <c r="AB110" i="11"/>
  <c r="J114" i="11"/>
  <c r="AB130" i="11"/>
  <c r="L129" i="11"/>
  <c r="P126" i="11"/>
  <c r="P127" i="11"/>
  <c r="T159" i="11"/>
  <c r="T158" i="11"/>
  <c r="AB165" i="11"/>
  <c r="L164" i="11"/>
  <c r="AB164" i="11" s="1"/>
  <c r="L181" i="11"/>
  <c r="AB182" i="11"/>
  <c r="Y123" i="11"/>
  <c r="I122" i="11"/>
  <c r="Y124" i="11"/>
  <c r="Y130" i="11"/>
  <c r="L141" i="11"/>
  <c r="U145" i="11"/>
  <c r="AB152" i="11"/>
  <c r="L151" i="11"/>
  <c r="P159" i="11"/>
  <c r="AB162" i="11"/>
  <c r="L161" i="11"/>
  <c r="Y165" i="11"/>
  <c r="L168" i="11"/>
  <c r="AB168" i="11" s="1"/>
  <c r="AB169" i="11"/>
  <c r="Y186" i="11"/>
  <c r="L189" i="11"/>
  <c r="AB189" i="11" s="1"/>
  <c r="AB190" i="11"/>
  <c r="L202" i="11"/>
  <c r="I128" i="11"/>
  <c r="Y138" i="11"/>
  <c r="Q145" i="11"/>
  <c r="Y148" i="11"/>
  <c r="AB173" i="11"/>
  <c r="L172" i="11"/>
  <c r="AB172" i="11" s="1"/>
  <c r="L193" i="11"/>
  <c r="U144" i="11"/>
  <c r="X145" i="11"/>
  <c r="M145" i="11"/>
  <c r="P158" i="11"/>
  <c r="U159" i="11"/>
  <c r="N126" i="11"/>
  <c r="N214" i="11"/>
  <c r="N213" i="11" s="1"/>
  <c r="R126" i="11"/>
  <c r="R214" i="11"/>
  <c r="R213" i="11" s="1"/>
  <c r="Z215" i="11"/>
  <c r="Y173" i="11"/>
  <c r="Y170" i="11"/>
  <c r="Y181" i="11"/>
  <c r="Y191" i="11"/>
  <c r="K185" i="11" l="1"/>
  <c r="AA185" i="11" s="1"/>
  <c r="I4" i="11"/>
  <c r="J176" i="11"/>
  <c r="Z176" i="11" s="1"/>
  <c r="P4" i="11"/>
  <c r="Y214" i="11"/>
  <c r="J189" i="11"/>
  <c r="Y71" i="11"/>
  <c r="Y63" i="11"/>
  <c r="Y98" i="11"/>
  <c r="M4" i="11"/>
  <c r="Z151" i="11"/>
  <c r="J168" i="11"/>
  <c r="Z168" i="11" s="1"/>
  <c r="V48" i="11"/>
  <c r="K184" i="11"/>
  <c r="AB51" i="11"/>
  <c r="Y106" i="11"/>
  <c r="J93" i="11"/>
  <c r="Z93" i="11" s="1"/>
  <c r="Q48" i="11"/>
  <c r="AB24" i="11"/>
  <c r="Z59" i="11"/>
  <c r="J70" i="11"/>
  <c r="Z70" i="11" s="1"/>
  <c r="Z181" i="11"/>
  <c r="O4" i="11"/>
  <c r="AA181" i="11"/>
  <c r="Y49" i="11"/>
  <c r="AB67" i="11"/>
  <c r="M48" i="11"/>
  <c r="AB98" i="11"/>
  <c r="AC54" i="11"/>
  <c r="Z51" i="11"/>
  <c r="Z109" i="11"/>
  <c r="Z155" i="11"/>
  <c r="AA133" i="11"/>
  <c r="W47" i="11"/>
  <c r="W225" i="11" s="1"/>
  <c r="I159" i="11"/>
  <c r="AA50" i="11"/>
  <c r="AK223" i="3" s="1"/>
  <c r="AL223" i="3" s="1"/>
  <c r="J145" i="11"/>
  <c r="J144" i="11" s="1"/>
  <c r="Z146" i="11"/>
  <c r="AC109" i="11"/>
  <c r="Y154" i="11"/>
  <c r="AA150" i="11"/>
  <c r="Y180" i="11"/>
  <c r="AC180" i="11" s="1"/>
  <c r="X47" i="11"/>
  <c r="X225" i="11" s="1"/>
  <c r="AA136" i="11"/>
  <c r="Z154" i="11"/>
  <c r="Y94" i="11"/>
  <c r="Z136" i="11"/>
  <c r="V47" i="11"/>
  <c r="V225" i="11" s="1"/>
  <c r="AC58" i="11"/>
  <c r="U47" i="11"/>
  <c r="Y9" i="11"/>
  <c r="U4" i="11"/>
  <c r="N4" i="11"/>
  <c r="AB155" i="11"/>
  <c r="L101" i="11"/>
  <c r="AB101" i="11" s="1"/>
  <c r="AB147" i="11"/>
  <c r="Y161" i="11"/>
  <c r="AA169" i="11"/>
  <c r="Y67" i="11"/>
  <c r="AB133" i="11"/>
  <c r="Q4" i="11"/>
  <c r="Y4" i="11" s="1"/>
  <c r="K122" i="11"/>
  <c r="Z147" i="11"/>
  <c r="L62" i="11"/>
  <c r="AB62" i="11" s="1"/>
  <c r="AA24" i="11"/>
  <c r="X48" i="11"/>
  <c r="Z90" i="11"/>
  <c r="AA151" i="11"/>
  <c r="AB84" i="11"/>
  <c r="L83" i="11"/>
  <c r="Z9" i="11"/>
  <c r="Z106" i="11"/>
  <c r="AA71" i="11"/>
  <c r="W48" i="11"/>
  <c r="S48" i="11"/>
  <c r="R48" i="11"/>
  <c r="I49" i="11"/>
  <c r="R4" i="11"/>
  <c r="AA106" i="11"/>
  <c r="S47" i="11"/>
  <c r="S225" i="11" s="1"/>
  <c r="Z161" i="11"/>
  <c r="AB94" i="11"/>
  <c r="Z80" i="11"/>
  <c r="Y24" i="11"/>
  <c r="O47" i="11"/>
  <c r="O225" i="11" s="1"/>
  <c r="AB177" i="11"/>
  <c r="M47" i="11"/>
  <c r="M225" i="11" s="1"/>
  <c r="N47" i="11"/>
  <c r="T48" i="11"/>
  <c r="P48" i="11"/>
  <c r="J122" i="11"/>
  <c r="Z122" i="11" s="1"/>
  <c r="Z121" i="11" s="1"/>
  <c r="Y151" i="11"/>
  <c r="R47" i="11"/>
  <c r="O48" i="11"/>
  <c r="AB214" i="11"/>
  <c r="L213" i="11"/>
  <c r="AB213" i="11" s="1"/>
  <c r="AA129" i="11"/>
  <c r="K128" i="11"/>
  <c r="AA128" i="11" s="1"/>
  <c r="Y90" i="11"/>
  <c r="I89" i="11"/>
  <c r="Y89" i="11" s="1"/>
  <c r="I184" i="11"/>
  <c r="Y133" i="11"/>
  <c r="T47" i="11"/>
  <c r="T225" i="11" s="1"/>
  <c r="J4" i="11"/>
  <c r="AA172" i="11"/>
  <c r="AA159" i="11" s="1"/>
  <c r="K159" i="11"/>
  <c r="K158" i="11" s="1"/>
  <c r="AA155" i="11"/>
  <c r="K154" i="11"/>
  <c r="Z133" i="11"/>
  <c r="J132" i="11"/>
  <c r="J197" i="11"/>
  <c r="K221" i="11"/>
  <c r="AA147" i="11"/>
  <c r="K146" i="11"/>
  <c r="AA146" i="11" s="1"/>
  <c r="Y80" i="11"/>
  <c r="I79" i="11"/>
  <c r="U48" i="11"/>
  <c r="Q47" i="11"/>
  <c r="Z189" i="11"/>
  <c r="J184" i="11"/>
  <c r="K201" i="11"/>
  <c r="K101" i="11"/>
  <c r="AA101" i="11" s="1"/>
  <c r="I113" i="11"/>
  <c r="Y113" i="11" s="1"/>
  <c r="AA67" i="11"/>
  <c r="K66" i="11"/>
  <c r="AA66" i="11" s="1"/>
  <c r="Y184" i="11"/>
  <c r="Z213" i="11"/>
  <c r="P47" i="11"/>
  <c r="P225" i="11" s="1"/>
  <c r="K49" i="11"/>
  <c r="N48" i="11"/>
  <c r="Z160" i="11"/>
  <c r="AA184" i="11"/>
  <c r="AA214" i="11"/>
  <c r="K213" i="11"/>
  <c r="AA213" i="11" s="1"/>
  <c r="Y102" i="11"/>
  <c r="I101" i="11"/>
  <c r="Y101" i="11" s="1"/>
  <c r="Z129" i="11"/>
  <c r="J128" i="11"/>
  <c r="Z128" i="11" s="1"/>
  <c r="Z24" i="11"/>
  <c r="AB10" i="11"/>
  <c r="AB9" i="11" s="1"/>
  <c r="L9" i="11"/>
  <c r="L4" i="11" s="1"/>
  <c r="AB4" i="11" s="1"/>
  <c r="AA10" i="11"/>
  <c r="AA9" i="11" s="1"/>
  <c r="K9" i="11"/>
  <c r="K4" i="11" s="1"/>
  <c r="K109" i="11"/>
  <c r="AA110" i="11"/>
  <c r="L89" i="11"/>
  <c r="AB89" i="11" s="1"/>
  <c r="AB90" i="11"/>
  <c r="I127" i="11"/>
  <c r="I126" i="11" s="1"/>
  <c r="Y128" i="11"/>
  <c r="Y127" i="11" s="1"/>
  <c r="Y126" i="11" s="1"/>
  <c r="AB184" i="11"/>
  <c r="L184" i="11"/>
  <c r="L122" i="11"/>
  <c r="AB122" i="11" s="1"/>
  <c r="AB123" i="11"/>
  <c r="L150" i="11"/>
  <c r="AB150" i="11" s="1"/>
  <c r="AB151" i="11"/>
  <c r="AB181" i="11"/>
  <c r="L180" i="11"/>
  <c r="AB180" i="11" s="1"/>
  <c r="L105" i="11"/>
  <c r="AB105" i="11" s="1"/>
  <c r="AB106" i="11"/>
  <c r="Z214" i="11"/>
  <c r="L160" i="11"/>
  <c r="AB161" i="11"/>
  <c r="L128" i="11"/>
  <c r="AB128" i="11" s="1"/>
  <c r="AB129" i="11"/>
  <c r="J97" i="11"/>
  <c r="Z97" i="11" s="1"/>
  <c r="Z98" i="11"/>
  <c r="K79" i="11"/>
  <c r="AA80" i="11"/>
  <c r="L201" i="11"/>
  <c r="L140" i="11"/>
  <c r="Y122" i="11"/>
  <c r="I121" i="11"/>
  <c r="J113" i="11"/>
  <c r="Z113" i="11" s="1"/>
  <c r="L70" i="11"/>
  <c r="AB70" i="11" s="1"/>
  <c r="AB71" i="11"/>
  <c r="J62" i="11"/>
  <c r="Z63" i="11"/>
  <c r="J121" i="11"/>
  <c r="I145" i="11"/>
  <c r="I144" i="11" s="1"/>
  <c r="K93" i="11"/>
  <c r="AA94" i="11"/>
  <c r="J83" i="11"/>
  <c r="Z84" i="11"/>
  <c r="C65" i="4" l="1"/>
  <c r="C49" i="4"/>
  <c r="Y145" i="11"/>
  <c r="I158" i="11"/>
  <c r="J159" i="11"/>
  <c r="Z159" i="11"/>
  <c r="AA158" i="11"/>
  <c r="Y159" i="11"/>
  <c r="AA4" i="11"/>
  <c r="U225" i="11"/>
  <c r="Z88" i="11"/>
  <c r="AA127" i="11"/>
  <c r="AA126" i="11" s="1"/>
  <c r="AB127" i="11"/>
  <c r="K88" i="11"/>
  <c r="AA93" i="11"/>
  <c r="AB88" i="11"/>
  <c r="Z132" i="11"/>
  <c r="Z127" i="11" s="1"/>
  <c r="Z126" i="11" s="1"/>
  <c r="L74" i="11"/>
  <c r="AB83" i="11"/>
  <c r="AB145" i="11"/>
  <c r="AA49" i="11"/>
  <c r="J49" i="11"/>
  <c r="Z62" i="11"/>
  <c r="Z49" i="11" s="1"/>
  <c r="K121" i="11"/>
  <c r="AA122" i="11"/>
  <c r="AA121" i="11" s="1"/>
  <c r="AW9" i="3"/>
  <c r="AY9" i="3" s="1"/>
  <c r="AB49" i="11"/>
  <c r="K74" i="11"/>
  <c r="K48" i="11" s="1"/>
  <c r="AA79" i="11"/>
  <c r="AA74" i="11" s="1"/>
  <c r="J74" i="11"/>
  <c r="Z83" i="11"/>
  <c r="Z74" i="11" s="1"/>
  <c r="Y121" i="11"/>
  <c r="AB121" i="11"/>
  <c r="AA109" i="11"/>
  <c r="I74" i="11"/>
  <c r="I48" i="11" s="1"/>
  <c r="Y79" i="11"/>
  <c r="Y74" i="11" s="1"/>
  <c r="AA154" i="11"/>
  <c r="AA145" i="11" s="1"/>
  <c r="Z4" i="11"/>
  <c r="Y88" i="11"/>
  <c r="Z145" i="11"/>
  <c r="Z144" i="11" s="1"/>
  <c r="S139" i="3"/>
  <c r="Y144" i="11"/>
  <c r="Y158" i="11"/>
  <c r="R225" i="11"/>
  <c r="N225" i="11"/>
  <c r="Q225" i="11"/>
  <c r="J158" i="11"/>
  <c r="Z184" i="11"/>
  <c r="J88" i="11"/>
  <c r="J87" i="11" s="1"/>
  <c r="I88" i="11"/>
  <c r="I87" i="11" s="1"/>
  <c r="L145" i="11"/>
  <c r="L144" i="11" s="1"/>
  <c r="J127" i="11"/>
  <c r="J126" i="11" s="1"/>
  <c r="K127" i="11"/>
  <c r="K126" i="11" s="1"/>
  <c r="K145" i="11"/>
  <c r="K144" i="11" s="1"/>
  <c r="L49" i="11"/>
  <c r="L121" i="11"/>
  <c r="AB160" i="11"/>
  <c r="L159" i="11"/>
  <c r="L158" i="11" s="1"/>
  <c r="J48" i="11"/>
  <c r="L88" i="11"/>
  <c r="L127" i="11"/>
  <c r="L126" i="11" s="1"/>
  <c r="Z158" i="11" l="1"/>
  <c r="Y48" i="11"/>
  <c r="K87" i="11"/>
  <c r="I47" i="11"/>
  <c r="I225" i="11" s="1"/>
  <c r="Z47" i="11"/>
  <c r="AB159" i="11"/>
  <c r="AB158" i="11" s="1"/>
  <c r="AB74" i="11"/>
  <c r="AB126" i="11"/>
  <c r="AA88" i="11"/>
  <c r="AA87" i="11" s="1"/>
  <c r="Z87" i="11"/>
  <c r="AB87" i="11"/>
  <c r="AB144" i="11"/>
  <c r="L87" i="11"/>
  <c r="AA144" i="11"/>
  <c r="J47" i="11"/>
  <c r="J225" i="11" s="1"/>
  <c r="AA48" i="11"/>
  <c r="Y87" i="11"/>
  <c r="K47" i="11"/>
  <c r="K225" i="11" s="1"/>
  <c r="L48" i="11"/>
  <c r="L47" i="11"/>
  <c r="L225" i="11" s="1"/>
  <c r="Z48" i="11"/>
  <c r="Z225" i="11" l="1"/>
  <c r="AB47" i="11"/>
  <c r="AA47" i="11"/>
  <c r="Y47" i="11"/>
  <c r="AB48" i="11"/>
  <c r="AO224" i="3" l="1"/>
  <c r="Y225" i="11"/>
  <c r="AA225" i="11"/>
  <c r="AB225" i="11"/>
  <c r="E5" i="10" l="1"/>
  <c r="E9" i="10"/>
  <c r="E10" i="10"/>
  <c r="E11" i="10"/>
  <c r="E14" i="10"/>
  <c r="E17" i="10"/>
  <c r="E18" i="10"/>
  <c r="E19" i="10"/>
  <c r="E20" i="10"/>
  <c r="E21" i="10"/>
  <c r="E28" i="10"/>
  <c r="E34" i="10"/>
  <c r="E35" i="10"/>
  <c r="E38" i="10"/>
  <c r="E43" i="10"/>
  <c r="E48" i="10"/>
  <c r="E50" i="10"/>
  <c r="E52" i="10"/>
  <c r="E54" i="10"/>
  <c r="E216" i="10"/>
  <c r="E215" i="10"/>
  <c r="E214" i="10"/>
  <c r="E213" i="10"/>
  <c r="E211" i="10"/>
  <c r="E210" i="10"/>
  <c r="E208" i="10"/>
  <c r="E207" i="10"/>
  <c r="E203" i="10"/>
  <c r="E202" i="10"/>
  <c r="E201" i="10"/>
  <c r="E200" i="10"/>
  <c r="E198" i="10"/>
  <c r="E197" i="10"/>
  <c r="E194" i="10"/>
  <c r="E193" i="10"/>
  <c r="E192" i="10"/>
  <c r="E190" i="10"/>
  <c r="E188" i="10"/>
  <c r="E185" i="10"/>
  <c r="E184" i="10"/>
  <c r="E182" i="10"/>
  <c r="E180" i="10"/>
  <c r="E178" i="10"/>
  <c r="E176" i="10"/>
  <c r="E175" i="10"/>
  <c r="E174" i="10"/>
  <c r="E173" i="10"/>
  <c r="E172" i="10"/>
  <c r="E171" i="10"/>
  <c r="E170" i="10"/>
  <c r="E167" i="10"/>
  <c r="E166" i="10"/>
  <c r="E161" i="10"/>
  <c r="E160" i="10"/>
  <c r="E159" i="10"/>
  <c r="E158" i="10"/>
  <c r="E157" i="10"/>
  <c r="E156" i="10"/>
  <c r="E152" i="10"/>
  <c r="E149" i="10" s="1"/>
  <c r="E148" i="10"/>
  <c r="E147" i="10"/>
  <c r="E146" i="10"/>
  <c r="E144" i="10"/>
  <c r="E140" i="10"/>
  <c r="E139" i="10"/>
  <c r="E138" i="10"/>
  <c r="E137" i="10"/>
  <c r="E131" i="10"/>
  <c r="E130" i="10"/>
  <c r="E128" i="10"/>
  <c r="E127" i="10"/>
  <c r="E125" i="10"/>
  <c r="E124" i="10"/>
  <c r="E118" i="10"/>
  <c r="E117" i="10"/>
  <c r="E116" i="10"/>
  <c r="E115" i="10"/>
  <c r="E114" i="10"/>
  <c r="E113" i="10"/>
  <c r="E112" i="10"/>
  <c r="E111" i="10"/>
  <c r="E110" i="10"/>
  <c r="E109" i="10"/>
  <c r="E108" i="10"/>
  <c r="E107" i="10"/>
  <c r="E106" i="10"/>
  <c r="E105" i="10"/>
  <c r="E104" i="10"/>
  <c r="E101" i="10"/>
  <c r="E100" i="10"/>
  <c r="E99" i="10"/>
  <c r="E97" i="10"/>
  <c r="E96" i="10"/>
  <c r="E95" i="10"/>
  <c r="E94" i="10"/>
  <c r="E92" i="10"/>
  <c r="E90" i="10"/>
  <c r="E89" i="10"/>
  <c r="E88" i="10"/>
  <c r="E85" i="10"/>
  <c r="E84" i="10"/>
  <c r="E82" i="10"/>
  <c r="E80" i="10"/>
  <c r="E78" i="10"/>
  <c r="E77" i="10"/>
  <c r="E75" i="10"/>
  <c r="E73" i="10"/>
  <c r="E71" i="10"/>
  <c r="E70" i="10"/>
  <c r="E68" i="10"/>
  <c r="E63" i="10"/>
  <c r="E62" i="10" s="1"/>
  <c r="E59" i="10"/>
  <c r="E58" i="10"/>
  <c r="E57" i="10"/>
  <c r="E56" i="10"/>
  <c r="E49" i="10"/>
  <c r="E44" i="10"/>
  <c r="E42" i="10"/>
  <c r="E39" i="10"/>
  <c r="E33" i="10"/>
  <c r="E31" i="10"/>
  <c r="E26" i="10"/>
  <c r="E25" i="10"/>
  <c r="E23" i="10"/>
  <c r="E22" i="10"/>
  <c r="E13" i="10"/>
  <c r="E7" i="10"/>
  <c r="E6" i="10"/>
  <c r="E51" i="10" l="1"/>
  <c r="E212" i="10"/>
  <c r="E30" i="10"/>
  <c r="E72" i="10"/>
  <c r="E4" i="10"/>
  <c r="E155" i="10"/>
  <c r="E187" i="10"/>
  <c r="E205" i="10"/>
  <c r="E24" i="10"/>
  <c r="E121" i="10"/>
  <c r="E195" i="10"/>
  <c r="E16" i="10"/>
  <c r="E36" i="10"/>
  <c r="E98" i="10"/>
  <c r="E47" i="10"/>
  <c r="E126" i="10"/>
  <c r="E142" i="10"/>
  <c r="E168" i="10"/>
  <c r="E179" i="10"/>
  <c r="E199" i="10"/>
  <c r="E12" i="10"/>
  <c r="E67" i="10"/>
  <c r="E86" i="10"/>
  <c r="E136" i="10"/>
  <c r="E55" i="10"/>
  <c r="E81" i="10"/>
  <c r="E103" i="10"/>
  <c r="E102" i="10" s="1"/>
  <c r="E204" i="10" l="1"/>
  <c r="E46" i="10"/>
  <c r="E61" i="10"/>
  <c r="E60" i="10" s="1"/>
  <c r="E135" i="10"/>
  <c r="E134" i="10" s="1"/>
  <c r="E3" i="10"/>
  <c r="E154" i="10"/>
  <c r="E120" i="10"/>
  <c r="E119" i="10" s="1"/>
  <c r="E153" i="10" l="1"/>
  <c r="E2" i="10"/>
  <c r="E217" i="10" l="1"/>
  <c r="I30" i="5" l="1"/>
  <c r="H30" i="5"/>
  <c r="I29" i="5"/>
  <c r="I28" i="5"/>
  <c r="I27" i="5"/>
  <c r="I26" i="5"/>
  <c r="I25" i="5"/>
  <c r="I24" i="5"/>
  <c r="I23" i="5"/>
  <c r="I22" i="5"/>
  <c r="I18" i="5"/>
  <c r="F11" i="5"/>
  <c r="F10" i="5"/>
  <c r="D8" i="5"/>
  <c r="A2" i="5"/>
  <c r="AW220" i="3"/>
  <c r="AY220" i="3" s="1"/>
  <c r="AW219" i="3"/>
  <c r="AY219" i="3" s="1"/>
  <c r="AW218" i="3"/>
  <c r="AY218" i="3" s="1"/>
  <c r="E64" i="4"/>
  <c r="D64" i="4"/>
  <c r="AW217" i="3"/>
  <c r="AY217" i="3" s="1"/>
  <c r="AW216" i="3"/>
  <c r="AY216" i="3" s="1"/>
  <c r="AW215" i="3"/>
  <c r="AY215" i="3" s="1"/>
  <c r="AW214" i="3"/>
  <c r="AY214" i="3" s="1"/>
  <c r="AW213" i="3"/>
  <c r="AY213" i="3" s="1"/>
  <c r="AW212" i="3"/>
  <c r="AY212" i="3" s="1"/>
  <c r="AW211" i="3"/>
  <c r="AY211" i="3" s="1"/>
  <c r="E63" i="4"/>
  <c r="D63" i="4"/>
  <c r="AT210" i="3"/>
  <c r="AS210" i="3"/>
  <c r="AW210" i="3"/>
  <c r="AY210" i="3" s="1"/>
  <c r="E62" i="4"/>
  <c r="AW209" i="3"/>
  <c r="AY209" i="3" s="1"/>
  <c r="AW208" i="3"/>
  <c r="AY208" i="3" s="1"/>
  <c r="AW207" i="3"/>
  <c r="AY207" i="3" s="1"/>
  <c r="AW206" i="3"/>
  <c r="AY206" i="3" s="1"/>
  <c r="AW205" i="3"/>
  <c r="AY205" i="3" s="1"/>
  <c r="E60" i="4"/>
  <c r="D60" i="4"/>
  <c r="AA205" i="3"/>
  <c r="AW204" i="3"/>
  <c r="AY204" i="3" s="1"/>
  <c r="AW203" i="3"/>
  <c r="AY203" i="3" s="1"/>
  <c r="AW202" i="3"/>
  <c r="AY202" i="3" s="1"/>
  <c r="AW201" i="3"/>
  <c r="AY201" i="3" s="1"/>
  <c r="E58" i="4"/>
  <c r="D58" i="4"/>
  <c r="AW200" i="3"/>
  <c r="AY200" i="3" s="1"/>
  <c r="AW199" i="3"/>
  <c r="AY199" i="3" s="1"/>
  <c r="AW198" i="3"/>
  <c r="AY198" i="3" s="1"/>
  <c r="AW197" i="3"/>
  <c r="AY197" i="3" s="1"/>
  <c r="AW196" i="3"/>
  <c r="AY196" i="3" s="1"/>
  <c r="AW195" i="3"/>
  <c r="AY195" i="3" s="1"/>
  <c r="AW194" i="3"/>
  <c r="AY194" i="3" s="1"/>
  <c r="AW193" i="3"/>
  <c r="AY193" i="3" s="1"/>
  <c r="E56" i="4"/>
  <c r="D56" i="4"/>
  <c r="AW192" i="3"/>
  <c r="AY192" i="3" s="1"/>
  <c r="AW191" i="3"/>
  <c r="AY191" i="3" s="1"/>
  <c r="AW190" i="3"/>
  <c r="AY190" i="3" s="1"/>
  <c r="AW189" i="3"/>
  <c r="AY189" i="3" s="1"/>
  <c r="AW188" i="3"/>
  <c r="AY188" i="3" s="1"/>
  <c r="AW187" i="3"/>
  <c r="AY187" i="3" s="1"/>
  <c r="AW186" i="3"/>
  <c r="AY186" i="3" s="1"/>
  <c r="AW185" i="3"/>
  <c r="AY185" i="3" s="1"/>
  <c r="E54" i="4"/>
  <c r="D54" i="4"/>
  <c r="AW184" i="3"/>
  <c r="AY184" i="3" s="1"/>
  <c r="AW183" i="3"/>
  <c r="AY183" i="3" s="1"/>
  <c r="AW182" i="3"/>
  <c r="AY182" i="3" s="1"/>
  <c r="AW181" i="3"/>
  <c r="AY181" i="3" s="1"/>
  <c r="AW180" i="3"/>
  <c r="AY180" i="3" s="1"/>
  <c r="AW179" i="3"/>
  <c r="AY179" i="3" s="1"/>
  <c r="AW178" i="3"/>
  <c r="AY178" i="3" s="1"/>
  <c r="AW177" i="3"/>
  <c r="AY177" i="3" s="1"/>
  <c r="AW176" i="3"/>
  <c r="AY176" i="3" s="1"/>
  <c r="AW175" i="3"/>
  <c r="AY175" i="3" s="1"/>
  <c r="AW173" i="3"/>
  <c r="AY173" i="3" s="1"/>
  <c r="AW172" i="3"/>
  <c r="AY172" i="3" s="1"/>
  <c r="AW171" i="3"/>
  <c r="AY171" i="3" s="1"/>
  <c r="AW170" i="3"/>
  <c r="AY170" i="3" s="1"/>
  <c r="AW169" i="3"/>
  <c r="AY169" i="3" s="1"/>
  <c r="AW168" i="3"/>
  <c r="AY168" i="3" s="1"/>
  <c r="AW167" i="3"/>
  <c r="AY167" i="3" s="1"/>
  <c r="AW166" i="3"/>
  <c r="AY166" i="3" s="1"/>
  <c r="AW165" i="3"/>
  <c r="AY165" i="3" s="1"/>
  <c r="AW164" i="3"/>
  <c r="AY164" i="3" s="1"/>
  <c r="AW163" i="3"/>
  <c r="AY163" i="3" s="1"/>
  <c r="AW161" i="3"/>
  <c r="AY161" i="3" s="1"/>
  <c r="AT159" i="3"/>
  <c r="AS159" i="3"/>
  <c r="AW157" i="3"/>
  <c r="AY157" i="3" s="1"/>
  <c r="AW156" i="3"/>
  <c r="AY156" i="3" s="1"/>
  <c r="AW155" i="3"/>
  <c r="AY155" i="3" s="1"/>
  <c r="AW154" i="3"/>
  <c r="AY154" i="3" s="1"/>
  <c r="E47" i="4"/>
  <c r="D47" i="4"/>
  <c r="AW153" i="3"/>
  <c r="AY153" i="3" s="1"/>
  <c r="AW152" i="3"/>
  <c r="AY152" i="3" s="1"/>
  <c r="AW151" i="3"/>
  <c r="AY151" i="3" s="1"/>
  <c r="AW150" i="3"/>
  <c r="AY150" i="3" s="1"/>
  <c r="AW149" i="3"/>
  <c r="AY149" i="3" s="1"/>
  <c r="AW148" i="3"/>
  <c r="AY148" i="3" s="1"/>
  <c r="AW147" i="3"/>
  <c r="AY147" i="3" s="1"/>
  <c r="E45" i="4"/>
  <c r="D45" i="4"/>
  <c r="AW146" i="3"/>
  <c r="AY146" i="3" s="1"/>
  <c r="AW145" i="3"/>
  <c r="AY145" i="3" s="1"/>
  <c r="AW144" i="3"/>
  <c r="AY144" i="3" s="1"/>
  <c r="AW143" i="3"/>
  <c r="AY143" i="3" s="1"/>
  <c r="AW142" i="3"/>
  <c r="AY142" i="3" s="1"/>
  <c r="AW141" i="3"/>
  <c r="AY141" i="3" s="1"/>
  <c r="E44" i="4"/>
  <c r="D44" i="4"/>
  <c r="AT140" i="3"/>
  <c r="Z139" i="3" s="1"/>
  <c r="AS140" i="3"/>
  <c r="AW138" i="3"/>
  <c r="AY138" i="3" s="1"/>
  <c r="AW137" i="3"/>
  <c r="AY137" i="3" s="1"/>
  <c r="AW136" i="3"/>
  <c r="AY136" i="3" s="1"/>
  <c r="E40" i="4"/>
  <c r="D40" i="4"/>
  <c r="AW135" i="3"/>
  <c r="AY135" i="3" s="1"/>
  <c r="AW134" i="3"/>
  <c r="AY134" i="3" s="1"/>
  <c r="AW133" i="3"/>
  <c r="AY133" i="3" s="1"/>
  <c r="AW132" i="3"/>
  <c r="AY132" i="3" s="1"/>
  <c r="AW131" i="3"/>
  <c r="AY131" i="3" s="1"/>
  <c r="E39" i="4"/>
  <c r="D39" i="4"/>
  <c r="AW128" i="3"/>
  <c r="AY128" i="3" s="1"/>
  <c r="AW127" i="3"/>
  <c r="AY127" i="3" s="1"/>
  <c r="AW126" i="3"/>
  <c r="AY126" i="3" s="1"/>
  <c r="E38" i="4"/>
  <c r="D38" i="4"/>
  <c r="AT125" i="3"/>
  <c r="AT124" i="3" s="1"/>
  <c r="AS125" i="3"/>
  <c r="AS124" i="3" s="1"/>
  <c r="AW125" i="3"/>
  <c r="AY125" i="3" s="1"/>
  <c r="AW123" i="3"/>
  <c r="AY123" i="3" s="1"/>
  <c r="AW122" i="3"/>
  <c r="AY122" i="3" s="1"/>
  <c r="AW121" i="3"/>
  <c r="AY121" i="3" s="1"/>
  <c r="AW120" i="3"/>
  <c r="AY120" i="3" s="1"/>
  <c r="AW119" i="3"/>
  <c r="AY119" i="3" s="1"/>
  <c r="AW118" i="3"/>
  <c r="AY118" i="3" s="1"/>
  <c r="AW117" i="3"/>
  <c r="AY117" i="3" s="1"/>
  <c r="AW116" i="3"/>
  <c r="AY116" i="3" s="1"/>
  <c r="AW115" i="3"/>
  <c r="AY115" i="3" s="1"/>
  <c r="AW114" i="3"/>
  <c r="AY114" i="3" s="1"/>
  <c r="AW113" i="3"/>
  <c r="AY113" i="3" s="1"/>
  <c r="AW112" i="3"/>
  <c r="AY112" i="3" s="1"/>
  <c r="AW111" i="3"/>
  <c r="AY111" i="3" s="1"/>
  <c r="AW110" i="3"/>
  <c r="AY110" i="3" s="1"/>
  <c r="AW109" i="3"/>
  <c r="AY109" i="3" s="1"/>
  <c r="AW108" i="3"/>
  <c r="AY108" i="3" s="1"/>
  <c r="E35" i="4"/>
  <c r="D35" i="4"/>
  <c r="AT107" i="3"/>
  <c r="AS107" i="3"/>
  <c r="AW106" i="3"/>
  <c r="AY106" i="3" s="1"/>
  <c r="AW105" i="3"/>
  <c r="AY105" i="3" s="1"/>
  <c r="AW104" i="3"/>
  <c r="AY104" i="3" s="1"/>
  <c r="AW103" i="3"/>
  <c r="AY103" i="3" s="1"/>
  <c r="E32" i="4"/>
  <c r="D32" i="4"/>
  <c r="AW101" i="3"/>
  <c r="AY101" i="3" s="1"/>
  <c r="AW100" i="3"/>
  <c r="AY100" i="3" s="1"/>
  <c r="AW99" i="3"/>
  <c r="AY99" i="3" s="1"/>
  <c r="AW98" i="3"/>
  <c r="AY98" i="3" s="1"/>
  <c r="AW97" i="3"/>
  <c r="AY97" i="3" s="1"/>
  <c r="AW96" i="3"/>
  <c r="AY96" i="3" s="1"/>
  <c r="AW95" i="3"/>
  <c r="AY95" i="3" s="1"/>
  <c r="AW93" i="3"/>
  <c r="AY93" i="3" s="1"/>
  <c r="AW92" i="3"/>
  <c r="AY92" i="3" s="1"/>
  <c r="AW90" i="3"/>
  <c r="AY90" i="3" s="1"/>
  <c r="AW89" i="3"/>
  <c r="AY89" i="3" s="1"/>
  <c r="AW88" i="3"/>
  <c r="AY88" i="3" s="1"/>
  <c r="AW87" i="3"/>
  <c r="AY87" i="3" s="1"/>
  <c r="AW86" i="3"/>
  <c r="AY86" i="3" s="1"/>
  <c r="E28" i="4"/>
  <c r="D28" i="4"/>
  <c r="AW85" i="3"/>
  <c r="AY85" i="3" s="1"/>
  <c r="AW84" i="3"/>
  <c r="AY84" i="3" s="1"/>
  <c r="AW83" i="3"/>
  <c r="AY83" i="3" s="1"/>
  <c r="AW82" i="3"/>
  <c r="AY82" i="3" s="1"/>
  <c r="AW81" i="3"/>
  <c r="AY81" i="3" s="1"/>
  <c r="AW80" i="3"/>
  <c r="AY80" i="3" s="1"/>
  <c r="AW79" i="3"/>
  <c r="AY79" i="3" s="1"/>
  <c r="AW78" i="3"/>
  <c r="AY78" i="3" s="1"/>
  <c r="AW77" i="3"/>
  <c r="AY77" i="3" s="1"/>
  <c r="E26" i="4"/>
  <c r="D26" i="4"/>
  <c r="AW76" i="3"/>
  <c r="AY76" i="3" s="1"/>
  <c r="AW75" i="3"/>
  <c r="AY75" i="3" s="1"/>
  <c r="AW74" i="3"/>
  <c r="AY74" i="3" s="1"/>
  <c r="AW73" i="3"/>
  <c r="AY73" i="3" s="1"/>
  <c r="AW72" i="3"/>
  <c r="AY72" i="3" s="1"/>
  <c r="E24" i="4"/>
  <c r="D24" i="4"/>
  <c r="AW71" i="3"/>
  <c r="AY71" i="3" s="1"/>
  <c r="AW70" i="3"/>
  <c r="AY70" i="3" s="1"/>
  <c r="AW69" i="3"/>
  <c r="AY69" i="3" s="1"/>
  <c r="AT66" i="3"/>
  <c r="AS66" i="3"/>
  <c r="AW64" i="3"/>
  <c r="AY64" i="3" s="1"/>
  <c r="AW63" i="3"/>
  <c r="AY63" i="3" s="1"/>
  <c r="AW62" i="3"/>
  <c r="AY62" i="3" s="1"/>
  <c r="AW61" i="3"/>
  <c r="AY61" i="3" s="1"/>
  <c r="AW60" i="3"/>
  <c r="AY60" i="3" s="1"/>
  <c r="E19" i="4"/>
  <c r="D19" i="4"/>
  <c r="AW59" i="3"/>
  <c r="AY59" i="3" s="1"/>
  <c r="AW58" i="3"/>
  <c r="AY58" i="3" s="1"/>
  <c r="AW57" i="3"/>
  <c r="AY57" i="3" s="1"/>
  <c r="BD56" i="3"/>
  <c r="AW56" i="3"/>
  <c r="AY56" i="3" s="1"/>
  <c r="D17" i="4"/>
  <c r="AH56" i="3"/>
  <c r="AW55" i="3"/>
  <c r="AY55" i="3" s="1"/>
  <c r="AW54" i="3"/>
  <c r="AY54" i="3" s="1"/>
  <c r="AW53" i="3"/>
  <c r="AY53" i="3" s="1"/>
  <c r="AW52" i="3"/>
  <c r="AY52" i="3" s="1"/>
  <c r="D16" i="4"/>
  <c r="AT51" i="3"/>
  <c r="AS51" i="3"/>
  <c r="AW51" i="3"/>
  <c r="AY51" i="3" s="1"/>
  <c r="E15" i="4"/>
  <c r="AW50" i="3"/>
  <c r="AY50" i="3" s="1"/>
  <c r="AW49" i="3"/>
  <c r="AY49" i="3" s="1"/>
  <c r="AW48" i="3"/>
  <c r="AY48" i="3" s="1"/>
  <c r="AW47" i="3"/>
  <c r="AY47" i="3" s="1"/>
  <c r="AW46" i="3"/>
  <c r="AY46" i="3" s="1"/>
  <c r="AW45" i="3"/>
  <c r="AY45" i="3" s="1"/>
  <c r="AW44" i="3"/>
  <c r="AY44" i="3" s="1"/>
  <c r="AW42" i="3"/>
  <c r="AY42" i="3" s="1"/>
  <c r="AW41" i="3"/>
  <c r="AY41" i="3" s="1"/>
  <c r="E13" i="4"/>
  <c r="D13" i="4"/>
  <c r="AW40" i="3"/>
  <c r="AY40" i="3" s="1"/>
  <c r="AW39" i="3"/>
  <c r="AY39" i="3" s="1"/>
  <c r="AW38" i="3"/>
  <c r="AY38" i="3" s="1"/>
  <c r="AW37" i="3"/>
  <c r="AY37" i="3" s="1"/>
  <c r="AW36" i="3"/>
  <c r="AY36" i="3" s="1"/>
  <c r="AW35" i="3"/>
  <c r="AY35" i="3" s="1"/>
  <c r="E11" i="4"/>
  <c r="D11" i="4"/>
  <c r="AW34" i="3"/>
  <c r="AY34" i="3" s="1"/>
  <c r="AW33" i="3"/>
  <c r="AY33" i="3" s="1"/>
  <c r="AW32" i="3"/>
  <c r="AY32" i="3" s="1"/>
  <c r="AW31" i="3"/>
  <c r="AY31" i="3" s="1"/>
  <c r="AW30" i="3"/>
  <c r="AY30" i="3" s="1"/>
  <c r="BD29" i="3"/>
  <c r="AW29" i="3"/>
  <c r="AY29" i="3" s="1"/>
  <c r="E9" i="4"/>
  <c r="D9" i="4"/>
  <c r="AH29" i="3"/>
  <c r="BA29" i="3" s="1"/>
  <c r="AW28" i="3"/>
  <c r="AY28" i="3" s="1"/>
  <c r="AW27" i="3"/>
  <c r="AY27" i="3" s="1"/>
  <c r="AW26" i="3"/>
  <c r="AY26" i="3" s="1"/>
  <c r="AW25" i="3"/>
  <c r="AY25" i="3" s="1"/>
  <c r="AW24" i="3"/>
  <c r="AY24" i="3" s="1"/>
  <c r="AW23" i="3"/>
  <c r="AY23" i="3" s="1"/>
  <c r="AW22" i="3"/>
  <c r="AY22" i="3" s="1"/>
  <c r="AW21" i="3"/>
  <c r="AY21" i="3" s="1"/>
  <c r="E7" i="4"/>
  <c r="D7" i="4"/>
  <c r="AW20" i="3"/>
  <c r="AY20" i="3" s="1"/>
  <c r="AW19" i="3"/>
  <c r="AY19" i="3" s="1"/>
  <c r="AW18" i="3"/>
  <c r="AY18" i="3" s="1"/>
  <c r="AW17" i="3"/>
  <c r="AY17" i="3" s="1"/>
  <c r="E5" i="4"/>
  <c r="D5" i="4"/>
  <c r="AW16" i="3"/>
  <c r="AY16" i="3" s="1"/>
  <c r="AW15" i="3"/>
  <c r="AY15" i="3" s="1"/>
  <c r="AW14" i="3"/>
  <c r="AY14" i="3" s="1"/>
  <c r="AW13" i="3"/>
  <c r="AY13" i="3" s="1"/>
  <c r="AW12" i="3"/>
  <c r="AY12" i="3" s="1"/>
  <c r="AW11" i="3"/>
  <c r="AY11" i="3" s="1"/>
  <c r="BB10" i="3"/>
  <c r="BD9" i="3"/>
  <c r="E4" i="4"/>
  <c r="D4" i="4"/>
  <c r="AT8" i="3"/>
  <c r="AS8" i="3"/>
  <c r="E3" i="4"/>
  <c r="A2" i="3"/>
  <c r="AH51" i="3" l="1"/>
  <c r="BA56" i="3"/>
  <c r="BB72" i="3"/>
  <c r="BD72" i="3"/>
  <c r="BD77" i="3"/>
  <c r="BB77" i="3"/>
  <c r="BD86" i="3"/>
  <c r="BB86" i="3"/>
  <c r="BD126" i="3"/>
  <c r="BB126" i="3"/>
  <c r="BD174" i="3"/>
  <c r="BB174" i="3"/>
  <c r="BD201" i="3"/>
  <c r="BB201" i="3"/>
  <c r="BD205" i="3"/>
  <c r="BB205" i="3"/>
  <c r="BD211" i="3"/>
  <c r="BB211" i="3"/>
  <c r="BB29" i="3"/>
  <c r="BA8" i="3"/>
  <c r="BD67" i="3"/>
  <c r="BB67" i="3"/>
  <c r="BD103" i="3"/>
  <c r="BB103" i="3"/>
  <c r="BD154" i="3"/>
  <c r="BB154" i="3"/>
  <c r="BD193" i="3"/>
  <c r="BB193" i="3"/>
  <c r="BB21" i="3"/>
  <c r="BD21" i="3"/>
  <c r="BD17" i="3"/>
  <c r="BB17" i="3"/>
  <c r="BD41" i="3"/>
  <c r="BB41" i="3"/>
  <c r="BD60" i="3"/>
  <c r="BB60" i="3"/>
  <c r="AZ107" i="3"/>
  <c r="BD107" i="3" s="1"/>
  <c r="BD108" i="3"/>
  <c r="BB108" i="3"/>
  <c r="BD131" i="3"/>
  <c r="BB131" i="3"/>
  <c r="BB136" i="3"/>
  <c r="BD136" i="3"/>
  <c r="BD141" i="3"/>
  <c r="BB141" i="3"/>
  <c r="BD185" i="3"/>
  <c r="BB185" i="3"/>
  <c r="BD218" i="3"/>
  <c r="BB218" i="3"/>
  <c r="BD147" i="3"/>
  <c r="BB147" i="3"/>
  <c r="BD160" i="3"/>
  <c r="BB160" i="3"/>
  <c r="AH8" i="3"/>
  <c r="AH7" i="3" s="1"/>
  <c r="AS139" i="3"/>
  <c r="Y139" i="3"/>
  <c r="AS65" i="3"/>
  <c r="AS7" i="3"/>
  <c r="AZ125" i="3"/>
  <c r="AA126" i="3"/>
  <c r="AA52" i="3"/>
  <c r="AA56" i="3"/>
  <c r="AA67" i="3"/>
  <c r="AA154" i="3"/>
  <c r="AA103" i="3"/>
  <c r="AA131" i="3"/>
  <c r="AA147" i="3"/>
  <c r="AA86" i="3"/>
  <c r="AA141" i="3"/>
  <c r="AA136" i="3"/>
  <c r="AT7" i="3"/>
  <c r="AA21" i="3"/>
  <c r="AA201" i="3"/>
  <c r="AA17" i="3"/>
  <c r="AT139" i="3"/>
  <c r="AA35" i="3"/>
  <c r="E37" i="4"/>
  <c r="E17" i="4"/>
  <c r="E16" i="4"/>
  <c r="E34" i="4"/>
  <c r="D34" i="4"/>
  <c r="E36" i="4"/>
  <c r="AW124" i="3"/>
  <c r="AY124" i="3" s="1"/>
  <c r="AW107" i="3"/>
  <c r="AY107" i="3" s="1"/>
  <c r="D15" i="4"/>
  <c r="AZ8" i="3"/>
  <c r="BD8" i="3" s="1"/>
  <c r="AZ210" i="3"/>
  <c r="BD210" i="3" s="1"/>
  <c r="AA218" i="3"/>
  <c r="AS158" i="3"/>
  <c r="D62" i="4"/>
  <c r="AA211" i="3"/>
  <c r="AA193" i="3"/>
  <c r="AZ159" i="3"/>
  <c r="BD159" i="3" s="1"/>
  <c r="AT158" i="3"/>
  <c r="AA174" i="3"/>
  <c r="AZ66" i="3"/>
  <c r="AA77" i="3"/>
  <c r="AA41" i="3"/>
  <c r="D3" i="4"/>
  <c r="BB9" i="3"/>
  <c r="AA108" i="3"/>
  <c r="AW140" i="3"/>
  <c r="AY140" i="3" s="1"/>
  <c r="E42" i="4"/>
  <c r="AZ51" i="3"/>
  <c r="BD51" i="3" s="1"/>
  <c r="AW8" i="3"/>
  <c r="AY8" i="3" s="1"/>
  <c r="AA60" i="3"/>
  <c r="AT65" i="3"/>
  <c r="AZ140" i="3"/>
  <c r="AA160" i="3"/>
  <c r="AA185" i="3"/>
  <c r="D42" i="4"/>
  <c r="BB107" i="3" l="1"/>
  <c r="AZ124" i="3"/>
  <c r="BD124" i="3" s="1"/>
  <c r="BD125" i="3"/>
  <c r="BB56" i="3"/>
  <c r="BA51" i="3"/>
  <c r="BA7" i="3" s="1"/>
  <c r="BA223" i="3" s="1"/>
  <c r="AZ139" i="3"/>
  <c r="BD139" i="3" s="1"/>
  <c r="BD140" i="3"/>
  <c r="AZ65" i="3"/>
  <c r="BD65" i="3" s="1"/>
  <c r="BD66" i="3"/>
  <c r="AA51" i="3"/>
  <c r="D43" i="4"/>
  <c r="E43" i="4"/>
  <c r="AS223" i="3"/>
  <c r="AS225" i="3" s="1"/>
  <c r="AH223" i="3"/>
  <c r="AA107" i="3"/>
  <c r="BB125" i="3"/>
  <c r="AA210" i="3"/>
  <c r="AA125" i="3"/>
  <c r="AA124" i="3" s="1"/>
  <c r="BB210" i="3"/>
  <c r="AA140" i="3"/>
  <c r="AA139" i="3" s="1"/>
  <c r="AZ158" i="3"/>
  <c r="BD158" i="3" s="1"/>
  <c r="AZ7" i="3"/>
  <c r="BD7" i="3" s="1"/>
  <c r="BB8" i="3"/>
  <c r="D37" i="4"/>
  <c r="D36" i="4"/>
  <c r="D2" i="4"/>
  <c r="E2" i="4"/>
  <c r="AA159" i="3"/>
  <c r="BB140" i="3"/>
  <c r="AW139" i="3"/>
  <c r="AY139" i="3" s="1"/>
  <c r="AT223" i="3"/>
  <c r="AT225" i="3" s="1"/>
  <c r="BB139" i="3" l="1"/>
  <c r="BB124" i="3"/>
  <c r="AA158" i="3"/>
  <c r="AZ223" i="3"/>
  <c r="BD223" i="3" s="1"/>
  <c r="BB51" i="3"/>
  <c r="BB7" i="3" l="1"/>
  <c r="E30" i="4" l="1"/>
  <c r="E22" i="4" l="1"/>
  <c r="AW91" i="3" l="1"/>
  <c r="AY91" i="3" s="1"/>
  <c r="D30" i="4"/>
  <c r="E21" i="4"/>
  <c r="D22" i="4" l="1"/>
  <c r="D21" i="4" l="1"/>
  <c r="E52" i="4" l="1"/>
  <c r="D52" i="4" l="1"/>
  <c r="AW174" i="3"/>
  <c r="AY174" i="3" s="1"/>
  <c r="E51" i="4" l="1"/>
  <c r="D51" i="4"/>
  <c r="AW160" i="3"/>
  <c r="AY160" i="3" s="1"/>
  <c r="D50" i="4" l="1"/>
  <c r="AW159" i="3"/>
  <c r="AY159" i="3" s="1"/>
  <c r="E50" i="4"/>
  <c r="AW158" i="3" l="1"/>
  <c r="AY158" i="3" s="1"/>
  <c r="D49" i="4"/>
  <c r="X49" i="18"/>
  <c r="E49" i="4"/>
  <c r="BB159" i="3"/>
  <c r="E65" i="4" l="1"/>
  <c r="BB158" i="3"/>
  <c r="D65" i="4"/>
  <c r="AA29" i="3" l="1"/>
  <c r="AA8" i="3" s="1"/>
  <c r="AA7" i="3" s="1"/>
  <c r="AA91" i="3" l="1"/>
  <c r="AA66" i="3" s="1"/>
  <c r="AA65" i="3" s="1"/>
  <c r="AA223" i="3" s="1"/>
  <c r="D23" i="4" l="1"/>
  <c r="E23" i="4"/>
  <c r="AJ66" i="3" l="1"/>
  <c r="AJ65" i="3" s="1"/>
  <c r="AW68" i="3"/>
  <c r="AY68" i="3" s="1"/>
  <c r="AW67" i="3"/>
  <c r="AY67" i="3" s="1"/>
  <c r="BB66" i="3" l="1"/>
  <c r="AW65" i="3"/>
  <c r="AJ223" i="3"/>
  <c r="AW66" i="3"/>
  <c r="AY66" i="3" s="1"/>
  <c r="AW223" i="3" l="1"/>
  <c r="AY223" i="3" s="1"/>
  <c r="AY65" i="3"/>
  <c r="BB65" i="3"/>
  <c r="BB223" i="3"/>
</calcChain>
</file>

<file path=xl/comments1.xml><?xml version="1.0" encoding="utf-8"?>
<comments xmlns="http://schemas.openxmlformats.org/spreadsheetml/2006/main">
  <authors>
    <author>Alex</author>
  </authors>
  <commentList>
    <comment ref="F26" authorId="0" shapeId="0">
      <text>
        <r>
          <rPr>
            <b/>
            <sz val="9"/>
            <color indexed="81"/>
            <rFont val="Tahoma"/>
            <family val="2"/>
          </rPr>
          <t>Alex:</t>
        </r>
        <r>
          <rPr>
            <sz val="9"/>
            <color indexed="81"/>
            <rFont val="Tahoma"/>
            <family val="2"/>
          </rPr>
          <t xml:space="preserve">
Reiterar</t>
        </r>
      </text>
    </comment>
  </commentList>
</comments>
</file>

<file path=xl/comments2.xml><?xml version="1.0" encoding="utf-8"?>
<comments xmlns="http://schemas.openxmlformats.org/spreadsheetml/2006/main">
  <authors>
    <author>Usuario</author>
  </authors>
  <commentList>
    <comment ref="S10" authorId="0" shapeId="0">
      <text>
        <r>
          <rPr>
            <b/>
            <sz val="9"/>
            <color indexed="81"/>
            <rFont val="Tahoma"/>
            <family val="2"/>
          </rPr>
          <t>Usuario:</t>
        </r>
        <r>
          <rPr>
            <sz val="9"/>
            <color indexed="81"/>
            <rFont val="Tahoma"/>
            <family val="2"/>
          </rPr>
          <t xml:space="preserve">
Revisar, se miden número de acciones.                           </t>
        </r>
        <r>
          <rPr>
            <b/>
            <sz val="9"/>
            <color indexed="81"/>
            <rFont val="Tahoma"/>
            <family val="2"/>
          </rPr>
          <t>RTA:</t>
        </r>
        <r>
          <rPr>
            <sz val="9"/>
            <color indexed="81"/>
            <rFont val="Tahoma"/>
            <family val="2"/>
          </rPr>
          <t xml:space="preserve"> Se establece que la implementación de PSA como una acción coordinada</t>
        </r>
      </text>
    </comment>
    <comment ref="S11" authorId="0" shapeId="0">
      <text>
        <r>
          <rPr>
            <b/>
            <sz val="9"/>
            <color indexed="81"/>
            <rFont val="Tahoma"/>
            <family val="2"/>
          </rPr>
          <t>Usuario:</t>
        </r>
        <r>
          <rPr>
            <sz val="9"/>
            <color indexed="81"/>
            <rFont val="Tahoma"/>
            <family val="2"/>
          </rPr>
          <t xml:space="preserve">
revisar frente al avance que registran y lo que estan midiendo.                   </t>
        </r>
        <r>
          <rPr>
            <b/>
            <sz val="9"/>
            <color indexed="81"/>
            <rFont val="Tahoma"/>
            <family val="2"/>
          </rPr>
          <t xml:space="preserve">RTA: </t>
        </r>
        <r>
          <rPr>
            <sz val="9"/>
            <color indexed="81"/>
            <rFont val="Tahoma"/>
            <family val="2"/>
          </rPr>
          <t xml:space="preserve"> Se registra como avance el establecimiento de 5 hectareas de PSA</t>
        </r>
      </text>
    </comment>
    <comment ref="S12" authorId="0" shapeId="0">
      <text>
        <r>
          <rPr>
            <b/>
            <sz val="9"/>
            <color indexed="81"/>
            <rFont val="Tahoma"/>
            <family val="2"/>
          </rPr>
          <t>Usuario:</t>
        </r>
        <r>
          <rPr>
            <sz val="9"/>
            <color indexed="81"/>
            <rFont val="Tahoma"/>
            <family val="2"/>
          </rPr>
          <t xml:space="preserve">
Revisar frente al avance que registran.                        </t>
        </r>
        <r>
          <rPr>
            <b/>
            <sz val="9"/>
            <color indexed="81"/>
            <rFont val="Tahoma"/>
            <family val="2"/>
          </rPr>
          <t xml:space="preserve">RTA: </t>
        </r>
        <r>
          <rPr>
            <sz val="9"/>
            <color indexed="81"/>
            <rFont val="Tahoma"/>
            <family val="2"/>
          </rPr>
          <t>Se ajusta la descripción</t>
        </r>
      </text>
    </comment>
    <comment ref="S16" authorId="0" shapeId="0">
      <text>
        <r>
          <rPr>
            <b/>
            <sz val="9"/>
            <color indexed="81"/>
            <rFont val="Tahoma"/>
            <family val="2"/>
          </rPr>
          <t>Usuario:</t>
        </r>
        <r>
          <rPr>
            <sz val="9"/>
            <color indexed="81"/>
            <rFont val="Tahoma"/>
            <family val="2"/>
          </rPr>
          <t xml:space="preserve">
Si se cumplio en vigencias pasadas que estarian reportando?. Cuidado porque también tienen ejecución financiera.              </t>
        </r>
        <r>
          <rPr>
            <b/>
            <sz val="9"/>
            <color indexed="81"/>
            <rFont val="Tahoma"/>
            <family val="2"/>
          </rPr>
          <t xml:space="preserve">RTA: </t>
        </r>
        <r>
          <rPr>
            <sz val="9"/>
            <color indexed="81"/>
            <rFont val="Tahoma"/>
            <family val="2"/>
          </rPr>
          <t>Se ajustó la descripción</t>
        </r>
      </text>
    </comment>
    <comment ref="S19" authorId="0" shapeId="0">
      <text>
        <r>
          <rPr>
            <b/>
            <sz val="9"/>
            <color indexed="81"/>
            <rFont val="Tahoma"/>
            <family val="2"/>
          </rPr>
          <t>Usuario:</t>
        </r>
        <r>
          <rPr>
            <sz val="9"/>
            <color indexed="81"/>
            <rFont val="Tahoma"/>
            <family val="2"/>
          </rPr>
          <t xml:space="preserve">
Revisar, estan reportando ejecución de la totalidad de la meta.       </t>
        </r>
        <r>
          <rPr>
            <b/>
            <sz val="9"/>
            <color indexed="81"/>
            <rFont val="Tahoma"/>
            <family val="2"/>
          </rPr>
          <t xml:space="preserve">RTA: </t>
        </r>
        <r>
          <rPr>
            <sz val="9"/>
            <color indexed="81"/>
            <rFont val="Tahoma"/>
            <family val="2"/>
          </rPr>
          <t>Se ajustó</t>
        </r>
      </text>
    </comment>
    <comment ref="S20" authorId="0" shapeId="0">
      <text>
        <r>
          <rPr>
            <b/>
            <sz val="9"/>
            <color indexed="81"/>
            <rFont val="Tahoma"/>
            <family val="2"/>
          </rPr>
          <t>Usuario:</t>
        </r>
        <r>
          <rPr>
            <sz val="9"/>
            <color indexed="81"/>
            <rFont val="Tahoma"/>
            <family val="2"/>
          </rPr>
          <t xml:space="preserve">
No tienen meta, revisar.</t>
        </r>
      </text>
    </comment>
    <comment ref="S22"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 xml:space="preserve">RTA: </t>
        </r>
        <r>
          <rPr>
            <sz val="9"/>
            <color indexed="81"/>
            <rFont val="Tahoma"/>
            <family val="2"/>
          </rPr>
          <t>Se ajustó la descripción de la meta</t>
        </r>
      </text>
    </comment>
    <comment ref="K23" authorId="0" shapeId="0">
      <text>
        <r>
          <rPr>
            <b/>
            <sz val="9"/>
            <color indexed="81"/>
            <rFont val="Tahoma"/>
            <family val="2"/>
          </rPr>
          <t>Usuario:</t>
        </r>
        <r>
          <rPr>
            <sz val="9"/>
            <color indexed="81"/>
            <rFont val="Tahoma"/>
            <family val="2"/>
          </rPr>
          <t xml:space="preserve">
El avance sse da en terminos de producto, por lo tanto seria cero. La gestión que se realiza la consignan en la descripción.</t>
        </r>
      </text>
    </comment>
    <comment ref="S23"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 xml:space="preserve">RTA: </t>
        </r>
        <r>
          <rPr>
            <sz val="9"/>
            <color indexed="81"/>
            <rFont val="Tahoma"/>
            <family val="2"/>
          </rPr>
          <t>Se ajusta el avance</t>
        </r>
      </text>
    </comment>
    <comment ref="K27" authorId="0" shapeId="0">
      <text>
        <r>
          <rPr>
            <b/>
            <sz val="9"/>
            <color indexed="81"/>
            <rFont val="Tahoma"/>
            <family val="2"/>
          </rPr>
          <t>Usuario:</t>
        </r>
        <r>
          <rPr>
            <sz val="9"/>
            <color indexed="81"/>
            <rFont val="Tahoma"/>
            <family val="2"/>
          </rPr>
          <t xml:space="preserve">
El avance es en terminos de producto</t>
        </r>
      </text>
    </comment>
    <comment ref="S27"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 xml:space="preserve">RTA: </t>
        </r>
        <r>
          <rPr>
            <sz val="9"/>
            <color indexed="81"/>
            <rFont val="Tahoma"/>
            <family val="2"/>
          </rPr>
          <t>Se ajusta el avance</t>
        </r>
      </text>
    </comment>
    <comment ref="S36" authorId="0" shapeId="0">
      <text>
        <r>
          <rPr>
            <b/>
            <sz val="9"/>
            <color indexed="81"/>
            <rFont val="Tahoma"/>
            <family val="2"/>
          </rPr>
          <t>Usuario:</t>
        </r>
        <r>
          <rPr>
            <sz val="9"/>
            <color indexed="81"/>
            <rFont val="Tahoma"/>
            <family val="2"/>
          </rPr>
          <t xml:space="preserve">
Estan ejecutando acciones del 2023 con un contrato del 2022?. Revisar coherencia frente al avance financiero y tipo de evidencia que estan registrando.</t>
        </r>
        <r>
          <rPr>
            <b/>
            <sz val="9"/>
            <color indexed="81"/>
            <rFont val="Tahoma"/>
            <family val="2"/>
          </rPr>
          <t xml:space="preserve">                   RTA:</t>
        </r>
        <r>
          <rPr>
            <sz val="9"/>
            <color indexed="81"/>
            <rFont val="Tahoma"/>
            <family val="2"/>
          </rPr>
          <t xml:space="preserve"> el contrato fue firmado en dic de 2022, pero se ejecuta en la vigencia 2023</t>
        </r>
      </text>
    </comment>
    <comment ref="S46" authorId="0" shapeId="0">
      <text>
        <r>
          <rPr>
            <b/>
            <sz val="9"/>
            <color indexed="81"/>
            <rFont val="Tahoma"/>
            <family val="2"/>
          </rPr>
          <t>Usuario:</t>
        </r>
        <r>
          <rPr>
            <sz val="9"/>
            <color indexed="81"/>
            <rFont val="Tahoma"/>
            <family val="2"/>
          </rPr>
          <t xml:space="preserve">
reviaar frente a lo que se mide.
RTA: Se considera que en el Cesar hay 2 areas fuentes de contaminación que son: Valledupar y la zona minera del Cesar. Como ya se realizó medición en Valledupar, por eso se coloca un avance del 50%. Ya que en la zona minera, se hará una medición en este segundo semestre en el corregimiento de La Loma</t>
        </r>
      </text>
    </comment>
    <comment ref="S53" authorId="0" shapeId="0">
      <text>
        <r>
          <rPr>
            <b/>
            <sz val="9"/>
            <color indexed="81"/>
            <rFont val="Tahoma"/>
            <family val="2"/>
          </rPr>
          <t>Usuario:</t>
        </r>
        <r>
          <rPr>
            <sz val="9"/>
            <color indexed="81"/>
            <rFont val="Tahoma"/>
            <family val="2"/>
          </rPr>
          <t xml:space="preserve">
Recomendación, confirmar que lo aquí indicado se encuentre contemplado en el PIGCC.                                 </t>
        </r>
        <r>
          <rPr>
            <b/>
            <sz val="9"/>
            <color indexed="81"/>
            <rFont val="Tahoma"/>
            <family val="2"/>
          </rPr>
          <t>RTA: S</t>
        </r>
        <r>
          <rPr>
            <sz val="9"/>
            <color indexed="81"/>
            <rFont val="Tahoma"/>
            <family val="2"/>
          </rPr>
          <t>e revisó frente al plan de acción del PIGCCTC y si cumple</t>
        </r>
      </text>
    </comment>
    <comment ref="S54" authorId="0" shapeId="0">
      <text>
        <r>
          <rPr>
            <b/>
            <sz val="9"/>
            <color indexed="81"/>
            <rFont val="Tahoma"/>
            <family val="2"/>
          </rPr>
          <t>Usuario:</t>
        </r>
        <r>
          <rPr>
            <sz val="9"/>
            <color indexed="81"/>
            <rFont val="Tahoma"/>
            <family val="2"/>
          </rPr>
          <t xml:space="preserve">
Revisar frente a lo que se reporta y el avance registrado.                            </t>
        </r>
        <r>
          <rPr>
            <b/>
            <sz val="9"/>
            <color indexed="81"/>
            <rFont val="Tahoma"/>
            <family val="2"/>
          </rPr>
          <t xml:space="preserve">RTA: </t>
        </r>
        <r>
          <rPr>
            <sz val="9"/>
            <color indexed="81"/>
            <rFont val="Tahoma"/>
            <family val="2"/>
          </rPr>
          <t>Se ajustó la decsripción del avance</t>
        </r>
      </text>
    </comment>
    <comment ref="S55" authorId="0" shapeId="0">
      <text>
        <r>
          <rPr>
            <b/>
            <sz val="9"/>
            <color indexed="81"/>
            <rFont val="Tahoma"/>
            <family val="2"/>
          </rPr>
          <t>Usuario:</t>
        </r>
        <r>
          <rPr>
            <sz val="9"/>
            <color indexed="81"/>
            <rFont val="Tahoma"/>
            <family val="2"/>
          </rPr>
          <t xml:space="preserve">
Revisar frente a lo que se reporta y el avance registrado.                                   </t>
        </r>
        <r>
          <rPr>
            <b/>
            <sz val="9"/>
            <color indexed="81"/>
            <rFont val="Tahoma"/>
            <family val="2"/>
          </rPr>
          <t>RTA: e</t>
        </r>
        <r>
          <rPr>
            <sz val="9"/>
            <color indexed="81"/>
            <rFont val="Tahoma"/>
            <family val="2"/>
          </rPr>
          <t>l 30 de junio se participó en la agenda del Nodo, con la cual se dio cumplimiento a la meta.</t>
        </r>
      </text>
    </comment>
    <comment ref="S59" authorId="0" shapeId="0">
      <text>
        <r>
          <rPr>
            <b/>
            <sz val="9"/>
            <color indexed="81"/>
            <rFont val="Tahoma"/>
            <family val="2"/>
          </rPr>
          <t>Usuario:</t>
        </r>
        <r>
          <rPr>
            <sz val="9"/>
            <color indexed="81"/>
            <rFont val="Tahoma"/>
            <family val="2"/>
          </rPr>
          <t xml:space="preserve">
Revisar frente a lo que se reporta y el avance registrado. </t>
        </r>
        <r>
          <rPr>
            <b/>
            <sz val="9"/>
            <color indexed="81"/>
            <rFont val="Tahoma"/>
            <family val="2"/>
          </rPr>
          <t xml:space="preserve">RTA: </t>
        </r>
        <r>
          <rPr>
            <sz val="9"/>
            <color indexed="81"/>
            <rFont val="Tahoma"/>
            <family val="2"/>
          </rPr>
          <t>Se ajustó la descripción del avance</t>
        </r>
      </text>
    </comment>
    <comment ref="S61" authorId="0" shapeId="0">
      <text>
        <r>
          <rPr>
            <b/>
            <sz val="9"/>
            <color indexed="81"/>
            <rFont val="Tahoma"/>
            <family val="2"/>
          </rPr>
          <t>Usuario:</t>
        </r>
        <r>
          <rPr>
            <sz val="9"/>
            <color indexed="81"/>
            <rFont val="Tahoma"/>
            <family val="2"/>
          </rPr>
          <t xml:space="preserve">
Sin meta, si estan ejecutando acciones evaluar si es pertinente adicionar meta para mostrar la gesstión.</t>
        </r>
        <r>
          <rPr>
            <b/>
            <sz val="9"/>
            <color indexed="81"/>
            <rFont val="Tahoma"/>
            <family val="2"/>
          </rPr>
          <t xml:space="preserve"> RTA: </t>
        </r>
        <r>
          <rPr>
            <sz val="9"/>
            <color indexed="81"/>
            <rFont val="Tahoma"/>
            <family val="2"/>
          </rPr>
          <t>Se va a solicitar el ajuste ante el Consejo Directivo</t>
        </r>
      </text>
    </comment>
    <comment ref="S70" authorId="0" shapeId="0">
      <text>
        <r>
          <rPr>
            <b/>
            <sz val="9"/>
            <color indexed="81"/>
            <rFont val="Tahoma"/>
            <family val="2"/>
          </rPr>
          <t>Usuario:</t>
        </r>
        <r>
          <rPr>
            <sz val="9"/>
            <color indexed="81"/>
            <rFont val="Tahoma"/>
            <family val="2"/>
          </rPr>
          <t xml:space="preserve">
Revisar, estan ejecutando acciones con un contrato de una vigencia anterior?
</t>
        </r>
        <r>
          <rPr>
            <b/>
            <sz val="9"/>
            <color indexed="81"/>
            <rFont val="Tahoma"/>
            <family val="2"/>
          </rPr>
          <t xml:space="preserve">RTA: </t>
        </r>
        <r>
          <rPr>
            <sz val="9"/>
            <color indexed="81"/>
            <rFont val="Tahoma"/>
            <family val="2"/>
          </rPr>
          <t>el contrato fue firmado en Dic 2022 y se ejecutó este año.</t>
        </r>
      </text>
    </comment>
    <comment ref="S75" authorId="0" shapeId="0">
      <text>
        <r>
          <rPr>
            <b/>
            <sz val="9"/>
            <color indexed="81"/>
            <rFont val="Tahoma"/>
            <family val="2"/>
          </rPr>
          <t>Usuario:</t>
        </r>
        <r>
          <rPr>
            <sz val="9"/>
            <color indexed="81"/>
            <rFont val="Tahoma"/>
            <family val="2"/>
          </rPr>
          <t xml:space="preserve">
idem                                          </t>
        </r>
        <r>
          <rPr>
            <b/>
            <sz val="9"/>
            <color indexed="81"/>
            <rFont val="Tahoma"/>
            <family val="2"/>
          </rPr>
          <t xml:space="preserve">RTA: </t>
        </r>
        <r>
          <rPr>
            <sz val="9"/>
            <color indexed="81"/>
            <rFont val="Tahoma"/>
            <family val="2"/>
          </rPr>
          <t>el contrato fue firmado en dic de 2022, pero se ejecuta en la vigencia 2023</t>
        </r>
      </text>
    </comment>
    <comment ref="S83" authorId="0" shapeId="0">
      <text>
        <r>
          <rPr>
            <b/>
            <sz val="9"/>
            <color indexed="81"/>
            <rFont val="Tahoma"/>
            <family val="2"/>
          </rPr>
          <t>Usuario:</t>
        </r>
        <r>
          <rPr>
            <sz val="9"/>
            <color indexed="81"/>
            <rFont val="Tahoma"/>
            <family val="2"/>
          </rPr>
          <t xml:space="preserve">
Revisar frente al reporte que se registra.                    </t>
        </r>
        <r>
          <rPr>
            <b/>
            <sz val="9"/>
            <color indexed="81"/>
            <rFont val="Tahoma"/>
            <family val="2"/>
          </rPr>
          <t xml:space="preserve">RTA: </t>
        </r>
        <r>
          <rPr>
            <sz val="9"/>
            <color indexed="81"/>
            <rFont val="Tahoma"/>
            <family val="2"/>
          </rPr>
          <t>Se ajustó la descripción</t>
        </r>
      </text>
    </comment>
    <comment ref="S84" authorId="0" shapeId="0">
      <text>
        <r>
          <rPr>
            <b/>
            <sz val="9"/>
            <color indexed="81"/>
            <rFont val="Tahoma"/>
            <family val="2"/>
          </rPr>
          <t>Usuario:</t>
        </r>
        <r>
          <rPr>
            <sz val="9"/>
            <color indexed="81"/>
            <rFont val="Tahoma"/>
            <family val="2"/>
          </rPr>
          <t xml:space="preserve">
Revisar frente al reporte que se registra.                           </t>
        </r>
        <r>
          <rPr>
            <b/>
            <sz val="9"/>
            <color indexed="81"/>
            <rFont val="Tahoma"/>
            <family val="2"/>
          </rPr>
          <t>RTA:</t>
        </r>
        <r>
          <rPr>
            <sz val="9"/>
            <color indexed="81"/>
            <rFont val="Tahoma"/>
            <family val="2"/>
          </rPr>
          <t xml:space="preserve"> Se ajustó la descripción</t>
        </r>
      </text>
    </comment>
    <comment ref="S85" authorId="0" shapeId="0">
      <text>
        <r>
          <rPr>
            <b/>
            <sz val="9"/>
            <color indexed="81"/>
            <rFont val="Tahoma"/>
            <family val="2"/>
          </rPr>
          <t>Usuario:</t>
        </r>
        <r>
          <rPr>
            <sz val="9"/>
            <color indexed="81"/>
            <rFont val="Tahoma"/>
            <family val="2"/>
          </rPr>
          <t xml:space="preserve">
Revisar frente al reporte que se registra.                                 </t>
        </r>
        <r>
          <rPr>
            <b/>
            <sz val="9"/>
            <color indexed="81"/>
            <rFont val="Tahoma"/>
            <family val="2"/>
          </rPr>
          <t xml:space="preserve">RTA: </t>
        </r>
        <r>
          <rPr>
            <sz val="9"/>
            <color indexed="81"/>
            <rFont val="Tahoma"/>
            <family val="2"/>
          </rPr>
          <t>Se ajustó la descripción del avance</t>
        </r>
      </text>
    </comment>
    <comment ref="K93" authorId="0" shapeId="0">
      <text>
        <r>
          <rPr>
            <b/>
            <sz val="9"/>
            <color indexed="81"/>
            <rFont val="Tahoma"/>
            <family val="2"/>
          </rPr>
          <t>Usuario:</t>
        </r>
        <r>
          <rPr>
            <sz val="9"/>
            <color indexed="81"/>
            <rFont val="Tahoma"/>
            <family val="2"/>
          </rPr>
          <t xml:space="preserve">
Reporte en terminos de producto, el avance o gestión va en descripción.                               </t>
        </r>
        <r>
          <rPr>
            <b/>
            <sz val="9"/>
            <color indexed="81"/>
            <rFont val="Tahoma"/>
            <family val="2"/>
          </rPr>
          <t xml:space="preserve">RTA: </t>
        </r>
        <r>
          <rPr>
            <sz val="9"/>
            <color indexed="81"/>
            <rFont val="Tahoma"/>
            <family val="2"/>
          </rPr>
          <t>se ajustó</t>
        </r>
      </text>
    </comment>
    <comment ref="S95" authorId="0" shapeId="0">
      <text>
        <r>
          <rPr>
            <b/>
            <sz val="9"/>
            <color indexed="81"/>
            <rFont val="Tahoma"/>
            <family val="2"/>
          </rPr>
          <t>Usuario:</t>
        </r>
        <r>
          <rPr>
            <sz val="9"/>
            <color indexed="81"/>
            <rFont val="Tahoma"/>
            <family val="2"/>
          </rPr>
          <t xml:space="preserve">
Con un contrato de la vigencia anterior?                    </t>
        </r>
        <r>
          <rPr>
            <b/>
            <sz val="9"/>
            <color indexed="81"/>
            <rFont val="Tahoma"/>
            <family val="2"/>
          </rPr>
          <t xml:space="preserve">RTA: </t>
        </r>
        <r>
          <rPr>
            <sz val="9"/>
            <color indexed="81"/>
            <rFont val="Tahoma"/>
            <family val="2"/>
          </rPr>
          <t>el contrato se firmó en dic de 2022, pero se ejcuta en la vig 2023</t>
        </r>
      </text>
    </comment>
    <comment ref="K100" authorId="0" shapeId="0">
      <text>
        <r>
          <rPr>
            <b/>
            <sz val="9"/>
            <color indexed="81"/>
            <rFont val="Tahoma"/>
            <family val="2"/>
          </rPr>
          <t>Usuario:</t>
        </r>
        <r>
          <rPr>
            <sz val="9"/>
            <color indexed="81"/>
            <rFont val="Tahoma"/>
            <family val="2"/>
          </rPr>
          <t xml:space="preserve">
Se debe reportar en termrinos de producto, el avance o gestión se registra en descripción.</t>
        </r>
      </text>
    </comment>
    <comment ref="S102" authorId="0" shapeId="0">
      <text>
        <r>
          <rPr>
            <b/>
            <sz val="9"/>
            <color indexed="81"/>
            <rFont val="Tahoma"/>
            <family val="2"/>
          </rPr>
          <t>Usuario:</t>
        </r>
        <r>
          <rPr>
            <sz val="9"/>
            <color indexed="81"/>
            <rFont val="Tahoma"/>
            <family val="2"/>
          </rPr>
          <t xml:space="preserve">
con contrato de la vigencia anterior?                     RTA: el contrato se firmó en dic de 2022, pero se ejcuta en la vig 2023</t>
        </r>
      </text>
    </comment>
    <comment ref="S109" authorId="0" shapeId="0">
      <text>
        <r>
          <rPr>
            <b/>
            <sz val="9"/>
            <color indexed="81"/>
            <rFont val="Tahoma"/>
            <family val="2"/>
          </rPr>
          <t>Usuario:</t>
        </r>
        <r>
          <rPr>
            <sz val="9"/>
            <color indexed="81"/>
            <rFont val="Tahoma"/>
            <family val="2"/>
          </rPr>
          <t xml:space="preserve">
Revisar frente al avance registrado, ya reportan como deasrrollada la fase no en proceso.                       </t>
        </r>
        <r>
          <rPr>
            <b/>
            <sz val="9"/>
            <color indexed="81"/>
            <rFont val="Tahoma"/>
            <family val="2"/>
          </rPr>
          <t>RTA:</t>
        </r>
        <r>
          <rPr>
            <sz val="9"/>
            <color indexed="81"/>
            <rFont val="Tahoma"/>
            <family val="2"/>
          </rPr>
          <t xml:space="preserve"> Se ajusta la descripción</t>
        </r>
      </text>
    </comment>
    <comment ref="S114" authorId="0" shapeId="0">
      <text>
        <r>
          <rPr>
            <b/>
            <sz val="9"/>
            <color indexed="81"/>
            <rFont val="Tahoma"/>
            <family val="2"/>
          </rPr>
          <t>Usuario:</t>
        </r>
        <r>
          <rPr>
            <sz val="9"/>
            <color indexed="81"/>
            <rFont val="Tahoma"/>
            <family val="2"/>
          </rPr>
          <t xml:space="preserve">
Idicar el PMA que estan implementando.                         </t>
        </r>
        <r>
          <rPr>
            <b/>
            <sz val="9"/>
            <color indexed="81"/>
            <rFont val="Tahoma"/>
            <family val="2"/>
          </rPr>
          <t xml:space="preserve">RTA: </t>
        </r>
        <r>
          <rPr>
            <sz val="9"/>
            <color indexed="81"/>
            <rFont val="Tahoma"/>
            <family val="2"/>
          </rPr>
          <t>Se ajusta en la descripción</t>
        </r>
      </text>
    </comment>
    <comment ref="S123" authorId="0" shapeId="0">
      <text>
        <r>
          <rPr>
            <b/>
            <sz val="9"/>
            <color indexed="81"/>
            <rFont val="Tahoma"/>
            <family val="2"/>
          </rPr>
          <t>Usuario:</t>
        </r>
        <r>
          <rPr>
            <sz val="9"/>
            <color indexed="81"/>
            <rFont val="Tahoma"/>
            <family val="2"/>
          </rPr>
          <t xml:space="preserve">
La platforma esta operando?                                 </t>
        </r>
        <r>
          <rPr>
            <b/>
            <sz val="9"/>
            <color indexed="81"/>
            <rFont val="Tahoma"/>
            <family val="2"/>
          </rPr>
          <t>RTA:</t>
        </r>
        <r>
          <rPr>
            <sz val="9"/>
            <color indexed="81"/>
            <rFont val="Tahoma"/>
            <family val="2"/>
          </rPr>
          <t xml:space="preserve"> Si</t>
        </r>
      </text>
    </comment>
    <comment ref="K142" authorId="0" shapeId="0">
      <text>
        <r>
          <rPr>
            <b/>
            <sz val="9"/>
            <color indexed="81"/>
            <rFont val="Tahoma"/>
            <family val="2"/>
          </rPr>
          <t>Usuario:</t>
        </r>
        <r>
          <rPr>
            <sz val="9"/>
            <color indexed="81"/>
            <rFont val="Tahoma"/>
            <family val="2"/>
          </rPr>
          <t xml:space="preserve">
En la descripción se mencionan 3 espacios        </t>
        </r>
        <r>
          <rPr>
            <b/>
            <sz val="9"/>
            <color indexed="81"/>
            <rFont val="Tahoma"/>
            <family val="2"/>
          </rPr>
          <t xml:space="preserve">RTA: </t>
        </r>
        <r>
          <rPr>
            <sz val="9"/>
            <color indexed="81"/>
            <rFont val="Tahoma"/>
            <family val="2"/>
          </rPr>
          <t>Se ajustó el reporte</t>
        </r>
      </text>
    </comment>
    <comment ref="K144" authorId="0" shapeId="0">
      <text>
        <r>
          <rPr>
            <b/>
            <sz val="9"/>
            <color indexed="81"/>
            <rFont val="Tahoma"/>
            <family val="2"/>
          </rPr>
          <t>Usuario:</t>
        </r>
        <r>
          <rPr>
            <sz val="9"/>
            <color indexed="81"/>
            <rFont val="Tahoma"/>
            <family val="2"/>
          </rPr>
          <t xml:space="preserve">
En descripción reportan 2                                             </t>
        </r>
        <r>
          <rPr>
            <b/>
            <sz val="9"/>
            <color indexed="81"/>
            <rFont val="Tahoma"/>
            <family val="2"/>
          </rPr>
          <t xml:space="preserve">RTA: </t>
        </r>
        <r>
          <rPr>
            <sz val="9"/>
            <color indexed="81"/>
            <rFont val="Tahoma"/>
            <family val="2"/>
          </rPr>
          <t>Se ajustó el reporte</t>
        </r>
      </text>
    </comment>
    <comment ref="S149"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 xml:space="preserve">RTA: </t>
        </r>
        <r>
          <rPr>
            <sz val="9"/>
            <color indexed="81"/>
            <rFont val="Tahoma"/>
            <family val="2"/>
          </rPr>
          <t>Se ajustó la descripción del avance</t>
        </r>
      </text>
    </comment>
    <comment ref="S153"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RTA:</t>
        </r>
        <r>
          <rPr>
            <sz val="9"/>
            <color indexed="81"/>
            <rFont val="Tahoma"/>
            <family val="2"/>
          </rPr>
          <t xml:space="preserve"> Se ajustó la descripción</t>
        </r>
      </text>
    </comment>
    <comment ref="S167" authorId="0" shapeId="0">
      <text>
        <r>
          <rPr>
            <b/>
            <sz val="9"/>
            <color indexed="81"/>
            <rFont val="Tahoma"/>
            <family val="2"/>
          </rPr>
          <t>Usuario:</t>
        </r>
        <r>
          <rPr>
            <sz val="9"/>
            <color indexed="81"/>
            <rFont val="Tahoma"/>
            <family val="2"/>
          </rPr>
          <t xml:space="preserve">
Incluir descripción.                </t>
        </r>
        <r>
          <rPr>
            <b/>
            <sz val="9"/>
            <color indexed="81"/>
            <rFont val="Tahoma"/>
            <family val="2"/>
          </rPr>
          <t xml:space="preserve">RTA: </t>
        </r>
        <r>
          <rPr>
            <sz val="9"/>
            <color indexed="81"/>
            <rFont val="Tahoma"/>
            <family val="2"/>
          </rPr>
          <t>Se incluye la descripción</t>
        </r>
      </text>
    </comment>
    <comment ref="S170" authorId="0" shapeId="0">
      <text>
        <r>
          <rPr>
            <b/>
            <sz val="9"/>
            <color indexed="81"/>
            <rFont val="Tahoma"/>
            <family val="2"/>
          </rPr>
          <t>Usuario:</t>
        </r>
        <r>
          <rPr>
            <sz val="9"/>
            <color indexed="81"/>
            <rFont val="Tahoma"/>
            <family val="2"/>
          </rPr>
          <t xml:space="preserve">
Entonces porque registran avance?                           </t>
        </r>
        <r>
          <rPr>
            <b/>
            <sz val="9"/>
            <color indexed="81"/>
            <rFont val="Tahoma"/>
            <family val="2"/>
          </rPr>
          <t>Rta:</t>
        </r>
        <r>
          <rPr>
            <sz val="9"/>
            <color indexed="81"/>
            <rFont val="Tahoma"/>
            <family val="2"/>
          </rPr>
          <t xml:space="preserve"> Se ajusta el avance</t>
        </r>
      </text>
    </comment>
    <comment ref="S183" authorId="0" shapeId="0">
      <text>
        <r>
          <rPr>
            <b/>
            <sz val="9"/>
            <color indexed="81"/>
            <rFont val="Tahoma"/>
            <family val="2"/>
          </rPr>
          <t>Usuario:</t>
        </r>
        <r>
          <rPr>
            <sz val="9"/>
            <color indexed="81"/>
            <rFont val="Tahoma"/>
            <family val="2"/>
          </rPr>
          <t xml:space="preserve">
Sin meta para la vigencia. </t>
        </r>
        <r>
          <rPr>
            <b/>
            <sz val="9"/>
            <color indexed="81"/>
            <rFont val="Tahoma"/>
            <family val="2"/>
          </rPr>
          <t xml:space="preserve">RTA: </t>
        </r>
        <r>
          <rPr>
            <sz val="9"/>
            <color indexed="81"/>
            <rFont val="Tahoma"/>
            <family val="2"/>
          </rPr>
          <t>Se solicitará ajuste de meta al CD</t>
        </r>
      </text>
    </comment>
    <comment ref="S184" authorId="0" shapeId="0">
      <text>
        <r>
          <rPr>
            <b/>
            <sz val="9"/>
            <color indexed="81"/>
            <rFont val="Tahoma"/>
            <family val="2"/>
          </rPr>
          <t>Usuario:</t>
        </r>
        <r>
          <rPr>
            <sz val="9"/>
            <color indexed="81"/>
            <rFont val="Tahoma"/>
            <family val="2"/>
          </rPr>
          <t xml:space="preserve">
revisar frente a lo que se mide.                                        </t>
        </r>
        <r>
          <rPr>
            <b/>
            <sz val="9"/>
            <color indexed="81"/>
            <rFont val="Tahoma"/>
            <family val="2"/>
          </rPr>
          <t xml:space="preserve">RTA: </t>
        </r>
        <r>
          <rPr>
            <sz val="9"/>
            <color indexed="81"/>
            <rFont val="Tahoma"/>
            <family val="2"/>
          </rPr>
          <t>se ajusta la descripción</t>
        </r>
      </text>
    </comment>
    <comment ref="S194" authorId="0" shapeId="0">
      <text>
        <r>
          <rPr>
            <b/>
            <sz val="9"/>
            <color indexed="81"/>
            <rFont val="Tahoma"/>
            <family val="2"/>
          </rPr>
          <t>Usuario:</t>
        </r>
        <r>
          <rPr>
            <sz val="9"/>
            <color indexed="81"/>
            <rFont val="Tahoma"/>
            <family val="2"/>
          </rPr>
          <t xml:space="preserve">
Entonces porque reportan la meta como cumpida?                                      </t>
        </r>
        <r>
          <rPr>
            <b/>
            <sz val="9"/>
            <color indexed="81"/>
            <rFont val="Tahoma"/>
            <family val="2"/>
          </rPr>
          <t xml:space="preserve">RTA: </t>
        </r>
        <r>
          <rPr>
            <sz val="9"/>
            <color indexed="81"/>
            <rFont val="Tahoma"/>
            <family val="2"/>
          </rPr>
          <t>se ajusta el avance</t>
        </r>
      </text>
    </comment>
    <comment ref="K200" authorId="0" shapeId="0">
      <text>
        <r>
          <rPr>
            <b/>
            <sz val="9"/>
            <color indexed="81"/>
            <rFont val="Tahoma"/>
            <family val="2"/>
          </rPr>
          <t>Usuario:</t>
        </r>
        <r>
          <rPr>
            <sz val="9"/>
            <color indexed="81"/>
            <rFont val="Tahoma"/>
            <family val="2"/>
          </rPr>
          <t xml:space="preserve">
Avance en terminos de producto, la gestión se indica en la descripción.   RTA: el 33% corresponde al avance del proyecto de abastecimiento de agua en la comunidad indígena Itti Takke</t>
        </r>
      </text>
    </comment>
    <comment ref="K215" authorId="0" shapeId="0">
      <text>
        <r>
          <rPr>
            <b/>
            <sz val="9"/>
            <color indexed="81"/>
            <rFont val="Tahoma"/>
            <family val="2"/>
          </rPr>
          <t>Usuario:</t>
        </r>
        <r>
          <rPr>
            <sz val="9"/>
            <color indexed="81"/>
            <rFont val="Tahoma"/>
            <family val="2"/>
          </rPr>
          <t xml:space="preserve">
Resultado en terminos de producto, el avance en gestión en la descripción</t>
        </r>
      </text>
    </comment>
    <comment ref="AJ223" authorId="0" shapeId="0">
      <text>
        <r>
          <rPr>
            <b/>
            <sz val="9"/>
            <color indexed="81"/>
            <rFont val="Tahoma"/>
            <family val="2"/>
          </rPr>
          <t>Usuario:</t>
        </r>
        <r>
          <rPr>
            <sz val="9"/>
            <color indexed="81"/>
            <rFont val="Tahoma"/>
            <family val="2"/>
          </rPr>
          <t xml:space="preserve">
Quedo pendiente de Ajuste en informe 2022, por lo tanto sigue sinn coincidir la información</t>
        </r>
      </text>
    </comment>
    <comment ref="AK223" authorId="0" shapeId="0">
      <text>
        <r>
          <rPr>
            <b/>
            <sz val="9"/>
            <color indexed="81"/>
            <rFont val="Tahoma"/>
            <family val="2"/>
          </rPr>
          <t>Usuario:</t>
        </r>
        <r>
          <rPr>
            <sz val="9"/>
            <color indexed="81"/>
            <rFont val="Tahoma"/>
            <family val="2"/>
          </rPr>
          <t xml:space="preserve">
No coincide con Anexo 5.2</t>
        </r>
      </text>
    </comment>
    <comment ref="AP223" authorId="0" shapeId="0">
      <text>
        <r>
          <rPr>
            <b/>
            <sz val="9"/>
            <color indexed="81"/>
            <rFont val="Tahoma"/>
            <family val="2"/>
          </rPr>
          <t>Usuario:</t>
        </r>
        <r>
          <rPr>
            <sz val="9"/>
            <color indexed="81"/>
            <rFont val="Tahoma"/>
            <family val="2"/>
          </rPr>
          <t xml:space="preserve">
No coincide con Anexo 5.2</t>
        </r>
      </text>
    </comment>
    <comment ref="AS224" authorId="0" shapeId="0">
      <text>
        <r>
          <rPr>
            <b/>
            <sz val="9"/>
            <color indexed="81"/>
            <rFont val="Tahoma"/>
            <family val="2"/>
          </rPr>
          <t>Usuario:</t>
        </r>
        <r>
          <rPr>
            <sz val="9"/>
            <color indexed="81"/>
            <rFont val="Tahoma"/>
            <family val="2"/>
          </rPr>
          <t xml:space="preserve">
Tomado de informe 2021</t>
        </r>
      </text>
    </comment>
    <comment ref="AT224" authorId="0" shapeId="0">
      <text>
        <r>
          <rPr>
            <b/>
            <sz val="9"/>
            <color indexed="81"/>
            <rFont val="Tahoma"/>
            <family val="2"/>
          </rPr>
          <t>Usuario:</t>
        </r>
        <r>
          <rPr>
            <sz val="9"/>
            <color indexed="81"/>
            <rFont val="Tahoma"/>
            <family val="2"/>
          </rPr>
          <t xml:space="preserve">
Tomado de informe 2021</t>
        </r>
      </text>
    </comment>
    <comment ref="AU224" authorId="0" shapeId="0">
      <text>
        <r>
          <rPr>
            <b/>
            <sz val="9"/>
            <color indexed="81"/>
            <rFont val="Tahoma"/>
            <family val="2"/>
          </rPr>
          <t>Usuario:</t>
        </r>
        <r>
          <rPr>
            <sz val="9"/>
            <color indexed="81"/>
            <rFont val="Tahoma"/>
            <family val="2"/>
          </rPr>
          <t xml:space="preserve">
Tomado de Informe 2021</t>
        </r>
      </text>
    </comment>
    <comment ref="AV224" authorId="0" shapeId="0">
      <text>
        <r>
          <rPr>
            <b/>
            <sz val="9"/>
            <color indexed="81"/>
            <rFont val="Tahoma"/>
            <family val="2"/>
          </rPr>
          <t>Usuario:</t>
        </r>
        <r>
          <rPr>
            <sz val="9"/>
            <color indexed="81"/>
            <rFont val="Tahoma"/>
            <family val="2"/>
          </rPr>
          <t xml:space="preserve">
Tomado de informe 2022</t>
        </r>
      </text>
    </comment>
    <comment ref="AW224" authorId="0" shapeId="0">
      <text>
        <r>
          <rPr>
            <b/>
            <sz val="9"/>
            <color indexed="81"/>
            <rFont val="Tahoma"/>
            <family val="2"/>
          </rPr>
          <t>Usuario:</t>
        </r>
        <r>
          <rPr>
            <sz val="9"/>
            <color indexed="81"/>
            <rFont val="Tahoma"/>
            <family val="2"/>
          </rPr>
          <t xml:space="preserve">
Tomado de informe 2022</t>
        </r>
      </text>
    </comment>
  </commentList>
</comments>
</file>

<file path=xl/comments3.xml><?xml version="1.0" encoding="utf-8"?>
<comments xmlns="http://schemas.openxmlformats.org/spreadsheetml/2006/main">
  <authors>
    <author>Usuario</author>
    <author>Tesoreria</author>
  </authors>
  <commentList>
    <comment ref="L233" authorId="0" shapeId="0">
      <text>
        <r>
          <rPr>
            <b/>
            <sz val="9"/>
            <color rgb="FF000000"/>
            <rFont val="Tahoma"/>
            <family val="2"/>
          </rPr>
          <t>Usuario:</t>
        </r>
        <r>
          <rPr>
            <sz val="9"/>
            <color rgb="FF000000"/>
            <rFont val="Tahoma"/>
            <family val="2"/>
          </rPr>
          <t xml:space="preserve">
En informe semestral lo tenian distribuido por fuente, y de esta manera se ingreso la información en CARdinal. Se recomienda conservar la desagregación.</t>
        </r>
      </text>
    </comment>
    <comment ref="O233" authorId="0" shapeId="0">
      <text>
        <r>
          <rPr>
            <b/>
            <sz val="9"/>
            <color rgb="FF000000"/>
            <rFont val="Tahoma"/>
            <family val="2"/>
          </rPr>
          <t>Usuario:</t>
        </r>
        <r>
          <rPr>
            <sz val="9"/>
            <color rgb="FF000000"/>
            <rFont val="Tahoma"/>
            <family val="2"/>
          </rPr>
          <t xml:space="preserve">
Recomiendo conservar la desagregación presentada en el reporte de junio. En ese caso dentro de cada fuente usar el concepto Nombre fuente- Recuperación de cartera.</t>
        </r>
      </text>
    </comment>
    <comment ref="M523" authorId="1" shapeId="0">
      <text>
        <r>
          <rPr>
            <b/>
            <sz val="9"/>
            <color rgb="FF000000"/>
            <rFont val="Tahoma"/>
            <family val="2"/>
          </rPr>
          <t>Tesoreria:</t>
        </r>
        <r>
          <rPr>
            <sz val="9"/>
            <color rgb="FF000000"/>
            <rFont val="Tahoma"/>
            <family val="2"/>
          </rPr>
          <t xml:space="preserve">
Los 20.000.000 corresponden a Multas y Sancioenes-Impuestos </t>
        </r>
      </text>
    </comment>
  </commentList>
</comments>
</file>

<file path=xl/comments4.xml><?xml version="1.0" encoding="utf-8"?>
<comments xmlns="http://schemas.openxmlformats.org/spreadsheetml/2006/main">
  <authors>
    <author>Usuario</author>
    <author>Tesoreria</author>
  </authors>
  <commentList>
    <comment ref="B3" authorId="0" shapeId="0">
      <text>
        <r>
          <rPr>
            <b/>
            <sz val="9"/>
            <color rgb="FF000000"/>
            <rFont val="Tahoma"/>
            <family val="2"/>
          </rPr>
          <t>Usuario:</t>
        </r>
        <r>
          <rPr>
            <sz val="9"/>
            <color rgb="FF000000"/>
            <rFont val="Tahoma"/>
            <family val="2"/>
          </rPr>
          <t xml:space="preserve">
Aumento de recursos</t>
        </r>
      </text>
    </comment>
    <comment ref="B4" authorId="0" shapeId="0">
      <text>
        <r>
          <rPr>
            <b/>
            <sz val="9"/>
            <color rgb="FF000000"/>
            <rFont val="Tahoma"/>
            <family val="2"/>
          </rPr>
          <t>Usuario:</t>
        </r>
        <r>
          <rPr>
            <sz val="9"/>
            <color rgb="FF000000"/>
            <rFont val="Tahoma"/>
            <family val="2"/>
          </rPr>
          <t xml:space="preserve">
Aumento de recursos</t>
        </r>
      </text>
    </comment>
    <comment ref="B5" authorId="0" shapeId="0">
      <text>
        <r>
          <rPr>
            <b/>
            <sz val="9"/>
            <color rgb="FF000000"/>
            <rFont val="Tahoma"/>
            <family val="2"/>
          </rPr>
          <t>Usuario:</t>
        </r>
        <r>
          <rPr>
            <sz val="9"/>
            <color rgb="FF000000"/>
            <rFont val="Tahoma"/>
            <family val="2"/>
          </rPr>
          <t xml:space="preserve">
Aumento de recursos</t>
        </r>
      </text>
    </comment>
    <comment ref="B7" authorId="0" shapeId="0">
      <text>
        <r>
          <rPr>
            <b/>
            <sz val="9"/>
            <color rgb="FF000000"/>
            <rFont val="Tahoma"/>
            <family val="2"/>
          </rPr>
          <t>Usuario:</t>
        </r>
        <r>
          <rPr>
            <sz val="9"/>
            <color rgb="FF000000"/>
            <rFont val="Tahoma"/>
            <family val="2"/>
          </rPr>
          <t xml:space="preserve">
Aumento de recursos</t>
        </r>
      </text>
    </comment>
    <comment ref="B8" authorId="0" shapeId="0">
      <text>
        <r>
          <rPr>
            <b/>
            <sz val="9"/>
            <color rgb="FF000000"/>
            <rFont val="Tahoma"/>
            <family val="2"/>
          </rPr>
          <t>Usuario:</t>
        </r>
        <r>
          <rPr>
            <sz val="9"/>
            <color rgb="FF000000"/>
            <rFont val="Tahoma"/>
            <family val="2"/>
          </rPr>
          <t xml:space="preserve">
Aumento de recursos</t>
        </r>
      </text>
    </comment>
    <comment ref="B9" authorId="0" shapeId="0">
      <text>
        <r>
          <rPr>
            <b/>
            <sz val="9"/>
            <color rgb="FF000000"/>
            <rFont val="Tahoma"/>
            <family val="2"/>
          </rPr>
          <t>Usuario:</t>
        </r>
        <r>
          <rPr>
            <sz val="9"/>
            <color rgb="FF000000"/>
            <rFont val="Tahoma"/>
            <family val="2"/>
          </rPr>
          <t xml:space="preserve">
Aumento de recursos</t>
        </r>
      </text>
    </comment>
    <comment ref="A15" authorId="1" shapeId="0">
      <text>
        <r>
          <rPr>
            <b/>
            <sz val="9"/>
            <color rgb="FF000000"/>
            <rFont val="Tahoma"/>
            <family val="2"/>
          </rPr>
          <t>Tesoreria:</t>
        </r>
        <r>
          <rPr>
            <sz val="9"/>
            <color rgb="FF000000"/>
            <rFont val="Tahoma"/>
            <family val="2"/>
          </rPr>
          <t xml:space="preserve">
falta distribuir la recueporaci{on de cartera en 200.000.000</t>
        </r>
      </text>
    </comment>
    <comment ref="J33" authorId="0" shapeId="0">
      <text>
        <r>
          <rPr>
            <b/>
            <sz val="9"/>
            <color rgb="FF000000"/>
            <rFont val="Tahoma"/>
            <family val="2"/>
          </rPr>
          <t>Usuario:</t>
        </r>
        <r>
          <rPr>
            <sz val="9"/>
            <color rgb="FF000000"/>
            <rFont val="Tahoma"/>
            <family val="2"/>
          </rPr>
          <t xml:space="preserve">
Mayor a lo recaudado</t>
        </r>
      </text>
    </comment>
    <comment ref="B50" authorId="0" shapeId="0">
      <text>
        <r>
          <rPr>
            <b/>
            <sz val="9"/>
            <color rgb="FF000000"/>
            <rFont val="Tahoma"/>
            <family val="2"/>
          </rPr>
          <t>Usuario:</t>
        </r>
        <r>
          <rPr>
            <sz val="9"/>
            <color rgb="FF000000"/>
            <rFont val="Tahoma"/>
            <family val="2"/>
          </rPr>
          <t xml:space="preserve">
Reducción de recursos</t>
        </r>
      </text>
    </comment>
    <comment ref="C50" authorId="0" shapeId="0">
      <text>
        <r>
          <rPr>
            <b/>
            <sz val="9"/>
            <color rgb="FF000000"/>
            <rFont val="Tahoma"/>
            <family val="2"/>
          </rPr>
          <t>Usuario:</t>
        </r>
        <r>
          <rPr>
            <sz val="9"/>
            <color rgb="FF000000"/>
            <rFont val="Tahoma"/>
            <family val="2"/>
          </rPr>
          <t xml:space="preserve">
Reducción de recursos</t>
        </r>
      </text>
    </comment>
    <comment ref="B51" authorId="0" shapeId="0">
      <text>
        <r>
          <rPr>
            <b/>
            <sz val="9"/>
            <color rgb="FF000000"/>
            <rFont val="Tahoma"/>
            <family val="2"/>
          </rPr>
          <t>Usuario:</t>
        </r>
        <r>
          <rPr>
            <sz val="9"/>
            <color rgb="FF000000"/>
            <rFont val="Tahoma"/>
            <family val="2"/>
          </rPr>
          <t xml:space="preserve">
Reducción de recursos</t>
        </r>
      </text>
    </comment>
    <comment ref="C51" authorId="0" shapeId="0">
      <text>
        <r>
          <rPr>
            <b/>
            <sz val="9"/>
            <color rgb="FF000000"/>
            <rFont val="Tahoma"/>
            <family val="2"/>
          </rPr>
          <t>Usuario:</t>
        </r>
        <r>
          <rPr>
            <sz val="9"/>
            <color rgb="FF000000"/>
            <rFont val="Tahoma"/>
            <family val="2"/>
          </rPr>
          <t xml:space="preserve">
Reducción de recursos</t>
        </r>
      </text>
    </comment>
    <comment ref="B52" authorId="0" shapeId="0">
      <text>
        <r>
          <rPr>
            <b/>
            <sz val="9"/>
            <color rgb="FF000000"/>
            <rFont val="Tahoma"/>
            <family val="2"/>
          </rPr>
          <t>Usuario:</t>
        </r>
        <r>
          <rPr>
            <sz val="9"/>
            <color rgb="FF000000"/>
            <rFont val="Tahoma"/>
            <family val="2"/>
          </rPr>
          <t xml:space="preserve">
Reducción de recursos</t>
        </r>
      </text>
    </comment>
    <comment ref="C52" authorId="0" shapeId="0">
      <text>
        <r>
          <rPr>
            <b/>
            <sz val="9"/>
            <color rgb="FF000000"/>
            <rFont val="Tahoma"/>
            <family val="2"/>
          </rPr>
          <t>Usuario:</t>
        </r>
        <r>
          <rPr>
            <sz val="9"/>
            <color rgb="FF000000"/>
            <rFont val="Tahoma"/>
            <family val="2"/>
          </rPr>
          <t xml:space="preserve">
Reducción de recursos</t>
        </r>
      </text>
    </comment>
    <comment ref="B59" authorId="0" shapeId="0">
      <text>
        <r>
          <rPr>
            <b/>
            <sz val="9"/>
            <color rgb="FF000000"/>
            <rFont val="Tahoma"/>
            <family val="2"/>
          </rPr>
          <t>Usuario:</t>
        </r>
        <r>
          <rPr>
            <sz val="9"/>
            <color rgb="FF000000"/>
            <rFont val="Tahoma"/>
            <family val="2"/>
          </rPr>
          <t xml:space="preserve">
Aumento de recursos</t>
        </r>
      </text>
    </comment>
    <comment ref="B84" authorId="0" shapeId="0">
      <text>
        <r>
          <rPr>
            <b/>
            <sz val="9"/>
            <color rgb="FF000000"/>
            <rFont val="Tahoma"/>
            <family val="2"/>
          </rPr>
          <t>Usuario:</t>
        </r>
        <r>
          <rPr>
            <sz val="9"/>
            <color rgb="FF000000"/>
            <rFont val="Tahoma"/>
            <family val="2"/>
          </rPr>
          <t xml:space="preserve">
Aumento recursos</t>
        </r>
      </text>
    </comment>
    <comment ref="B97" authorId="1" shapeId="0">
      <text>
        <r>
          <rPr>
            <b/>
            <sz val="9"/>
            <color rgb="FF000000"/>
            <rFont val="Tahoma"/>
            <family val="2"/>
          </rPr>
          <t>Tesoreria:</t>
        </r>
        <r>
          <rPr>
            <sz val="9"/>
            <color rgb="FF000000"/>
            <rFont val="Tahoma"/>
            <family val="2"/>
          </rPr>
          <t xml:space="preserve">
Falta  desagregar la recuperaci{on de cartera 1.800.000</t>
        </r>
      </text>
    </comment>
    <comment ref="C102" authorId="0" shapeId="0">
      <text>
        <r>
          <rPr>
            <b/>
            <sz val="9"/>
            <color rgb="FF000000"/>
            <rFont val="Tahoma"/>
            <family val="2"/>
          </rPr>
          <t>Usuario:</t>
        </r>
        <r>
          <rPr>
            <sz val="9"/>
            <color rgb="FF000000"/>
            <rFont val="Tahoma"/>
            <family val="2"/>
          </rPr>
          <t xml:space="preserve">
Acuerdo 006. $2.887.000.000</t>
        </r>
      </text>
    </comment>
    <comment ref="A125" authorId="0" shapeId="0">
      <text>
        <r>
          <rPr>
            <b/>
            <sz val="9"/>
            <color rgb="FF000000"/>
            <rFont val="Tahoma"/>
            <family val="2"/>
          </rPr>
          <t>Usuario:</t>
        </r>
        <r>
          <rPr>
            <sz val="9"/>
            <color rgb="FF000000"/>
            <rFont val="Tahoma"/>
            <family val="2"/>
          </rPr>
          <t xml:space="preserve">
Penduente porque meta estaba en cero</t>
        </r>
      </text>
    </comment>
    <comment ref="A131" authorId="0" shapeId="0">
      <text>
        <r>
          <rPr>
            <b/>
            <sz val="9"/>
            <color rgb="FF000000"/>
            <rFont val="Tahoma"/>
            <family val="2"/>
          </rPr>
          <t>Usuario:</t>
        </r>
        <r>
          <rPr>
            <sz val="9"/>
            <color rgb="FF000000"/>
            <rFont val="Tahoma"/>
            <family val="2"/>
          </rPr>
          <t xml:space="preserve">
Pendiente hasta correr migración</t>
        </r>
      </text>
    </comment>
    <comment ref="A137" authorId="0" shapeId="0">
      <text>
        <r>
          <rPr>
            <b/>
            <sz val="9"/>
            <color rgb="FF000000"/>
            <rFont val="Tahoma"/>
            <family val="2"/>
          </rPr>
          <t>Usuario:</t>
        </r>
        <r>
          <rPr>
            <sz val="9"/>
            <color rgb="FF000000"/>
            <rFont val="Tahoma"/>
            <family val="2"/>
          </rPr>
          <t xml:space="preserve">
Pendiente, se debe hacer por migración para ajuste de meta</t>
        </r>
      </text>
    </comment>
    <comment ref="B161" authorId="0" shapeId="0">
      <text>
        <r>
          <rPr>
            <b/>
            <sz val="9"/>
            <color rgb="FF000000"/>
            <rFont val="Tahoma"/>
            <family val="2"/>
          </rPr>
          <t>Usuario:</t>
        </r>
        <r>
          <rPr>
            <sz val="9"/>
            <color rgb="FF000000"/>
            <rFont val="Tahoma"/>
            <family val="2"/>
          </rPr>
          <t xml:space="preserve">
Reducción de recursos</t>
        </r>
      </text>
    </comment>
  </commentList>
</comments>
</file>

<file path=xl/sharedStrings.xml><?xml version="1.0" encoding="utf-8"?>
<sst xmlns="http://schemas.openxmlformats.org/spreadsheetml/2006/main" count="7159" uniqueCount="1865">
  <si>
    <t>ANEXOS INFORME DE SEGUIMIENTO AL PLAN DE ACCIÓN 2020-2023</t>
  </si>
  <si>
    <t>Nombre de la Corporación</t>
  </si>
  <si>
    <t>Corporación Autónoma Regional del Cesar – CORPOCESAR</t>
  </si>
  <si>
    <t>Corporación Autónoma Regional del Alto Magdalena - CAM</t>
  </si>
  <si>
    <t>Periodo a reportar</t>
  </si>
  <si>
    <t>2021-II</t>
  </si>
  <si>
    <t>Corporación Autónoma Regional de Cundinamarca – CAR</t>
  </si>
  <si>
    <t>Nombre de la persona responsable del reporte</t>
  </si>
  <si>
    <t>ADRIANA GARCIA AREVALO</t>
  </si>
  <si>
    <t>Corporación Autónoma Regional del Canal del Dique – CARDIQUE</t>
  </si>
  <si>
    <t>Dependencia</t>
  </si>
  <si>
    <t xml:space="preserve">SUBDIRECCION DE PLANEACION </t>
  </si>
  <si>
    <t>Corporación Autónoma Regional de Sucre – CARSUCRE</t>
  </si>
  <si>
    <t>Cargo</t>
  </si>
  <si>
    <t xml:space="preserve">SUBDIRECTORA DE PLANEACION </t>
  </si>
  <si>
    <t>Corporación Autónoma Regional de Santander – CAS</t>
  </si>
  <si>
    <t>Correo electrónico</t>
  </si>
  <si>
    <t>planeacion@corpocesar.gov.co</t>
  </si>
  <si>
    <t>Corporación para el Desarrollo Sostenible del Norte y el Oriente Amazónico – CDA</t>
  </si>
  <si>
    <t>Teléfono</t>
  </si>
  <si>
    <r>
      <rPr>
        <sz val="11"/>
        <color rgb="FFFFFFFF"/>
        <rFont val="Arial"/>
        <family val="2"/>
      </rPr>
      <t>57+605+557+605+5748960- Fax: 57+605+573718174</t>
    </r>
    <r>
      <rPr>
        <sz val="11"/>
        <color rgb="FFFFFFFF"/>
        <rFont val="Arial"/>
        <family val="2"/>
      </rPr>
      <t>8960- Fax: 57+605+5737181</t>
    </r>
  </si>
  <si>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</si>
  <si>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</si>
  <si>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</si>
  <si>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</si>
  <si>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</si>
  <si>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</si>
  <si>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</si>
  <si>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</si>
  <si>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</si>
  <si>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</si>
  <si>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</si>
  <si>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</si>
  <si>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</si>
  <si>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</si>
  <si>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</si>
  <si>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</si>
  <si>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</si>
  <si>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</si>
  <si>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</si>
  <si>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</si>
  <si>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</si>
  <si>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</si>
  <si>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</si>
  <si>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</si>
  <si>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</si>
  <si>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</si>
  <si>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</si>
  <si>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</si>
  <si>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</si>
  <si>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</si>
  <si>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</si>
  <si>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</si>
  <si>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</si>
  <si>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</si>
  <si>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</si>
  <si>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</si>
  <si>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</si>
  <si>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2022-I</t>
  </si>
  <si>
    <t>2022-II</t>
  </si>
  <si>
    <t>2023-I</t>
  </si>
  <si>
    <t>2023-II</t>
  </si>
  <si>
    <t>2024-I</t>
  </si>
  <si>
    <t>2024-II</t>
  </si>
  <si>
    <t>2025-I</t>
  </si>
  <si>
    <t>2025-II</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</si>
  <si>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</si>
  <si>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</si>
  <si>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</si>
  <si>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</si>
  <si>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</si>
  <si>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</si>
  <si>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</si>
  <si>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</si>
  <si>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</si>
  <si>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</si>
  <si>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</si>
  <si>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</si>
  <si>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</si>
  <si>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</si>
  <si>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</si>
  <si>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</si>
  <si>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</si>
  <si>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</si>
  <si>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</si>
  <si>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</si>
  <si>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</si>
  <si>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</si>
  <si>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</si>
  <si>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</si>
  <si>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</si>
  <si>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</si>
  <si>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</si>
  <si>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</si>
  <si>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</si>
  <si>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</si>
  <si>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</si>
  <si>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</si>
  <si>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</si>
  <si>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</si>
  <si>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</si>
  <si>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</si>
  <si>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</si>
  <si>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COMPORTAMIENTO META FISICA 
PLAN DE ACCION</t>
  </si>
  <si>
    <t>RESPONSABLES</t>
  </si>
  <si>
    <t>(3)META FISICA ANUAL
 (Según unidad de medida)</t>
  </si>
  <si>
    <t xml:space="preserve">(7) TIPO DE EVIDENCIA </t>
  </si>
  <si>
    <t>(7-A) ACCIONES DE FUNCIONAMIENTO</t>
  </si>
  <si>
    <t>(7-B) ESTADO CONTRATO</t>
  </si>
  <si>
    <t>(12) PORCENTAJE DE AVANCE FISICO ACUMULADO % 
((11/10)*100)</t>
  </si>
  <si>
    <t>(15) META FINANCIERA ANUAL  ($)</t>
  </si>
  <si>
    <t>(16) AVANCE DE LOS RECURSOS COMPROMETIDOS (Recursos comprometidos periodo Evaluado) ($)</t>
  </si>
  <si>
    <t>(17)  PORCENTAJE DEL AVANCE DE COMPROMISOS % (Periodo Evaluado) 
((16/15)*100)</t>
  </si>
  <si>
    <t>(18) AVANCE DE LOS RECURSOS OBLIGADOS $</t>
  </si>
  <si>
    <t>(21) RESERVA PRESUPUESTAL DEL 2020
$</t>
  </si>
  <si>
    <t>(21-A) OBLIGACIONES DE LA RESERVA 2020
 $</t>
  </si>
  <si>
    <t>LINEA ESTRATEGICA 4. GESTIÓN PARA LA PRODUCCIÓN SOSTENIBLE</t>
  </si>
  <si>
    <t>PROGRAMA 3201. FORTALECIMIENTO DEL DESEMPEÑO AMBIENTAL DE LOS SECTORES PRODUCTIVOS</t>
  </si>
  <si>
    <t>Proyecto 3201.01 Gestión e implementación de estrategias para la recuperación y conservación de la flora y fauna en el Departamento del Cesar, en armonía con el proyecto 3202.02</t>
  </si>
  <si>
    <t>3201.01.01. Acciones para la implementación de Proyectos de PSA en áreas de interés en el marco del Programa Nacional de PSA. (meta nacional: 260.000 Ha PSA)</t>
  </si>
  <si>
    <t>Número de Acciones coordinadas</t>
  </si>
  <si>
    <t>57~La asistencia oficial para el desarrollo y el gasto público en la conservación y el uso sostenible de la diversidad biológica y los ecosistemas</t>
  </si>
  <si>
    <t>Subdirección de Gestión Ambiental (Coord. GIT Recursos Naturales; Coord. GIT para la gestion de PML, RESPEL y COP.)</t>
  </si>
  <si>
    <t>3201.01.02. Gestión de Áreas bajo esquemas de Pagos por Servicios Ambientales (PSA) e incentivos a la conservación: fortalecimiento de capacidades, instrumentación jurídica, gestión y articulación institucional, evaluación y seguimiento, y sostenibilidad financiera.</t>
  </si>
  <si>
    <t>Hectáreas bajo esquemas de PSA e incentivos a la conservación</t>
  </si>
  <si>
    <t xml:space="preserve">No hay proyectos de PSA en ejecucion </t>
  </si>
  <si>
    <t>3201.01.03Gestión de sistemas bajo esquemas de Pagos por Servicios Ambientales (PSA) e incentivos a la conservación: fortalecimiento de capacidades, instrumentación jurídica, gestión y articulación institucional, evaluación y seguimiento, y sostenibilidad financiera.</t>
  </si>
  <si>
    <t>Número PSA en sistemas productivos</t>
  </si>
  <si>
    <t>3201.01.04. Implementación de estrategia enfocada a la bioeconomía para la sostenibilidad productiva en el uso de los recursos naturales (conservación de los ecosistemas estratégicos en armonía con el proyecto 1.1)</t>
  </si>
  <si>
    <t>Número Lineamientos estratégicos sostenibles formulados y con seguimiento y evaluación</t>
  </si>
  <si>
    <t>N.A</t>
  </si>
  <si>
    <t>70~Número de estrategias sostenibles de turismo o políticas y planes de acción implementados, con un seguimiento acordado, y herramientas de evaluación.</t>
  </si>
  <si>
    <t>3201.01.05. Formulación e implementación del Plan Departamental de Negocios Verdes</t>
  </si>
  <si>
    <t>Número Plan formulado e implementado</t>
  </si>
  <si>
    <t>Se ejecuto el convenio Nº 19-7-0001-0-2022 del 26 de enero de 2022 para el fortalecimiento de los negocios verdes del departamento del Cesar.</t>
  </si>
  <si>
    <t>3201.01.06 Implementación de las ventanillas de negocios verdes y articulación con los incentivos existentes.</t>
  </si>
  <si>
    <t>Número Negocios verdes identificados y verificados</t>
  </si>
  <si>
    <t>3201.01.07. Fortalecimiento de las ventanillas de negocios verdes y articulación con los incentivos existentes..</t>
  </si>
  <si>
    <t>Número Negocios verdes apoyados</t>
  </si>
  <si>
    <t>A través del convenio 19-7-0001-0-2022 del 26 de enero de 2022, se apoyaron 85 negocios verdes a los cuales se le actualizaron los datos y capacito en marketing digital, a 10 de estos negocios se les realizo el plan de marketing para el apoyo y crecimiento de la marca.</t>
  </si>
  <si>
    <t>Proyecto 3201.02.Gestión, coordinación,  e implementación de políticas locales de resiliencia y sostenibilidad ambiental urbana en el área de jurisdicción de Corpocesar.</t>
  </si>
  <si>
    <t>3201.02.01. Optimización del proceso de construcción y reporte de ICAU/PGAU ((aire, movilidad, SSPD, CC, PGIR, PSMV, PUEAA, Etc)</t>
  </si>
  <si>
    <t xml:space="preserve">Porcentaje Avance en la construcción del reporte
</t>
  </si>
  <si>
    <t>No aplica</t>
  </si>
  <si>
    <t>Subdireccion de Planeacion (Coord GIT GRD, MORH Y GAU)</t>
  </si>
  <si>
    <t>3201.02.02. Participación en el proceso de ajuste de la Política de Gestión ambiental urbana y desarrollo de indicadores en conjunto con el MADS- DAASU-.</t>
  </si>
  <si>
    <t>Porcentaje Participación institucional a convocatorias del MADS-DAASU-</t>
  </si>
  <si>
    <t>3201.02.03. Gestión para la Incorporación de la biodiversidad y servicios ecosistémicos en la planificación urbana a través del ordenamiento ambiental del territorio (GAU).</t>
  </si>
  <si>
    <t>Número de Política pública de GAU socializada e incorporada a las DA</t>
  </si>
  <si>
    <t>Proyecto 3201.03.Gestión y apoyo regional a  la implementación de la estrategia nacional de Economía  circular y  economía ambiental para la producción sostenible</t>
  </si>
  <si>
    <t>3201.03.01. Promoción del aprovechamiento y valorización de residuos sólidos en el marco de los PGIRS. (incluye Socialización de esquemas de posconsumo y campañas conjuntas con los sistemas en el marco de educación para la gestión responsable de los residuos)</t>
  </si>
  <si>
    <t>Número Campañas educativas realizadas</t>
  </si>
  <si>
    <t>222~Tasa nacional de reciclado, toneladas de material reciclado</t>
  </si>
  <si>
    <t>Subdirección de Gestión Ambiental (Coord. GIT gestion educacion ambiental Imael Escorcia, Coordinacion GIT saneamiento-, Eduardo Lopez y Coordinacion GIT Produccion mas limpia)</t>
  </si>
  <si>
    <t>3201.03.02. Apoyo a la implementación de acciones para el desarrollo de la economía circular en el manejo de los residuos sólidos (proyectos pilotos)</t>
  </si>
  <si>
    <t>Número Proyectos pilotos apoyados</t>
  </si>
  <si>
    <t>78~Número de países con planes de acción nacionales de consumo y producción sostenibles incorporados como prioridad o meta en las políticas nacionales</t>
  </si>
  <si>
    <t>3201.03.03. Participación en Mesas Regionales de Economía Circular en el marco de las Comisiones Regionales de Competitividad</t>
  </si>
  <si>
    <t>Porcentaje Participación en CRC</t>
  </si>
  <si>
    <t>3201.03.04. seguimiento a la implementación de los PGIRS en el componente de aprovechamiento de residuos</t>
  </si>
  <si>
    <t>Número PGIRS apoyados y con seguimiento</t>
  </si>
  <si>
    <t>3201.03.05 Acompañamiento al proceso de actualización de los PGIRS, para garantizar inclusión de proyectos de aprovechamiento de residuos</t>
  </si>
  <si>
    <t xml:space="preserve"> Porcentaje PGIRS evaluados</t>
  </si>
  <si>
    <t>NA</t>
  </si>
  <si>
    <t>3201.03.06. Apoyo al desarrollo de Proyectos pilotos de eliminación de plásticos de un solo uso. (hoteles, restaurantes y similares)</t>
  </si>
  <si>
    <t xml:space="preserve">3201.03.07 Gestión para la implementación de proyectos pilotos de biocomercio y turismo rural en ecorregiones estratégicas </t>
  </si>
  <si>
    <t>Proyecto 3201.04. Apropiación de la Ciencia ambiental  y de la tecnología para promover la producción sostenible en el dpto. del Cesar</t>
  </si>
  <si>
    <t xml:space="preserve">3201.04.01 Conocimiento de potencialidad, promoción y apoyo a la implementación de proyectos de Energías renovables </t>
  </si>
  <si>
    <t>Número Proyectos de energías renovables promovidos y/o en desarrollo</t>
  </si>
  <si>
    <t>Se realiza gestión ante la UPME de un proyecto para la implementación de sistemas de energía solar en instituciones educativas del municipio de Valledupar.</t>
  </si>
  <si>
    <t>161~Proporción de la energía renovable en el consumo final total de energía</t>
  </si>
  <si>
    <t>Subdireccion de Gestion Ambiental</t>
  </si>
  <si>
    <t xml:space="preserve">3201.04.02 Promoción de procesos de mitigación y adaptación al cambio climático en Sectores productivos (Minería, agropecuario y comercio) </t>
  </si>
  <si>
    <t>Número Lineamientos establecidos/ sector</t>
  </si>
  <si>
    <t>Se realizo consulta al MADS sobre procedimiento para el establecimiento de lineamientos sectoriales desde la corporación  y se espera la respuesta a la consulta.</t>
  </si>
  <si>
    <t>1~No aplica</t>
  </si>
  <si>
    <t>3201.04.03. Valoración económica ambiental y cuantificación del capital natural en el PIB dptal.</t>
  </si>
  <si>
    <t>Porcentaje Avance de estudio</t>
  </si>
  <si>
    <t>3201.04.04. Participación en procesos intersectoriales de Salud Ambiental de los COTSA, a través de las mesas técnicas conformadas.</t>
  </si>
  <si>
    <t xml:space="preserve"> Porcentaje de Participación en Mesas técnicas</t>
  </si>
  <si>
    <t>Subdirección de Gestión Ambiental Coord. GIT Laboratorio Ambiental</t>
  </si>
  <si>
    <t>3201.04.05. Apoyo a la Implementación la Política Integral de Salud Ambiental a nivel territorial, desde las competencias de las CAR.</t>
  </si>
  <si>
    <t>PorcentajeAvance de la política territorial de Salud ambiental</t>
  </si>
  <si>
    <t xml:space="preserve">Proyecto 3201.05. Gestión integral  del suelo  para la recuperación de este recurso natural  en el departamento del Cesar.  </t>
  </si>
  <si>
    <t xml:space="preserve">3201.05.01 Implementación de las acciones planteadas en el PAR para mitigar los efectos de la desertificación y la sequía en armonía con el proyecto 3202.01 (estrategia de reforestación, restauración, agricultura y ganadería sostenible, estufas ecológicas, monitoreo </t>
  </si>
  <si>
    <t>Número Acciones del PAR ejecutadas</t>
  </si>
  <si>
    <t>143~Porcentaje de tierras degradadas en comparación con la superficie total</t>
  </si>
  <si>
    <t xml:space="preserve">Subdirección de Gestión Ambiental (Wilson Marquez) </t>
  </si>
  <si>
    <t xml:space="preserve">3201.05.03 Actualizar e implementar el plan de gestión Integral de residuos peligrosos en el marco de la política RESPEL junto al cumplimiento de la Directiva ministerial 2019 </t>
  </si>
  <si>
    <t>Número Plan RESPEL revisado y actualizado</t>
  </si>
  <si>
    <t>Subdirección de Gestión Ambiental (Coord. GIT para la gestion de PML, RESPEL y COP.)</t>
  </si>
  <si>
    <t>3201.05.02 Generación de espacios académicos para el conocimiento del recurso suelo (posibles alianzas con la academia)</t>
  </si>
  <si>
    <t xml:space="preserve"> Número Espacios académicos realizados</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</si>
  <si>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</si>
  <si>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3201.05.05 Capacitación y desarrollo de campañas a los diferentes actores sobre el manejo ambientalmente racional de RESPEL y fortalececimiento de las actividades de IVC a generadores e instalaciones licenciadas</t>
  </si>
  <si>
    <t>Número Capacitación y/o campañas/año</t>
  </si>
  <si>
    <t>3201.05.04 Mejoramento del proceso de validación de información del Registro de Generadores de RESPEL y del Inventario Nacional de PCB</t>
  </si>
  <si>
    <t>Porcentaje Nivel de Registro RESPEL</t>
  </si>
  <si>
    <t>Proyecto 3201.06. Gestión integral del recurso aire, articulada a  la prioridad regional del MADS,  en áreas estratégicas del dpto del Cesar</t>
  </si>
  <si>
    <t>3201.06.01. Territorialización de la Estrategia Nacional de Calidad del Aire (fortalecimiento del proceso regional del SEVCA - Corpocesar)</t>
  </si>
  <si>
    <t>Número Estrategia Nal implementada a nivel regional</t>
  </si>
  <si>
    <t>Subdirección de Gestión Ambiental (Coord. Laboratorio Ambiental)</t>
  </si>
  <si>
    <t>3201.06.03. Diseño e implementación de plan de prevención, control y reduccion de la contaminación del aire, en municipios con población igual o superior a 150.000 habitantes y zonas industriales o mineras de alto impacto. (armonizado a la PGAU).</t>
  </si>
  <si>
    <t>Número Plan de reducción y prevención en ejecución</t>
  </si>
  <si>
    <t>3201.06.05 Implementación de fuentes móviles de control</t>
  </si>
  <si>
    <t>Número FM en operación (equipo, RH y vehículo).</t>
  </si>
  <si>
    <t>3201.06.02. Optimización y Fortalecimento del Sistema de Moniterio de Calidad de Aire del Cesar. (acreditación, dotación, técnicas y operación de la red, cobertura y sostenibiidad))</t>
  </si>
  <si>
    <t>Porcentaje Avance de optimización de la Red.</t>
  </si>
  <si>
    <t xml:space="preserve">A) Se realizaron movimientos internos de equipos e instrumentos de medidas en la red de monitoreo para garantizar la medición de los parámetros acreditados. 
B) Se implementaron nuevos procedimientos guías y registros en el sistema de gestión de calidad para fortalecer los soportes que acreditan el monitoreo de la calidad del aire 
C) Se adelanta gestión para la suscripción de convenio con CNR con el objetivo de realizar caracterización físico química a los filtros y establecer las fuentes de contaminación que impactan sobre la calidad del aire.
</t>
  </si>
  <si>
    <t>3201.06.04. Control y monitoreo de fuentes móviles y áreas fuentes en áreas estratégicas de la jurisdicción.</t>
  </si>
  <si>
    <t>Porcentaje Cobertura de áreas fuentes monitoreadas</t>
  </si>
  <si>
    <t>3201.06.06.Identificación de fuentes fijas de emisión</t>
  </si>
  <si>
    <t>Número Estudio realizado</t>
  </si>
  <si>
    <t>Al finalizar el segundo semestre de 2022 se entregarà estudio de las fuentes fijas de emision identificadas.</t>
  </si>
  <si>
    <t>3201.06.09 Evaluación de las estaciones de monitoreo de CA de la jurisdicción para verificar cumplimiento a la meta del PND 2018-2022 y/o rediseñar estrategias de prevención y control.</t>
  </si>
  <si>
    <t>Número Evaluación/año</t>
  </si>
  <si>
    <t xml:space="preserve">Constantemente se realiza verificación de los equipos de monitoreo para garantizar que las mediciones se realicen de acuerdo al protocolo de monitoreo de calidad del aire Res. 2154 de 2010, con el objetivo de que sean representativas y determinantes para implementar los planes de prevención y control a la contaminación del aire, las actividades operativas realizadas corresponden a calibraciones, verificación de flujos y mantenimiento periódico a las 17 estaciones del SVCA de acuerdo a los planes de monitoreo.
</t>
  </si>
  <si>
    <t>3201.06.07 Control y seguimiento a fuentes fijas de emisión</t>
  </si>
  <si>
    <t>Porcentaje Control y seguimiento</t>
  </si>
  <si>
    <t>3201.06.08 Gestión, comunicación y evaluación interinstitucional de la información de la CA.</t>
  </si>
  <si>
    <t>Porcentaje SIA de Aire operando con efectividad.</t>
  </si>
  <si>
    <t>PROGRAMA 3206. GESTIÓN DEL CAMBIO CLIMÁTICO PARA UN DESARROLLO BAJO EN CARBONO Y RESILIENTE AL CLIMA</t>
  </si>
  <si>
    <t>Proyecto 3206.01  Implementación y evaluación de acciones del Plan Integral de Gestión de Cambio Climático -PIGCC- Territorial del Cesar</t>
  </si>
  <si>
    <t>3206.01.01 Gestión e implementación de Estrategias y/o Proyectos de mitigación y adaptación al cambio climático, en el marco de los planteamientos del -PIGCC- Territorial del Cesar</t>
  </si>
  <si>
    <t>Número de estrategias y/o proyectos del PIGCC, implementados o promovidos</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</si>
  <si>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</si>
  <si>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Subdirección de Gestión Ambiental (Coord. GIT GRD, C.C., y GAU) Subdireccion de Planeacion</t>
  </si>
  <si>
    <t>3206.01.02 Implementación del SIA de cambio climático dptal y apoyo efectivo al sistema de Registro Nacional de Reducción de Emisiones de Gases de Efecto Invernadero - RENARE</t>
  </si>
  <si>
    <t>Porcentaje Avance del SIA -CC y apoyo a RENARE</t>
  </si>
  <si>
    <t>3206.01.03 Fortalecimiento de la participación y gestión de Corpocesar, en el Nodo Regional de Cambio Climático -NRCC- del Caribe</t>
  </si>
  <si>
    <t>Porcentaje Agenda intersectorial del NRCC Caribe articulada y apoyada.</t>
  </si>
  <si>
    <t>89~Número de países que han comunicado el fortalecimiento de la capacidad institucional, sistémica e individual para implementar la adaptación, la mitigación y la transferencia de tecnología, y acciones desarrolladas</t>
  </si>
  <si>
    <t>Proyecto 3206.02 Implementación de acciones para la operación de la EDANA en el área de jurisdicción de Corpocesar</t>
  </si>
  <si>
    <t>3206.02.01 Gestión para la implementación de la Metodología que permita al sector ambiente realizar una evaluación de daños y necesidades ambientales -EDANA en zonas continentales impactadas por desastres naturales, socionaturales y/o antrópicos</t>
  </si>
  <si>
    <t>Porcentaje Adopción de la Metodología EDANA</t>
  </si>
  <si>
    <t>75~Número de países con estrategias nacionales y locales para la reducción del riesgo de desastres</t>
  </si>
  <si>
    <t>Subdirección de Gestión Ambiental (Coord. GIT CC, POMCAS Y OT, Coord. GRD, MORH y GAU) Subdireccion de planeacion</t>
  </si>
  <si>
    <t>3206.02.02 Implementación PILOTO de EDANA en zona priorizada</t>
  </si>
  <si>
    <t>Porcentaje Avance del piloto EDANA</t>
  </si>
  <si>
    <t xml:space="preserve">La implementación de la EDANA-C deber darse una vez se formulen las medidas recomendadas para cada uno de los eventos atendidos, su ejecución dependerá de la disponibilidad de recursos económicos por parte de la entidad. 
A) Se requiere servidor que acogerá el software ArcGIS el cual tiene licencias de uso activa adquirida en la presente vigencia
B) Con el proyecto de Realización de acciones para la implementación del Plan de Acción Regional de lucha contra la desertificación y sequía y manejo del Bosque seco tropical en las cuencas de los ríos Garupal y Diluvio municipio de Valledupar y el Copey Cesar, algunas de las acciones de este proyecto están orientadas a ejecutar las observaciones derivadas de la EDANA- C en las cuencas mencionadas en las cuales se aplicó las metodologías por acción de incendios en la cobertura vegetal
</t>
  </si>
  <si>
    <t>3206.02.03 Diseño, Gestión e institucionalización operativa de EDANA Corpocesar</t>
  </si>
  <si>
    <t>Número EDANA en operación</t>
  </si>
  <si>
    <t>Proyecto 3206.03 Gestión de conocimiento e implementación de medidas para la  reducción del riesgo ambiental en áreas prioritarias del dpto. del Cesar.</t>
  </si>
  <si>
    <t>3206.03.01 Gestión y ejecución de Acciones de conocimiento para la reducción del riesgo asociado al cambio climático, enmarcadas en la GRD. (Estudios de detalle)</t>
  </si>
  <si>
    <t>Número Acciones de conocimiento del riesgo ejecutadas</t>
  </si>
  <si>
    <t>Subdirección de Gestión Ambiental (Coord. GIT GRD, MORH y GAU) Subdireccion de Planeacion</t>
  </si>
  <si>
    <t>3206.03.02 Gestión e implementación de Medidas estructurales y/o proyectos para la REDUCCION del riesgo</t>
  </si>
  <si>
    <t>Porcentaje Medidas estructurales ejecutadas</t>
  </si>
  <si>
    <t>3206.03.03 Gestión, implementación y evaluación de Medidas no estructurales y/o proyectos para la REDUCCION del riesgo</t>
  </si>
  <si>
    <t>Número Medidas no estructurales ejecutadas</t>
  </si>
  <si>
    <t>3206.03.04 Evaluación de Medidas no estructurales y/o proyectos para la REDUCCION del riesgo</t>
  </si>
  <si>
    <t>Número Medidas no estructurales evaluadas</t>
  </si>
  <si>
    <t>LINEA ESTRATÉGICA 5. GESTIÓN DE ASUNTOS AMBIENTALES SECTORIALES</t>
  </si>
  <si>
    <t>PROGRAMA 3202. CONSERVACIÓN DE LA BIODIVERSIDAD Y SUS SERVICIOS ECOSISTÉMICOS</t>
  </si>
  <si>
    <t>Proyecto 3202.01 Gestión e implementación de acciones integrales para la restauración ecológica en el departamento del Cesar</t>
  </si>
  <si>
    <t>3202.01.01. Identificaciòn y priorizacion de las zonas prioritarias para restaurar y recuperar en las cinco (5) ERE del Dpto.</t>
  </si>
  <si>
    <t>ERE con zonas identificadas y priorizadas para restaurar y recuperar.</t>
  </si>
  <si>
    <t xml:space="preserve">Se priorizaron las siguientes áreas estratégicas:                                    
A) Ecorregión Ciénaga de Zapatosa 
B) áreas para restaurar en el PNR Perijá, las cuales se establecieron a partir de la Construcción del portafolio de proyectos en núcleos activos de deforestación y del portafolio de áreas prioritarias para las compensaciones orientadas a la conservación de la biodiversidad, restauración ecológica y el desarrollo sostenible en jurisdicción de CORPOCESAR.
</t>
  </si>
  <si>
    <t>39~Hacia la ordenación forestal sostenible</t>
  </si>
  <si>
    <t>Subdirección de Gestión Ambiental (Coord. GIT gestion de POMCAS y ordenamiento territorial; Coord. GIT para la gestion de recursos naturales.)</t>
  </si>
  <si>
    <t>3202.01.02. Formulación e implementación de proyectos de restauración Ecològica Integral - REI-en alianzas con actores claves. (metodologia SER)</t>
  </si>
  <si>
    <t>Número Proyectos de restauración Ecologica Integral - REI- gestionados y en implementaciòn.</t>
  </si>
  <si>
    <t>3202.01.03. Monitoreo, seguimiento y evaluaciòn de las acciones de REI en implementaciòn</t>
  </si>
  <si>
    <t>Número Sistema de monitoreo y reporte implementado por proyecto.</t>
  </si>
  <si>
    <t>3202.01.04. Reporte, comunicación y divulgación de la evolución del proceso de REI.</t>
  </si>
  <si>
    <t>Número Sistema de reporte, comunicación y divulgación implementado</t>
  </si>
  <si>
    <t>Proyecto 3202.02 Coordinación y Desarrollo de portafolios de sistemas sostenibles de conservación - SSC- (conservación, restauración, manejo sostenible, agroforestales, reconversión productiva) en el departamento del Cesar</t>
  </si>
  <si>
    <t>3202.02.01. Coordinación, concienciación de actores entorno al proceso de visión de sistemas sostenibles de conservación -SSC-</t>
  </si>
  <si>
    <t>Número de Grupos de actores conformados para el desarrollo del SSC</t>
  </si>
  <si>
    <t>Proyecto PNR Perija y Ecorregion Cienega Zapatoza</t>
  </si>
  <si>
    <t>3202.02.02 Diseño conjunto de un modelo y estrategias para la implementación de SSC</t>
  </si>
  <si>
    <t>Porcentaje de avance del modelo de SSC</t>
  </si>
  <si>
    <t>3202.02.03. Gestión sinérgica para la promoción y creación de capacidad técnica para la implementación del manejo SSC.</t>
  </si>
  <si>
    <t>Número Grupos asistidos técnicamente</t>
  </si>
  <si>
    <t xml:space="preserve">Asistencia técnica a los grupos asistidos en los Proyectos PNR Perijá que incluye cuatro talleres de los cuales se han realizado 2.
Ecorregión Ciénega Zapatosa
</t>
  </si>
  <si>
    <t>3202.02.04 Apoyo a la implementación, seguimiento y evaluación de proyectos pilotos y/o estratégicos de SSC</t>
  </si>
  <si>
    <t>Número Proyectos formulados y apoyados con seguimiento y evaluación</t>
  </si>
  <si>
    <t>Proyecto 3202.03 Implementación de la estrategia de control integral en los núcleos de deforestación priorizados en el Cesar, (en coordinación institucional con el MADS).</t>
  </si>
  <si>
    <t>3202.03.01. Apoyo al IDEAM en monitoreo y seguimiento a los agentes y causas de deforestación</t>
  </si>
  <si>
    <t>Porcentaje de Participación requerida apoyada</t>
  </si>
  <si>
    <t>Subdirección de Gestión Ambiental (Coord. GIT Recursos Naturales)</t>
  </si>
  <si>
    <t>3202.03.04 Desarrollo de acciones de prevención de la deforestación</t>
  </si>
  <si>
    <t>Porcentaje de Participación requerida en la actualización del marco regulatorio asociado al manejo forestal sostenible</t>
  </si>
  <si>
    <t>3202.03.06 Desarrollo de acciones de control  a la deforestación</t>
  </si>
  <si>
    <t>Porcentaje de Avance de Instrumentos de control (SUN-L, Libro de Operaciones) implementado/año</t>
  </si>
  <si>
    <t xml:space="preserve">3202.03.02 Formulación conjunta con el  MADS, de portafolio de proyectos en núcleos activos de deforestación, y gestión e implementación.
</t>
  </si>
  <si>
    <t>Número Portafolio de proyectos coordinado y formulado</t>
  </si>
  <si>
    <t xml:space="preserve">3202.03.03 Gestion e implementacion de proyectos en núcleos activos de deforestación
</t>
  </si>
  <si>
    <t>Número  Proyectos gestionados</t>
  </si>
  <si>
    <t>3202.03.05. Ajuste e Implementación de acciones prioritarias del POF del Cesar (armonía con actividad 5.2.2 y 5.2.5)</t>
  </si>
  <si>
    <t>Número  Acciones implementadas</t>
  </si>
  <si>
    <t>3202.03.07 Establecer proyectos para uso y aprovechamiento forestal comunitarios del bosque que permitan su uso sostenible</t>
  </si>
  <si>
    <t>Número de proyectos establecidos</t>
  </si>
  <si>
    <t>3202.03.08. Promoción y fortalecimiento de espacios de participación como plataforma de articulación para la promoción de la cultura forestal y reducción de la deforestación</t>
  </si>
  <si>
    <t>Número de reuniones de articulación y armonización de las acciones para la gestión de los bosques</t>
  </si>
  <si>
    <t>Proyecto 3202.04 Fortalecimiento de gobernanza forestal en la jurisdicción de Corpocesar</t>
  </si>
  <si>
    <t>3202.04.01 Registrar con libro de operaciones el 100% de las empresas forestales identificadas en la Jurisdicción.</t>
  </si>
  <si>
    <t>Porcentaje de Avance del proceso</t>
  </si>
  <si>
    <t>3202.04.02 Establecer un proyecto piloto sostenible para la trasformación de la materia prima del bosque, que contribuyan con el uso sostenible de productos maderables y no maderables del bosque</t>
  </si>
  <si>
    <t>3202.04.03 Promover el cumplimiento ambiental de las empresas forestales para que puedan acceder al otorgamiento de los esquemas de reconocimiento a la legalidad</t>
  </si>
  <si>
    <t>Número de Acciones de promoción realizadas.</t>
  </si>
  <si>
    <t>3202.04.04 Realizar operativos de control al tráfico de flora.</t>
  </si>
  <si>
    <t>Número de Operativos de control al tráfico de flora</t>
  </si>
  <si>
    <t xml:space="preserve">Proyecto 3202.05 Gestión del SIRAP  y/o implementación de otras estrategias de conservación de la biodiversidad y formulación e implementación y apoyo de PM  de AP  en el dpto. del Cesar. </t>
  </si>
  <si>
    <t>3202.05.01 Formulación del  PM del DRMI del Complejo Cenagoso de Zapatosa (RAMSAR Zapatosa)</t>
  </si>
  <si>
    <t>Porcentaje Plan formulado (avance)</t>
  </si>
  <si>
    <t>191~Proporción de sitios importantes para la biodiversidad terrestre y de agua dulce que están cubiertos por las áreas protegidas, por tipo de ecosistema</t>
  </si>
  <si>
    <t>Subdirección de Gestión Ambiental (Coord. GIT para la gestion de recursos naturales -Wilson Marquez)</t>
  </si>
  <si>
    <t>3202.05.02 Implementación del PM del DRMI del Complejo Cenagoso de Zapatosa (RAMSAR Zapatosa)</t>
  </si>
  <si>
    <t>Número de Acciones de PM implementadas.</t>
  </si>
  <si>
    <t>Se formuló y se encuentra en etapa de contratación para ejecutar en la cuenca Garupal Diluvio del municipio de Valledupar el proyecto con objeto: Realización de acciones para la implementación del Plan de Acción Regional de lucha contra la desertificación y sequía y manejo del Bosque seco tropical en las cuencas de los ríos Garupal y Diluvio municipio de Valledupar y el Copey Cesar, de acuerdo a los alcances y especificaciones técnicas contempladas por CORPOCESAR. Se contemplan realizar 7 acciones PAR.</t>
  </si>
  <si>
    <t>3202.05.06. Gestión para la formulación de PM de APR y otras estrategias de conservación</t>
  </si>
  <si>
    <t>Número Planes de manejo formulados</t>
  </si>
  <si>
    <t>Fue formulado en alianza entre CORPOCESAR, MADS y WWF el Plan de Manejo de la reserva forestal protectora nacional cuenca alta de Caño Alonso de los municipios de Pelaya y la Gloria, el cual se encuentra en proceso de adopción por parte del MADS.</t>
  </si>
  <si>
    <t>3202.05.07. Gestión para la implementación de PM de APR y otras estrategias de conservación.</t>
  </si>
  <si>
    <t>3202.05.03 Desarrollo de estudios para la declaratoria de nuevas APR y/o otras estrategias de la conservación de la biodiversidad</t>
  </si>
  <si>
    <t>Número de Estudios realizados</t>
  </si>
  <si>
    <t>3202.05.04. Desarrollo de procesos para la declaratoria de nuevas APR y/o otras estrategias de la conservación de la biodiversidad.</t>
  </si>
  <si>
    <t>Número de Procesos desarrollados</t>
  </si>
  <si>
    <t>En marco del convenio 19-7-0012-02019 de diciembre 18 de 2019 suscrito entre la UN y CORPOCESAR, se realizó mesa técnica para reactivar actividades, en ese sentido se está concertando con esta Universidad suscribir convenio específico para correr la ruta de declaratoria como área protegida de categoría regional una zona de la cuenca media y alta de los ríos Tucuy y Sororia en los municipios de la Jagua de Ibirico y Becerril con una extensión de 19.154 hectáreas.</t>
  </si>
  <si>
    <t>3202.05.05. Declaratoria de nuevas APR y/o otras estrategias de la conservación de la biodiversidad.</t>
  </si>
  <si>
    <t>Area declarada P. (Ha)</t>
  </si>
  <si>
    <t>3202.05.08 Gestión, apoyo y articulación interinstitucional en el desarrollo de los sistemas de áreas protegidas (SINAP, SIRAP, SIDAP, SILAP)</t>
  </si>
  <si>
    <t>Número Sistemas apoyados</t>
  </si>
  <si>
    <t>3202.05.09. Gestión e implementación de acciones en el Bosque seco tropical</t>
  </si>
  <si>
    <t>Número Acciones implementadas</t>
  </si>
  <si>
    <t>39~ Hacia la ordenación forestal sostenible</t>
  </si>
  <si>
    <t>3202.05.10 Gestión e implementación de acciones en humedales</t>
  </si>
  <si>
    <t>Subdirección de Gestión Ambiental ( Coord. GIT gestion de POMCAS y ordenamiento territorial.)</t>
  </si>
  <si>
    <t>3202.05.11 Gestión e implementación de acciones en Paramos</t>
  </si>
  <si>
    <t>Gestión o acciones implementadas</t>
  </si>
  <si>
    <t>Proyecto 3202.06 Fortalecimiento, gestión e implementación de medidas para el manejo de la fauna en el dpto. del Cesar</t>
  </si>
  <si>
    <t>3202.06.01 Evaluación y Optimización del proceso operativo del CAVRFFS</t>
  </si>
  <si>
    <t>Número de Operatividad optimizada</t>
  </si>
  <si>
    <t>Subdirección de Gestión Ambiental (Marino Zuleta)</t>
  </si>
  <si>
    <t>3202.06.02 Implementación de acciones de los planes de manejo de la fauna amenazada</t>
  </si>
  <si>
    <t>Número de Acciones de los PM implementadas.</t>
  </si>
  <si>
    <t xml:space="preserve">Dentro del convenio CORPOCESAR - ORNIAT se tiene el componente de conservación de la especie TREMARCTOS ORNATUS Oso -  Andino y PANTHERA ONCA Jaguar y se implementó un componente de conservación para las abejas africanizadas.
Se han atendido las diferentes quejas de la ciudadanía respecto a las quejas interpuestas en CORPOCESAR sobre el conflicto Felino-Humano y Oso Andino -  Humano 
</t>
  </si>
  <si>
    <t>184~Proporción de países que adoptan legislación nacional relevante y adecuadamente dotan de recursos a la prevención o control de especies exóticas invasoras</t>
  </si>
  <si>
    <t>3202.06.03 Revisión, evaluación, ajuste e implementación de acciones de PM de especies invasoras (en armonía con objetivos del COTSA).</t>
  </si>
  <si>
    <t xml:space="preserve">Se está ejecutando el Plan de Manejo de Control del Caracol Africano (Achatina Fulica) especie invasora destructora de cultivos agrícolas y trasmisora de enfermedades en los seres humanos; se realizan jornadas educativas, demostrativas para que la ciudadanía aprenda el manejo y control de la especie invasora anteriormente mencionada y así la comunidad pueda continuar con su recolección manual y CORPOCESAR con su disposición final, se han realizado estas intervenciones en los municipios de Valledupar </t>
  </si>
  <si>
    <t>PROGRAMA 3203. GESTIÓN INTEGRAL DEL RECURSO HÍDRICO</t>
  </si>
  <si>
    <t>Proyecto 3203.01 Gestión integral del recurso hídrico y materialización de la ZOAT en el area de jurisdiccion de Corpocesar</t>
  </si>
  <si>
    <t>3203.01.01 Desarrollo de instrumentos de planificación y administración del recurso hídrico (desarrollo de nuevas fases de POMCAS)</t>
  </si>
  <si>
    <t>Fases de nuevos POMCAS adelantadas (4 fases)</t>
  </si>
  <si>
    <t>35~ Grado de aplicación de la ordenación integrada de los recursos hídricos (0-100)</t>
  </si>
  <si>
    <t>Subdirección de Gestión Ambiental (Coord. GIT gestion de POMCAS y ordenamiento territorial</t>
  </si>
  <si>
    <t xml:space="preserve"> 3203.01.02. Desarrollo de instrumentos de planificación y administración del recurso hídrico (Implementación de acciones de POMCA)</t>
  </si>
  <si>
    <t>Acciones de POMCA implementadas (componentes de la fase 4).</t>
  </si>
  <si>
    <t>3203.01.03. Desarrollo de instrumentos de planificación y administración del recurso hídrico (seguimiento y evaluación de POMCA)</t>
  </si>
  <si>
    <t>POMCA con seguimiento, coordinación y evaluación/año</t>
  </si>
  <si>
    <t>3203.01.04. Desarrollo de instrumentos de planificación y administración del recurso hídrico (desarrollo de nuevas fases de los PMA de microcuencas)</t>
  </si>
  <si>
    <t>Nuevas Fases de los PMA de Microcuenca formulados</t>
  </si>
  <si>
    <t>3203.01.05. Desarrollo de instrumentos de planificación y administración del recurso hídrico (Implementación de acciones de PMA de microcuencas)</t>
  </si>
  <si>
    <t>Acciones de PMA de Microcuencas Implementadas/año</t>
  </si>
  <si>
    <t>No se han realizado acciones de PMA de Microcuencas</t>
  </si>
  <si>
    <t>3203.01.06. Desarrollo de instrumentos de planificación y administración del recurso hídrico (Implementación de acciones de PMA de acuiferos)</t>
  </si>
  <si>
    <t>Acciones de PMA de Acuíferos Implementadas/año</t>
  </si>
  <si>
    <t>Subdirección de Gestión Ambiental (Coord. GIT GRD, MORH y GAU)</t>
  </si>
  <si>
    <t>3203.01.07. Desarrollo de instrumentos de planificación y administración del recurso hídrico (Implementación de otras acciones de planeación y gestión de acuiferos)</t>
  </si>
  <si>
    <t>Número de Otras acciones de planeación y gestión de Acuíferos Implementadas/año</t>
  </si>
  <si>
    <t>3203.01.08. Gestión y formulación de PORH. .</t>
  </si>
  <si>
    <t>Nuevo PORH formulado (S/. Prioridad)</t>
  </si>
  <si>
    <t xml:space="preserve">3203.01.09 Implementación de acciones de PORH. </t>
  </si>
  <si>
    <t>Acciones de PORH implementadas/plan (R. Cesar, Calenturitas y Chiriaimo).</t>
  </si>
  <si>
    <t>A) Talleres teórico prácticos para el aprovechamiento del recurso hídrico.
B) Manejo de residuos sólidos y negocios verdes (rio Calenturitas y Chiriaimo Manaure)
C) Fortalecimiento de las organizaciones en el área de influencia.</t>
  </si>
  <si>
    <t xml:space="preserve">3203.01.12 Control y seguimiento a los PUEAA aprobados por la Corporación </t>
  </si>
  <si>
    <t>Cobertura de PUEAA con seguimiento (PUEAA seguimiento/Aprobados)</t>
  </si>
  <si>
    <t>9~Cambio en la eficiencia del uso del agua con el tiempo</t>
  </si>
  <si>
    <t>Subdirección de Gestión Ambiental Coord. GIT gestion del aprovechamiento del recurso hidrico</t>
  </si>
  <si>
    <t xml:space="preserve">3203.01.10 Control y seguimiento a los PSMV aprobados por la Corporación </t>
  </si>
  <si>
    <t>Número PSMV´s con seguimiento/año</t>
  </si>
  <si>
    <t>103~Porcentaje de aguas residuales tratadas de manera segura</t>
  </si>
  <si>
    <t>Subdirección de Gestión Ambiental (Coord. GIT gestion de saneamiento ambiental y control de vertimientos.)</t>
  </si>
  <si>
    <t>3203.01.11 Apoyo a implementación de  los PSMV  e implementación de acciones para el uso eficiente y descontaminación del recurso hídrico en el dpto. del Cesar. (armonización con proyecto 4.1)</t>
  </si>
  <si>
    <t>Número STAR apoyados (medida estructural y no estructural para disminuir la contaminación hídrica)/año</t>
  </si>
  <si>
    <t>3203.01.13 Acotamiento de rondas hídricas e incorporación a las Determinantes ambientales (Cuerpos de agua priorizados: R. Guatapurí No 1). Armonización con el proyecto 3.1</t>
  </si>
  <si>
    <t>Número de Ronda hídrica acotada/año</t>
  </si>
  <si>
    <t>Subdirección de Gestión Ambiental</t>
  </si>
  <si>
    <t>3203.01.14 Estructuración e implementación de una estrategia integral para la recuperación de ecosistemas en la cuenca del río Cesar (tipo APP). En armonía con el programa 3201 y la actividad 3203 01 02</t>
  </si>
  <si>
    <t>Porcentaje de Avance de la Estrategia integral estructurada e implementada</t>
  </si>
  <si>
    <t>La estrategia consistió declarar  el proyecto como de interés estratégico y gestionar con demás actores para su implementación, mesas de gobernanza CGR, proyecto Minvivienda plan de mejoramiento del río Cesar</t>
  </si>
  <si>
    <t>Subdirección de Gestión Ambiental - Subdirección de Planeación</t>
  </si>
  <si>
    <t>3203.01.15 Instalación de las denominadas "plataformas colaborativas" con el MADS, para la articulación de inversiones y acciones para la recuperación de ecosistemas degradados en torno a cuencas hidrográficas.</t>
  </si>
  <si>
    <t>Número de Plataforma colaborativa CAR-MADS, en operación</t>
  </si>
  <si>
    <t>En ejecucion la plataforma colaborativa para la cuenca del río Calenturitas con actores públicos y privados  conformada a través de la firma de un Acuerdo de Voluntades el 24 de noviembre de 2021</t>
  </si>
  <si>
    <t>LINEA ESTRATÉGICA 3. GESTIÓN DEL ORDENAMIENTO AMBIENTAL TERRITORIAL Y GESTIÓN DEL RIESGO</t>
  </si>
  <si>
    <t>PROGRAMA 3205. ORDENAMIENTO AMBIENTAL TERRITORIAL</t>
  </si>
  <si>
    <t>Proyecto 3205.01 Fortalecimiento del proceso de Ordenamiento Territorial como estrategia  para promover el  desarrollo terrirorial sostenible, en el dpto del Cesar.</t>
  </si>
  <si>
    <t>3205.01.01 Actualización de las determinantes ambientales para el Ordenamiento territorial (énfasis en cambio climático, GRD, suelo suburbano, EEP)</t>
  </si>
  <si>
    <t>Porcentaje de  Avance de Determinantes Ambientales revisadas y actualizadas</t>
  </si>
  <si>
    <t>Subdireccion de Planeacion</t>
  </si>
  <si>
    <t>3205.01.02 Socialización y divulgación de las DA para el OT (cartografía temática compartida)</t>
  </si>
  <si>
    <t>Porcentaje Avance de Determinantes Ambientales socializadas</t>
  </si>
  <si>
    <t>3205.01.03 Fortalecimiento operativo del proceso de evaluación (verificación de componentes claves del diagnóstico territorial descrito en el DTS del proyecto de revisión y/o ajuste del POT).</t>
  </si>
  <si>
    <t>Porcentaje de Diagnósticos relevantes del DTS de proyectos de ajustes verificados</t>
  </si>
  <si>
    <t>3205.01.04 Control, Seguimiento y evaluación de los asuntos ambientales concertados en el proceso de revisión y/o ajustes de los POT, PBOT y EOT del Cesar</t>
  </si>
  <si>
    <t>Porcentaje de Actos administrativos del proceso, con seguimiento, control y evaluación</t>
  </si>
  <si>
    <t>Proyecto 3205.02 Asistencia técnica a todos los municipios de la jurisdicción en los procesos de revisión y ajuste de los POT, siguiendo guias del SINA</t>
  </si>
  <si>
    <t>3205.02.01 Capacitación o asistencia técnica a los ETM, en todos los temas asociados al proceso de revisión de los POT (incluye perfil climático municipal y gestión del CC, GRD, desarrollo urbano sostenible, Expediente municipal del POT, UPR, planes parciales).</t>
  </si>
  <si>
    <t>Número ETM asistidos</t>
  </si>
  <si>
    <t>3205.02.03 Apoyo a los municipios PDET en la Incorporación de la zonificación ambiental en la planeación del desarrollo territorial (POT y PDM)</t>
  </si>
  <si>
    <t>Número Municipios PDET asistidos</t>
  </si>
  <si>
    <t>3205.02.02 Apoyo y orientación a demás actores del proceso de revisión y ajuste de los POT (CTP, concejales, gremios, IGAC).</t>
  </si>
  <si>
    <t>Porcentaje Actores asistidos</t>
  </si>
  <si>
    <t>3205.02.04 Apoyo al SIG municipal a través del suministro de cartografía temática producida en Corpocesar por ETM.</t>
  </si>
  <si>
    <t>Porcentaje SIG Municipal con temática de OAT apoyados</t>
  </si>
  <si>
    <t xml:space="preserve">Conforme a las solicitudes recibidas de los entes municipales se suministró toda la información referente a las determinantes ambientales incluyendo su cartografía.
</t>
  </si>
  <si>
    <t>Proyecto 3205.03 Implementación de un sistema de relacionamiento  interinstitucional en el proceso de planeación del desarrollo y evaluación de los modelos de ocupación adoptados</t>
  </si>
  <si>
    <t>3205.03.01 Gestión para la creación de una estrategia de relacionamiento interinstitucional de OT subregional e interregional (Área Metropolitana, Gobernación, RAP, IGAC, CAR vecinas, CEI-COT, MVCT, MADR, cabildos).</t>
  </si>
  <si>
    <t>Estrategia interinstitucional de OT implementada.</t>
  </si>
  <si>
    <t>Se realizó simposio denominado, Planificación Territorial para la Inclusión de las Determinantes Ambientales y Estrategia de Desarrollo Sostenible.</t>
  </si>
  <si>
    <t>3205.03.02 Evaluación de modelos de ocupación y valoración de SE arrojados por los procesos de OAT y satisfacción de demandas</t>
  </si>
  <si>
    <t>Sistema de indicadores sociales asociados al OT, estructurado</t>
  </si>
  <si>
    <t>Se tiene programado desarrollar una estrategia para el levantamiento de la bateria de indicadores en el segundo semestre de 2022</t>
  </si>
  <si>
    <t>LINEA ESTRATÉGICA 2. GESTIÓN PARA LA CULTURA Y LA EDUCACIÓN AMBIENTAL</t>
  </si>
  <si>
    <t>PROGRAMA 3208. EDUCACIÓN AMBIENTAL</t>
  </si>
  <si>
    <t>Proyecto 3208.01 Fortalecimento de la participación ciudadana en la Gestión ambiental,  con enfoque endógeno y/o cultural,   intergeneracional, y consensual para promover el desarrollo ECOsocial en el dpto del Cesar</t>
  </si>
  <si>
    <t>3208.01.01 Gestión e Implementación de medidas para el fortalecimiento de la participación ciudadana en la gestión ambiental</t>
  </si>
  <si>
    <t>Número de procesos participativos implementados (las 4 act, siguientes/año)</t>
  </si>
  <si>
    <t>Subdirección de Gestión Ambiental (Coord. GIT para la Educacion ambiental)</t>
  </si>
  <si>
    <t>3208.01.02 Implementación de acciones para incluir el enfoque étnico, de género e intergeneracional en los procesos de educación ambiental. Asociado con el proyecto 6.2</t>
  </si>
  <si>
    <t>Número de procesos de educación ambiental con enfoque diferencial realizados</t>
  </si>
  <si>
    <t xml:space="preserve">3208.01.03 Creación de escenarios de diálogo entre los ciudadanos las entidades para la prevención de conflictos socioambientales, en armonía con la actividad 6.1.1 y el proyecto 6.3 </t>
  </si>
  <si>
    <t xml:space="preserve"> Número de acciones realizadas en el marco de la conmemoración del Bicentenario "200 años de biodiversidad"</t>
  </si>
  <si>
    <t>3208.01.05 Fortalecimiento y apoyo a la participación de los jóvenes de ambiente en el marco de la Política Nacional de Educación Ambiental</t>
  </si>
  <si>
    <t>Apoyo operativo de la red de jóvenes de ambiente del Cesar</t>
  </si>
  <si>
    <t>3208.01.04 Diseño e implementación de estrategias para el rescate y divulgación de los conocimientos tradicionales asociados al uso y manejo de la biodiversidad en el marco de la conmemoración del Bicentenario "200 Años de Biodiversidad", en armonía con el MADS</t>
  </si>
  <si>
    <t>Porcentaje de Avance de Estrategia Bicentenario ejecutada</t>
  </si>
  <si>
    <t>Se diseño e  implementan acciones en marco de la conmemoración del bicentenario enfocadas al uso de semillas nativas  en huertas escolares en instituciones educativas de los siguientes  municipios, Valledupar: INSPECAM, Francisco Molina, Oswaldo Quintana, Camilo Torres y Casimiro Maestre, Pueblo Bello; Magola Hernández,  Astrea;  Álvaro Araujo, La Paz ; INTECIPUMA, San Diego; Rafael Uribe, Bosconia; San Juan  Bosco, Manaure; San Antonio, CDR y Normal Superior, Aguachica; COLCARMEN,  Chiriguana; Juan Mejía Gómez.</t>
  </si>
  <si>
    <t>Proyecto 3208.02 Fortalecimiento y optimización del programa transversal de Educación Ambiental de la Corporación, armonizado a la Política Nacional de Educación Ambiental de Colombia, en el contexto de la propuesta DEPARTAMENTO DEL CESAR - CORPOCESAR– 2020: "Por la sustentabilidad de la vida".</t>
  </si>
  <si>
    <t>3208.02.01 Apoyo a la implementación de PRAUS, con enfoque en cambio climático.</t>
  </si>
  <si>
    <t>Número PRAUS Apoyados</t>
  </si>
  <si>
    <t>3208.02.03 Resignificación de los CIDEAS</t>
  </si>
  <si>
    <t>Número CIDEA´s asesorados</t>
  </si>
  <si>
    <t>3208.02.04 Promoción y Fortalecimiento a los CIDEAS</t>
  </si>
  <si>
    <t>Número Miembros CIDEA y educadores ambientales formados</t>
  </si>
  <si>
    <t xml:space="preserve">a) Fortalecimiento a actores CIDEAM en los municipios de Rio de Oro, La Paz, San Martin, Tamalameque; Agustín Codazzi, Chimichagua, San Alberto y La Jagua de Ibirico.
b) Se realizaron 2 Mesas de Trabajo de construcción PEAM
c) Proceso de formación a Actores CIDEAM
d) Se realizaron cuatro foros de actores CIDEAM.
</t>
  </si>
  <si>
    <t>3208.02.05 Promoción del desarrollo de la dimensión ambiental en la educación no formal (PROCEDAS, empresas, investigación en tecnologías limpias).</t>
  </si>
  <si>
    <t>Número Gremios, asociaciones, investigaciones apoyadas a través de los PROCEDAS</t>
  </si>
  <si>
    <t>3208.02.02 Resignificación de los  PRAES  (Promoción de la incorporación de la dimensión ambiental en la educación formal (contenidos curriculares en PRAES)</t>
  </si>
  <si>
    <t>Porcentaje de Contenidos curriculares de PRAES fortalecidos e incorporados (avance plan)</t>
  </si>
  <si>
    <t>3208.02.06 Apoyo al diseño, implementación y promoción de planes y acciones de educación ambiental, con enfoque en cambio climático, en asocio con el proyecto 2.1</t>
  </si>
  <si>
    <t>Porcentaje Proyectos requeridos apoyados/año</t>
  </si>
  <si>
    <t>Proyecto 3208.03 Planeación, gestión e Implementación de acciones  para el manejo de conflictos socioambientales  asociados a la productividad económica y/o uso de RN en áreas estratégicas del Cesar.</t>
  </si>
  <si>
    <t>3208.03.01 Apoyo a la estructuración, implementación y evaluación de compromisos en negocios verdes con enfoque cultural y/o diferencial (comunidad étnica, y afrodescendiente). en armonía con la actividad 5.1.4</t>
  </si>
  <si>
    <t>Número de Negocios verdes apoyados con enfoque diferencial.</t>
  </si>
  <si>
    <t xml:space="preserve">3208.03.02 Implementación de Cátedra social de cambio climático y riesgo ambiental para la productividad con eco-educación (vía one-line pág. web de Corpocesar) </t>
  </si>
  <si>
    <t>Número Cátedra implementada</t>
  </si>
  <si>
    <t>3208.03.03 Implementación de estrategia para disminución de conflictos por uso de la Ciénaga de Zapatosa</t>
  </si>
  <si>
    <t>Porcentaje de Avance de estrategia implementada y evaluada</t>
  </si>
  <si>
    <t>LÍNEA ESTRATÉGICA 1. GESTIÓN PARA EL FORTALECIMIENTO INSTITUCIONAL INTEGRAL.</t>
  </si>
  <si>
    <t>PROGRAMA 3299. FORTALECIMIENTO DE LA GESTIÓN Y DIRECCIÓN DEL SECTOR AMBIENTE Y DESARROLLO SOSTENIBLE</t>
  </si>
  <si>
    <t>Proyecto 3299.01  Fortalecimiento  e implementación de medidas  Técnicas, económicas  y financieras  para la sostenibilidad  administrativa y financiera  de Corpocesar</t>
  </si>
  <si>
    <t xml:space="preserve">3299.01.01 Implementación de estrategias eficaces en el Recaudo de las rentas propias de la entidad (gestión de cobro persuasivo, coactivo y de saneamiento contable, Adecuada implementación de la reglamentación existente en materia de tasas ambientales; otros) </t>
  </si>
  <si>
    <t>Número de Estrategias implementadas evaluadas</t>
  </si>
  <si>
    <t>Subdirección Administrativa y financiera</t>
  </si>
  <si>
    <t>3299.01.02 Gestión y actualización efectiva de la base de datos de usuarios de la TUA enfocada a la reglamentación y/o ordenación de corrientes, teniendo en cuenta la variabilidad climática (asocio con el programa 2)</t>
  </si>
  <si>
    <t>Porcentaje de Avance de Base de datos TUA actualizada</t>
  </si>
  <si>
    <t>La actualización de la base de datos se realizó de manera continua y se liquidó la TUA causada en el año 2021 por valor de  $ 2.572.274.647  de un total de 597 usuarios con concesiones vigentes.</t>
  </si>
  <si>
    <t>Subdirección Administrativa y Financiera</t>
  </si>
  <si>
    <t>3299.01.03 Control y seguimiento a la gestión de la tasa retributiva para promover la eficacia y eficiencia de la reinversión, en armonía con Actividad 2.4.3</t>
  </si>
  <si>
    <t>Porcentaje de Fuente TR controlada</t>
  </si>
  <si>
    <t xml:space="preserve">3299.01.04 Sostenimiento técnico y adtvo en la Implementación de las NIIF, IGPR, PCT, y otros instrumentos de apoyo (cumplimiento tributario, contable, operativo, y reportes de información correspondientes en los tiempos y bajo los parámetros establecidos. etc) </t>
  </si>
  <si>
    <t>Porcentaje Capacidad operativa de apoyo</t>
  </si>
  <si>
    <t xml:space="preserve">Se celebró el contrato No.19-6-0112-0-2022 cuyo objeto es soporte técnico, mantenimiento a distancia e implementación de los módulos web del sistema de información administrativo y financiero PCT INTERPRISE, , para la facturación y cartera de la tasa por utilización de agua (TUA), tasa retributiva (TR), tasa por aprovechamiento forestal, evaluación, seguimiento ambiental y demás gestiones ambientales.
</t>
  </si>
  <si>
    <t>3299.01.05 Ejecución de las inversiones en preservación, restauración, uso sostenible y generación de conocimiento (art. 11 de la Ley 1955 de 2019 y los artículos 24 y 25 de la Ley 1930 de 2018)</t>
  </si>
  <si>
    <t>Indice de ejecución RAE/GI</t>
  </si>
  <si>
    <t>3299.01.07. Participación en los espacios de consulta pública de los proyectos de reglamentación de los instrumentos económicos, financieros y de mercado, liderados por el MADS.</t>
  </si>
  <si>
    <t>Porcentaje Nivel de participación y aportes a consutas</t>
  </si>
  <si>
    <t xml:space="preserve">Subdireccion de Planeacion </t>
  </si>
  <si>
    <t>3299.01.06 Diseño del Sistema de Gestión Ambiental SGA- NTC ISO 14001:2015 para la sede bioclimática de la entidad en Valledupar</t>
  </si>
  <si>
    <t>Número Sistema diseñado</t>
  </si>
  <si>
    <t>Se diseñó el SGA bajo la norma NTC ISO 14001:2015</t>
  </si>
  <si>
    <t>3299.01.08 Implementación del Sistema de Gestión Ambiental SGA- NTC ISO 14001:2015 para la sede bioclimática de la entidad en Valledupar</t>
  </si>
  <si>
    <t>Número  Sistema implementado</t>
  </si>
  <si>
    <t>Se implementó el SGA en un 28%</t>
  </si>
  <si>
    <t>3299.01.09 Evaluación y certificación del Sistema de Gestión Ambiental SGA- NTC ISO 14001:2015 para la sede bioclimática de la entidad en Valledupar</t>
  </si>
  <si>
    <t>Número Sistema evaluado</t>
  </si>
  <si>
    <t>3299.01.10 Mantenimiento y mejoramiento continuo del Sistema de Gestión Ambiental SGA- NTC ISO 14001:2015 para la sede bioclimática de la entidad en Valledupar</t>
  </si>
  <si>
    <t>Número Sistema en mantenimiento y mejoramiento continuo</t>
  </si>
  <si>
    <t>Se presentarà a Consejo directivo el cambio de la meta fisica para que en la vigencia 2022 se realice la evaluacion y la certificacion en 2023, Por medio de la resolucion 0599 de 2021 se realizo la actualizacion del plan integran dde gestio integral de ambiental para poder desarrollar el proceso de evaluacion ante la autoridad competente.</t>
  </si>
  <si>
    <t xml:space="preserve">3299.01.11 Gestión para la puesta en marcha y operación del laboratorio ambiental de agua </t>
  </si>
  <si>
    <t>Porcentaje Dotación, operación yposterior acreditacióndel laboratorio de aguas</t>
  </si>
  <si>
    <t>Subdirección de Gestión Ambiental (Coord Laboratorio de Aguas)</t>
  </si>
  <si>
    <t>3299.01.12 Gestión para la venta de servicio de laboratorio ambiental de agua (estrategia administrativa y de sostenibilidad financiera) en armonía con la actividad o subp 2.4.4</t>
  </si>
  <si>
    <t>Porcentaje de Avance de Nuevo servicio (venta implementada)</t>
  </si>
  <si>
    <t>Proyecto 3299.02 Gestión e implementacion de acciones  para el aumento de la capacidad de desempeño  institucional integral de Corpocesar</t>
  </si>
  <si>
    <t>3299.02.01 Optimización del SIGC de la entidad en el marco del modelo integrado de planeación y gestión MIPG (revisión de la política de calidad y sus sistemas) enfocada al desempeño óptimo de la entidad - IEDI- (eficiencia comparativa).</t>
  </si>
  <si>
    <t>Indice Sistema de calidad y MIPG optimizado</t>
  </si>
  <si>
    <t>3299.02.02 Fortalecimiento del control interno de gestión, en armonia con la política y retos del PGAR</t>
  </si>
  <si>
    <t>Número de Sistema de Control interno de gestión fortalecido (recursos físicos, tecnológico y humano)/año</t>
  </si>
  <si>
    <t>3299.02.04 Fortalecimiento del Banco de Programas y Proyectos como soporte a la gestión de inversión ambiental de la entidad</t>
  </si>
  <si>
    <t>Número BPI-CAR fortalecido</t>
  </si>
  <si>
    <t xml:space="preserve">El banco de proyectos se encuentra en operacion con el apoyo de un funcionario de planta y 3 contratistas, a través de los cuales se  gestiona, formulado, viabilizado y priorizado varios proyectos de inversión ante el Fondo Nacional Ambiental, Fondo de Compensación Ambiental y con recursos de asignaciones directas del SGR. 
</t>
  </si>
  <si>
    <t>3299.02.06 Optimización física de la sede principal de Corpocesar (infraestructura, dotación, mantenimiento, según diagnóstico, PM y SIGC).</t>
  </si>
  <si>
    <t>Número Infraestructuras optimizadas y mantenidas/sedes propias</t>
  </si>
  <si>
    <t>3299.02.07 Optimización física de las seccionales (infraestructura, Dotación, mantenimiento, según diagnóstico, PM y SIGC).</t>
  </si>
  <si>
    <t>Número Seccionales adecuadas dotadas y mantenidas</t>
  </si>
  <si>
    <t>3299.02.05 Concertación, gestión e Implementación del programa de bienestar social e incentivos, y de formación y capacitación</t>
  </si>
  <si>
    <t>Indice de Eficacia/programa</t>
  </si>
  <si>
    <t>3299.02.08 Protección de activos y bienes corporativos</t>
  </si>
  <si>
    <t>Porcentaje Activos y bienes protegidos</t>
  </si>
  <si>
    <t>La entidad se encuentra protegida hasta el mes de octubre de 2022, en ejecución el contrato de seguro de vida y bienes de Corpocesar, donde se aseguró en su totalidad al personal de planta, propiedades y bienes de la entidad. Dicho seguro se realizó con Seguros Generales Suramericana S.A por un valor de $173.698.010, firmado el 11 de noviembre de 2021
Se inició la estructuración del nuevo proceso</t>
  </si>
  <si>
    <t>3299.02.03 Optimización integrada del sistema de atención al ciudadano (PQR´s, ventanilla única), quejas y sanciones ambientales</t>
  </si>
  <si>
    <t>Porcentaje Avance de la optimización del sistema</t>
  </si>
  <si>
    <t>3299.02.09 Continuación de la optimización fisica y operativa (TRD, TVD, PINAR, SIC) de la gestión archívistica y documental (consulta virtual y física centro de documentación), según plan específico</t>
  </si>
  <si>
    <t>Porcentaje Avance del sistema archivístico y documental.</t>
  </si>
  <si>
    <t>Secretaria General</t>
  </si>
  <si>
    <t>3299.02.10 Optimización de la estrategia de Compras públicas sostenibles</t>
  </si>
  <si>
    <t>Porcentaje Avance de la estrategia</t>
  </si>
  <si>
    <t>La entidad no realizó compras publicas sostenibles.</t>
  </si>
  <si>
    <t>Proyecto 3299.03 Fortalecimiento institucional sostenible del ejercicio de la autoridad ambiental regional  (seguimiento, control y vigilancia) y apoyo  integral de los procesos operativos de trámites ambientales otorgados por la Corporación</t>
  </si>
  <si>
    <t>3299.03.01 Implementación de una estrategia de seguimiento documental a los compromisos adquiridos mediante informes impuestos en el acto administrativo</t>
  </si>
  <si>
    <t>Número de Estrategia de seguimiento implementada/año</t>
  </si>
  <si>
    <t xml:space="preserve">Mediante acta  Nº 001 de 31 de enero 2022 se realizó socialización de procedimientos de la coordinación y  se generaron las estrategias para el desarrollo de las actividades de seguimiento y control ambiental y se determinaron los criterios para la escogencia de proyectos objeto de seguimiento y control ambiental para la vigencia 2022.priorizando 210 los proyectos que hacen parte de los indicadores minimos de gestion ambiental incorporados en la resolucion 667 de 2016.  </t>
  </si>
  <si>
    <t>Subdirección de Gestión Ambiental (Coord GIT Seguimiento ambiental)</t>
  </si>
  <si>
    <t>3299.03.02 Verificación en campo por alertas identificadas en los informes</t>
  </si>
  <si>
    <t>Porcentaje de Alertas con seguimiento y evaluación en campo</t>
  </si>
  <si>
    <t xml:space="preserve">3299.03.03 Verificación en campo a los permisos, autorizaciones o licencias que no han cumplido con la presentación de informes </t>
  </si>
  <si>
    <t>Porcentaje de Seguimiento y control a los que incumplen obligaciones</t>
  </si>
  <si>
    <t>3299.03.04 Optimización integral de los procesos operativos de trámites ambientales otorgados por la Corporación</t>
  </si>
  <si>
    <t>Porcentaje de Procesos óptimos</t>
  </si>
  <si>
    <t>3299.03.05 Dotación, mantenimiento y/o calibración de equipos receptores del Sistema de posicionamiento global - GPS, molinetes, Drone, sonómetros, cámaras fotográficas, software/licencias (ArcGis) otras dotaciones institucionales (según requisitos definidos en la NTC ISO 9001:2015)</t>
  </si>
  <si>
    <t>Dotacion,mantenimiento y/o calibración</t>
  </si>
  <si>
    <t>3299.03.06 Implementación efectiva del sistema VITAL-SILAM, SUIT para la optimización de los trámites ambientales</t>
  </si>
  <si>
    <t>Número Sistema fortalecido (R. humano, y de soporte tecnológico) c/año</t>
  </si>
  <si>
    <t>3299.03.07 Actualización de la base de datos de los procesos sancionatorios</t>
  </si>
  <si>
    <t>Número de Base de datos actualizada</t>
  </si>
  <si>
    <t xml:space="preserve">Oficina Juridica </t>
  </si>
  <si>
    <t>Proyecto 3299.04  Implementación de estrategias para el manejo ambiental en territorios indígenas de la Sierra Nevada de Santa Marta y Serranía de Perijá,   incorporando la cosmovisión de los pueblos indígenas  y  el enfoque diferencial en la restauración ecológica integral .</t>
  </si>
  <si>
    <t>3299.04.01 Implementación de proyectos agroforestales y/o productivos como alternativa de sostenibilidad ambiental para el óptimo aprovechamiento y/o uso del suelo, y que favorezcan las condiciones alimentarias de subsistencia de las comunidades indígenas en el marco del pacto por los grupos étnicos del PND 2018-2022.</t>
  </si>
  <si>
    <t>Número Acciones priorizadas y/o implementadas</t>
  </si>
  <si>
    <t>Subdireccion de Gestión Ambiental (Coord. Gestión asuntos etnicos - Jorge Carpio)</t>
  </si>
  <si>
    <t>3299.04.04 Desarrollo de escenario de gobernanza con grupos étnicos para la gestión de estrategias de Prevención de conflictos socioambientales.</t>
  </si>
  <si>
    <t>Número Encuentros realizados (SNSM; SP)</t>
  </si>
  <si>
    <t xml:space="preserve">3299.04.06 Gestión, apoyo de acciones de aislamiento de áreas de interés ambiental y cultural, para inducir su recuperación natural. Y OTRAS ESTRATEGIAS para la restauración ecológica de Ecosistemas en el marco del componente programático de los POMCAS y del componente estratégico de los PMA de las áreas protegidas declaradas </t>
  </si>
  <si>
    <t>Número Estrategias implementadas</t>
  </si>
  <si>
    <t>3299.04.07 Apoyo para la determinación de línea base socioambiental en asentamientos indígenas para fundamentar procesos geopolíticos en la Serranía del Perijá</t>
  </si>
  <si>
    <t>Número LB apoyada</t>
  </si>
  <si>
    <t>3299.04.02 Gestión, coordinación y evaluación al cumplimiento y materialización de acuerdos pactados mediante protocolización de consultas previas, en el marco de los POMCA adoptados, según responsabilidades de los consejos de cuencas.</t>
  </si>
  <si>
    <t>Porcentaje de Avance del proceso de materialización de acuerdos/consejos de cuencas</t>
  </si>
  <si>
    <t>3299.04.03 Identificación de oportunidades y necesidades de gestión del cambio climático en territorios étnicos para la implementación de acciones de manejo conjuntas con enfoque diferencial.</t>
  </si>
  <si>
    <t>Número Estudios de identificación</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</si>
  <si>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</si>
  <si>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3299.04.05 Gestion, y apoyo y/o Construcción de sistemas de abastecimiento de agua, de manejo integral de residuos y de saneamiento básico (baterías sanitarias) en asentamientos de comunidades indígenas.</t>
  </si>
  <si>
    <t>Número Sistemas apoyados y/o construidos</t>
  </si>
  <si>
    <t>117~Porcentaje de la población que dispone de servicios de suministro de agua potable gestionados de manera segura</t>
  </si>
  <si>
    <t xml:space="preserve">Proyecto 3299.05 Implementación de estrategias para el manejo ambiental en comunidades afrodescendientes,  otras minorías étnicas, y/o poblaciones victimas del conflicto armado en el dpto. del Cesar. </t>
  </si>
  <si>
    <t>3299.05.01 Priorización de acciones (según capacidad y competencia) para el apoyo conjunto con el MADS a territorios colectivos y otras minorías vulnerables, en el marco del Pacto por los grupos étnicos del PND 2018-2022.</t>
  </si>
  <si>
    <t>Número Acciones priorizadas</t>
  </si>
  <si>
    <t xml:space="preserve">Subdireccion de Gestión Ambiental (Coord. Gestión asuntos etnicos - Jorge Carpio) </t>
  </si>
  <si>
    <t>3299.05.02 Implementación de proyectos agroforestales como alternativa de sostenibilidad ambiental para el óptimo aprovechamiento y/o uso del suelo, y que favorezcan las condiciones alimentarias de subsistencia de las comunidades afrocolombianas</t>
  </si>
  <si>
    <t>Número de proyectos implementados</t>
  </si>
  <si>
    <t>3299.05.03 Fortalecimiento de la capacidad social, para la transformación de conflictos y valoración como aliados estratégicos para la conservación y la gestión ambiental (Investigación y monitoreo comunitario, Conservación en territorios colectivos, mujeres en la gestión ambiental. (asocio con proyectos 6.1 y 6.3).</t>
  </si>
  <si>
    <t>Número  Acciones de identificación, caracterización y/o capacitación</t>
  </si>
  <si>
    <t xml:space="preserve">A) Consejo comunitario de Guacochito y el del Perro, dentro de su PIRC fortalecer la capacidad de gestión ambiental mediante apoyo a la organización, capacitación y operatividad; a través de guardia cimarrona, cuerpo de vigilancia, capacitación en manejo de recursos naturales, identificación. 
B) Realizar estudio previo para contratar esas capacitaciones y actividades. se proyecta la implementación de un eco vivero comunitario para potenciar la producción del material nativo de bosque seco tropical en el corregimiento de Guacochito para acciones de restauración en la cuenca del río Cesar.
C) Identificación, señalización y descripción mediante vayas informativas de sitios sagrados con el consejo comunitario José Prudencio Padilla de Badillo, para lo cual ya se hizo una primera reunión de acercamiento.
D) Jornada de educación ambiental para la recolección, manejo y disposición de residuos sólidos y la reforestación de sitio sagrado de Algarrobillo con el consejo comunitario Graciliano Francisco Guillen del Alto de la Vuelta, para lo que se requiere la participación activa del GIt de Educación Ambiental.
</t>
  </si>
  <si>
    <t xml:space="preserve">Proyecto 3299.06 Fortalecimiento de las  TIC´s .según lineamientos de MINTICs y la política de gobierno digital, en Corpocesar. </t>
  </si>
  <si>
    <t>3299.06.01 Ejecución del plan de acción para la implementación efectiva de la estrategia de gobierno digital</t>
  </si>
  <si>
    <t>Porcentaje Avance y sosteniblidad del plan de acción Gobierno Digital.</t>
  </si>
  <si>
    <t>Se crearon políticas, procedimientos y formatos para la gestión de Datos en el Laboratorio Ambiental. Actualización y publicación del PETI y el mapa de riesgo del área de Sistemas y TICs. Implementación de iniciativas tecnológicas GIS y Base de Datos Oracle. Además, se desarrolló una macro para el registro de pesaje de muestras de laboratorio que permite crear la bitácora de los datos y contiene un componente de seguridad para evitar alteraciones.</t>
  </si>
  <si>
    <t>Subdireccion de Planeacion - Coord Sistemas y TICs</t>
  </si>
  <si>
    <t>3299.06.02 Gestión para el cumplimiento del proceso de transparencia y acceso a la información (Ley 1712 de 2014)</t>
  </si>
  <si>
    <t>Porcentaje Cumplimiento de requisitos mínimos de publicación</t>
  </si>
  <si>
    <t>Contrato activo del servicio de alojamiento web, contratación de un WebMaster para la gestión y administración del Portal Web Institucional y se mantiene la publicación de actos administrativos, acuerdos y demás documentos relevantes de la misión de CORPOCESAR en el Portal Web Institucional (www.corpocesar.gov.co).</t>
  </si>
  <si>
    <t>3299.06.03 Soporte interno en tecnología y formación para el uso eficiente de las TICs.</t>
  </si>
  <si>
    <t>Porcentaje Eficacia del soporte</t>
  </si>
  <si>
    <t>Se cuenta con dos soportes técnicos contratados, uno por prestación de servicios y otro a través de 472.  Los cuales brindan atención a los requerimientos e incidentes de tecnologías de la información que reporten los usuarios de la entidad. El soporte técnico suministrado por 472 prestó servicios hasta el 26 de junio de 2022.</t>
  </si>
  <si>
    <t>3299.06.04 Gestión para la adquisición hardware y sofware, licencias (según necesidad ) e implementación óptima de software adquiridos (ej. PCT, seguridad informática, almacén etc)</t>
  </si>
  <si>
    <t>Porcentaje Demanda atendida</t>
  </si>
  <si>
    <t>PROGRAMA 3204.  GESTIÓN DE LA INFORMACIÓN Y EL CONOCIMIENTO AMBIENTAL</t>
  </si>
  <si>
    <t xml:space="preserve">Proyecto 3204.01 Gestión de conocimiento e información ambiental para la promoción del desarrollo ambiental sostenible. </t>
  </si>
  <si>
    <t>3204.01.01  Gestión de un área  viable de la red hidrometeorológica en  jurisdicción de Corpocesar</t>
  </si>
  <si>
    <t>Avance de área (cobertura de red ) viable TEFIA implementada</t>
  </si>
  <si>
    <t>Subdirección de Gestión Ambiental (Coord. GIT GRD, MORH y GAU; Coord. GIT Aprovechamiento hidrico)</t>
  </si>
  <si>
    <t>3204.01.02. Implementación de un área  viable de la red hidrometeorológica en  jurisdicción de Corpocesar y comunicación de información ambiental arrojada. .</t>
  </si>
  <si>
    <t>SIA regional (SIPGA) alimentado con datos de la red Hidrometeorológica</t>
  </si>
  <si>
    <t xml:space="preserve">En la página web de la entidad se encuentra publicada la información recolectada en desarrollo del proyecto 
https://www.corpocesar.gov.co/monitoreo-de-la-oferta-del-recurso-hidrico.html.
 la información recolectada y procesada como producto de la actividad 3204.01.03 será alimentada 
Ante Invitación del Centro Internacional para la Investigación del Fenómeno El Niño (CIIFEN), los días 07 y 08 de abril de 2022 se participó en los talleres sobre “Definición de roles institucionales, protocolos y prioridades de capacitación para la implementación del Sistema de Gestión y Alerta Temprana ante Sequías – SIGAT, en los Municipios de Agustín Codazzi y Bosconia”, área de implementación del proyecto EUROCLIMA+ en el Cesar”. En estos talleres, liderados por IDEAM y el CIIFEN, se abordó entre otros, el tema de selección de voluntarios del clima, los cuales serán personas las que se entregue un pluviómetro reconocido por la Organización Meteorológica Mundial, con los cuales se conformará una red de medición de la precipitación, en la zona centro y norte del Cesar. Así, es una oportunidad para que la entidad se vincule al proyecto en citas, con el cual se contribuye a la consolidación de la red hidrometeorológica. 
En la actividad desarrollada en el proyecto 3203.01.06, relacionada con el reconocimiento de campo para la red de monitoreo de aguas subterráneas, se promocionó el proyecto EUROCLIMA+ y se levantó información de 4 usuarios que están dispuestos a constituirse en voluntarios del clima, con lo que se ha tenido ejecución de esta meta, esperando que se concrete la participación de tales personas. Además, el suscrito funcionario suministró el listado de puntos de manifestación de aguas subterráneas levantado por la entidad, como una forma de indicar a IDEAM y CIIFEN acerca de la existencia de predios en los que se puede desarrollar la red hidrometeorológica.
</t>
  </si>
  <si>
    <t>3204.01.03  Gestion para la  implementación y operación de instrumentos de monitoreo de los Recursos Naturales</t>
  </si>
  <si>
    <t>Monitoreo del recurso hídrico superficial y subterráneo</t>
  </si>
  <si>
    <t>3204.01.04 Gestion para la  divulgación e incorporación de resultados de monitoreo de los Recursos Naturales al SIA regional</t>
  </si>
  <si>
    <t>Resultados de la gestión de monitoreo incorporados al SIA regional</t>
  </si>
  <si>
    <t xml:space="preserve">En la página web de la entidad se encuentra publicada la información recolectada en desarrollo del proyecto 
https://www.corpocesar.gov.co/monitoreo-de-la-oferta-del-recurso-hidrico.html. •  la informacion recolectada y procesada como producto de la actividad 3204.01.03 sera alimentada </t>
  </si>
  <si>
    <t>3204.01.05 Fortalecimiento del SIA regional</t>
  </si>
  <si>
    <t>SIA regional alimentado con datos de gestión ambiental regional</t>
  </si>
  <si>
    <t xml:space="preserve">En la página web de la entidad se encuentra alimentada la información recolectada en desarrollo del proyecto, para que pueda ser consultada por la comunidad en general, en la dirección https://www.corpocesar.gov.co/monitoreo-de-la-oferta-del-recurso-hidrico.html.
Así mismo, se ha publicado información derivada de los estudios que sobre POMCAS, Planes de Manejo de Acuíferos, riesgos naturales, conservación de recursos naturales renovables, información sobre conceptos de variabilidad climática y cambio climático, que dan cuenta de la gestión realizada por la entidad. Se publican en forma diaria los boletines sobre las condiciones hidrometeorológica y eventos de alerta natural para la jurisdicción de CORPOCESAR, desde las coordinaciones de RESPEL y Recursos Hídricos Digitalización de la información para cargue en el SIRH.
</t>
  </si>
  <si>
    <t>3204.01.06 Evaluación de la Evolución dinámica del PGAR y los impactos de la gestión ambiental sobre la sostenibilidad del desarrollo socio-económico y los Indicadores Mínimos de Gestión</t>
  </si>
  <si>
    <t>Número de Evaluación realizada</t>
  </si>
  <si>
    <t>Con base en el resultado del informe de gestión anual de la vigencia 2021 se realizó el diligenciamiento de los indicadores del PGAR para evaluar el nivel de cumplimiento de este instrumento.</t>
  </si>
  <si>
    <t>Proyecto 3204.02 Implementación de la estrategia  de Comunicación política de la gestión ambiental para la divulgación interinstitucional y  aprehensión ciudadana al sector ambiental</t>
  </si>
  <si>
    <t>3204.02.01 Comunicación y cultura ciudadana para desincentivar el uso de productos plástico de un solo uso e icopor.</t>
  </si>
  <si>
    <t>Número Campañas realizadas/año</t>
  </si>
  <si>
    <t xml:space="preserve">La Oficina de Comunicaciones, continúa implementando la campaña, #MenosPlásticoMásConciencia, a través de la realización de mensajes reflexivos que permitan disminuir el uso de productos plásticos de un solo uso. 
Se realizó campaña sobre el uso de pitillos
</t>
  </si>
  <si>
    <t>Subdirección de Gestión Ambiental (Coord. GIT gestion educacion ambiental; Plan de Medios (Secretaria General))</t>
  </si>
  <si>
    <t>3204.02.03 Uso inteligente de las redes sociales para la promoción de medidas de concienciación ambiental y comunicaciones de eventos y acciones</t>
  </si>
  <si>
    <t>Número de Redes sociales institucionalizadas y organizadas</t>
  </si>
  <si>
    <t>3204.02.04 Planeación, gestión y optimización del plan de medios (radio, TV, prensa, etc)</t>
  </si>
  <si>
    <t>Plan en ejecución/año</t>
  </si>
  <si>
    <t>3204.02.02 Consecución de reportes de la gestión a través de ASOCARS y entidades adscritas al sector.</t>
  </si>
  <si>
    <t>Eficacia en reportes requeridos</t>
  </si>
  <si>
    <t xml:space="preserve">Se han atendido oportunamente las solitudes realizadas por ASOCAR  otras entidades del sector </t>
  </si>
  <si>
    <t>Subdirección de Planeación</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</si>
  <si>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</si>
  <si>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</si>
  <si>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 DE  AVANCE FÍSICO</t>
  </si>
  <si>
    <t xml:space="preserve">Proyecto 3201.05. Gestión integral del suelo para la recuperación de este recurso natural en el departamento del Cesar.  </t>
  </si>
  <si>
    <t xml:space="preserve">Proyecto 3202.05 Gestión del SIRAP y/o implementación de otras estrategias de conservación de la biodiversidad y formulación e implementación y apoyo de PM de AP en el dpto. del Cesar. </t>
  </si>
  <si>
    <t>Proyecto 3203.01 Gestión integral del recurso hídrico y materialización de la ZOAT en el área de jurisdicción de Corpocesar</t>
  </si>
  <si>
    <t>Proyecto 3205.01 Fortalecimiento del proceso de Ordenamiento Territorial como estrategia  para promover el  desarrollo territorial sostenible, en el dpto del Cesar.</t>
  </si>
  <si>
    <t>Proyecto 3205.02 Asistencia técnica a todos los municipios de la jurisdicción en los procesos de revisión y ajuste de los POT, siguiendo guías del SINA</t>
  </si>
  <si>
    <t>Proyecto 3208.01 Fortalecimiento de la participación ciudadana en la Gestión ambiental,  con enfoque endógeno y/o cultural,   intergeneracional, y consensual para promover el desarrollo Ecosocial en el dpto del Cesar</t>
  </si>
  <si>
    <t>Proyecto 3299.02 Gestión e implementación de acciones  para el aumento de la capacidad de desempeño  institucional integral de Corpocesar</t>
  </si>
  <si>
    <t xml:space="preserve">Proyecto 3299.05 Implementación de estrategias para el manejo ambiental en comunidades afrodescendientes, otras minorías étnicas, y/o poblaciones víctimas del conflicto armado en el dpto. del Cesar. </t>
  </si>
  <si>
    <t xml:space="preserve">3299.06 Fortalecimiento de las TIC´s. según lineamientos de MINTICs y la política de gobierno digital, en Corpocesar. </t>
  </si>
  <si>
    <t>TOTAL METAS FISICAS Y FINANCIERAS</t>
  </si>
  <si>
    <t xml:space="preserve">ANEXO NO. 3. MATRIZ DE REPORTE DE AVANCE DE INDICADORES MÍNIMOS DE GESTIÓN INCORPORADOS EN LA RESOLUCIÓN 667 DE 2016  </t>
  </si>
  <si>
    <t>PERIODO REPORTADO:</t>
  </si>
  <si>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</si>
  <si>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</si>
  <si>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</si>
  <si>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</si>
  <si>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</si>
  <si>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</si>
  <si>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</si>
  <si>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NO APLICA</t>
  </si>
  <si>
    <t xml:space="preserve">¿El indicador no se reporta por limitaciones de información disponible? </t>
  </si>
  <si>
    <t>NO SE REPORTA</t>
  </si>
  <si>
    <t xml:space="preserve">¿Qué programas o proyectos del Plan de Acción están asociados al indicador? </t>
  </si>
  <si>
    <t xml:space="preserve">Observaciones </t>
  </si>
  <si>
    <t>Metodología de cálculo</t>
  </si>
  <si>
    <t>Para su cálculo, se reporta la siguiente información:</t>
  </si>
  <si>
    <t>Porcentaje de ejecución de acciones relacionadas con el manejo integrado de zonas costeras.</t>
  </si>
  <si>
    <t>N</t>
  </si>
  <si>
    <t>Número / Año</t>
  </si>
  <si>
    <t>Año 1</t>
  </si>
  <si>
    <t>Año 2</t>
  </si>
  <si>
    <t>Año 3</t>
  </si>
  <si>
    <t>Año 4</t>
  </si>
  <si>
    <t>Acumulado</t>
  </si>
  <si>
    <t>A</t>
  </si>
  <si>
    <t>Número de acciones relacionadas con el manejo integrado de zonas Costeras</t>
  </si>
  <si>
    <t>Ejecución física de las acciones relacionadas con el manejo integrado de zonas costeras</t>
  </si>
  <si>
    <t>Nombre de acción / proyecto (*)</t>
  </si>
  <si>
    <t>Temática</t>
  </si>
  <si>
    <t>Ejecución Física (%)</t>
  </si>
  <si>
    <t>% Ejecución Física Cuatrienal</t>
  </si>
  <si>
    <t>% Ejecución Física Anual</t>
  </si>
  <si>
    <t>Ponderación (100%)</t>
  </si>
  <si>
    <t>Ejecución ponderada (%)</t>
  </si>
  <si>
    <t>Observaciones</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</si>
  <si>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</si>
  <si>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</si>
  <si>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</si>
  <si>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</si>
  <si>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</si>
  <si>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Total</t>
  </si>
  <si>
    <t>(*) Nombre de la acción, actividad o proyecto en el Plan de Acción de la Corporación.</t>
  </si>
  <si>
    <t>Interpretación</t>
  </si>
  <si>
    <t>Cuanto más cercano a cien por ciento, mayor es el cumplimiento de las metas que la autoridad ambiental se ha propuesto alcanzar en relación con el manejo integrado de zonas costeras, en el marco del Plan de Acción de la Corporación.</t>
  </si>
  <si>
    <t>Restricciones o Limitaciones</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</si>
  <si>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</si>
  <si>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</si>
  <si>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</si>
  <si>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</si>
  <si>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</si>
  <si>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</si>
  <si>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</si>
  <si>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</si>
  <si>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</si>
  <si>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</si>
  <si>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</si>
  <si>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</si>
  <si>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</si>
  <si>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rPr>
        <sz val="9"/>
        <color rgb="FF000000"/>
        <rFont val="Calibri"/>
        <family val="2"/>
      </rPr>
      <t xml:space="preserve">Hoja Metodológica de referencia: MADS (2016). </t>
    </r>
    <r>
      <rPr>
        <i/>
        <sz val="9"/>
        <color rgb="FF000000"/>
        <rFont val="Calibri"/>
        <family val="2"/>
      </rPr>
      <t>Hoja metodológica Ejecución de acciones en Manejo Integrado de Zonas Costeras (Versión 1.0).</t>
    </r>
    <r>
      <rPr>
        <sz val="9"/>
        <color rgb="FF000000"/>
        <rFont val="Calibri"/>
        <family val="2"/>
      </rPr>
      <t xml:space="preserve"> Ministerio de Ambiente y Desarrollo Sostenible MADS, DGOAT-SINA y DAMCRA.</t>
    </r>
  </si>
  <si>
    <t xml:space="preserve">Descripción del Indicador </t>
  </si>
  <si>
    <t>Definición</t>
  </si>
  <si>
    <t>Es el porcentaje de avance en la ejecución, por parte de la corporación autónoma regional, de las acciones relacionadas con el manejo integrado de zonas costeras en el marco del Plan de Acción.</t>
  </si>
  <si>
    <t>Pertinencia</t>
  </si>
  <si>
    <t>Finalidad / Propósito:</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</si>
  <si>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</si>
  <si>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Normatividad de soporte:</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</si>
  <si>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</si>
  <si>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</si>
  <si>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</si>
  <si>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</si>
  <si>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</si>
  <si>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</si>
  <si>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Documentos de referencia:</t>
  </si>
  <si>
    <t>Política nacional ambiental para el desarrollo sostenible de los espacios oceánicos y las zonas costeras e insulares de Colombia – PNAOCI 2000</t>
  </si>
  <si>
    <t>Metas / Estándares</t>
  </si>
  <si>
    <t>Marco conceptual</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</si>
  <si>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</si>
  <si>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</si>
  <si>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</si>
  <si>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rPr>
        <sz val="9"/>
        <color rgb="FF000000"/>
        <rFont val="Calibri"/>
        <family val="2"/>
      </rPr>
      <t>1)</t>
    </r>
    <r>
      <rPr>
        <sz val="7"/>
        <color rgb="FF000000"/>
        <rFont val="Times New Roman"/>
        <family val="1"/>
      </rPr>
      <t xml:space="preserve">      </t>
    </r>
    <r>
      <rPr>
        <sz val="9"/>
        <color rgb="FF000000"/>
        <rFont val="Calibri"/>
        <family val="2"/>
      </rPr>
      <t>Planificación y ordenamiento de la Unidad Ambiental Costera UAC</t>
    </r>
  </si>
  <si>
    <r>
      <rPr>
        <sz val="9"/>
        <color rgb="FF000000"/>
        <rFont val="Calibri"/>
        <family val="2"/>
      </rPr>
      <t>a)</t>
    </r>
    <r>
      <rPr>
        <sz val="7"/>
        <color rgb="FF000000"/>
        <rFont val="Times New Roman"/>
        <family val="1"/>
      </rPr>
      <t xml:space="preserve">      </t>
    </r>
    <r>
      <rPr>
        <sz val="9"/>
        <color rgb="FF000000"/>
        <rFont val="Calibri"/>
        <family val="2"/>
      </rPr>
      <t>Participación en la Formulación del POMIUAC en el marco de la Unidad Ambiental Costera correspondiente a su jurisdicción y en el Diagnóstico y Zonificación de los Manglares.</t>
    </r>
  </si>
  <si>
    <r>
      <rPr>
        <sz val="9"/>
        <color rgb="FF000000"/>
        <rFont val="Calibri"/>
        <family val="2"/>
      </rPr>
      <t>2)</t>
    </r>
    <r>
      <rPr>
        <sz val="7"/>
        <color rgb="FF000000"/>
        <rFont val="Times New Roman"/>
        <family val="1"/>
      </rPr>
      <t xml:space="preserve">      </t>
    </r>
    <r>
      <rPr>
        <sz val="9"/>
        <color rgb="FF000000"/>
        <rFont val="Calibri"/>
        <family val="2"/>
      </rPr>
      <t>Gestión ambiental en las zonas costeras de su jurisdicción</t>
    </r>
  </si>
  <si>
    <r>
      <rPr>
        <sz val="9"/>
        <color rgb="FF000000"/>
        <rFont val="Calibri"/>
        <family val="2"/>
      </rPr>
      <t>a)</t>
    </r>
    <r>
      <rPr>
        <sz val="7"/>
        <color rgb="FF000000"/>
        <rFont val="Times New Roman"/>
        <family val="1"/>
      </rPr>
      <t xml:space="preserve">      </t>
    </r>
    <r>
      <rPr>
        <sz val="9"/>
        <color rgb="FF000000"/>
        <rFont val="Calibri"/>
        <family val="2"/>
      </rPr>
      <t>Manejo de ecosistemas marinos y costeros.</t>
    </r>
  </si>
  <si>
    <r>
      <rPr>
        <sz val="9"/>
        <color rgb="FF000000"/>
        <rFont val="Calibri"/>
        <family val="2"/>
      </rPr>
      <t>3)</t>
    </r>
    <r>
      <rPr>
        <sz val="7"/>
        <color rgb="FF000000"/>
        <rFont val="Times New Roman"/>
        <family val="1"/>
      </rPr>
      <t xml:space="preserve">      </t>
    </r>
    <r>
      <rPr>
        <sz val="9"/>
        <color rgb="FF000000"/>
        <rFont val="Calibri"/>
        <family val="2"/>
      </rPr>
      <t>Articulación junto con los entes territoriales en el manejo integrado de zonas costeras.</t>
    </r>
  </si>
  <si>
    <r>
      <rPr>
        <sz val="9"/>
        <color rgb="FF000000"/>
        <rFont val="Calibri"/>
        <family val="2"/>
      </rPr>
      <t>4)</t>
    </r>
    <r>
      <rPr>
        <sz val="7"/>
        <color rgb="FF000000"/>
        <rFont val="Times New Roman"/>
        <family val="1"/>
      </rPr>
      <t xml:space="preserve">      </t>
    </r>
    <r>
      <rPr>
        <sz val="9"/>
        <color rgb="FF000000"/>
        <rFont val="Calibri"/>
        <family val="2"/>
      </rPr>
      <t>Educación y participación en manejo integrado de zonas costeras.</t>
    </r>
  </si>
  <si>
    <r>
      <rPr>
        <sz val="9"/>
        <color rgb="FF000000"/>
        <rFont val="Calibri"/>
        <family val="2"/>
      </rPr>
      <t>5)</t>
    </r>
    <r>
      <rPr>
        <sz val="7"/>
        <color rgb="FF000000"/>
        <rFont val="Times New Roman"/>
        <family val="1"/>
      </rPr>
      <t xml:space="preserve">      </t>
    </r>
    <r>
      <rPr>
        <sz val="9"/>
        <color rgb="FF000000"/>
        <rFont val="Calibri"/>
        <family val="2"/>
      </rPr>
      <t>Gestión de Información en manejo integrado de zonas costeras</t>
    </r>
  </si>
  <si>
    <r>
      <rPr>
        <sz val="9"/>
        <color rgb="FF000000"/>
        <rFont val="Calibri"/>
        <family val="2"/>
      </rPr>
      <t>a)</t>
    </r>
    <r>
      <rPr>
        <sz val="7"/>
        <color rgb="FF000000"/>
        <rFont val="Times New Roman"/>
        <family val="1"/>
      </rPr>
      <t xml:space="preserve">      </t>
    </r>
    <r>
      <rPr>
        <sz val="9"/>
        <color rgb="FF000000"/>
        <rFont val="Calibri"/>
        <family val="2"/>
      </rPr>
      <t>Monitoreo de la calidad ambiental en las zonas marinas y costeras</t>
    </r>
  </si>
  <si>
    <r>
      <rPr>
        <sz val="9"/>
        <color rgb="FF000000"/>
        <rFont val="Calibri"/>
        <family val="2"/>
      </rPr>
      <t>b)</t>
    </r>
    <r>
      <rPr>
        <sz val="7"/>
        <color rgb="FF000000"/>
        <rFont val="Times New Roman"/>
        <family val="1"/>
      </rPr>
      <t xml:space="preserve">      </t>
    </r>
    <r>
      <rPr>
        <sz val="9"/>
        <color rgb="FF000000"/>
        <rFont val="Calibri"/>
        <family val="2"/>
      </rPr>
      <t>Fortalecimiento de los sistemas de información regional ambiental en el ámbito marino-costero</t>
    </r>
  </si>
  <si>
    <r>
      <rPr>
        <sz val="9"/>
        <color rgb="FF000000"/>
        <rFont val="Calibri"/>
        <family val="2"/>
      </rPr>
      <t>c)</t>
    </r>
    <r>
      <rPr>
        <sz val="7"/>
        <color rgb="FF000000"/>
        <rFont val="Times New Roman"/>
        <family val="1"/>
      </rPr>
      <t xml:space="preserve">       </t>
    </r>
    <r>
      <rPr>
        <sz val="9"/>
        <color rgb="FF000000"/>
        <rFont val="Calibri"/>
        <family val="2"/>
      </rPr>
      <t>Monitoreo de ecosistemas y recursos acuáticos marinos y costeros</t>
    </r>
  </si>
  <si>
    <t>Cabe señalar que las acciones a ser realizadas por las Corporaciones deben corresponder a las competencias otorgadas por la normatividad y en el marco de sus funciones misionales.</t>
  </si>
  <si>
    <t>Fórmula de cálculo</t>
  </si>
  <si>
    <t>Porcentaje de ejecución de acciones relacionadas con el manejo integrado de zonas costeras</t>
  </si>
  <si>
    <t>Es el promedio ponderado de la ejecución de acciones relacionadas con el manejo integrado de las zonas costeras.</t>
  </si>
  <si>
    <t>Donde:</t>
  </si>
  <si>
    <r>
      <rPr>
        <sz val="9"/>
        <color rgb="FF000000"/>
        <rFont val="Calibri"/>
        <family val="2"/>
      </rPr>
      <t xml:space="preserve">ETAMIZC </t>
    </r>
    <r>
      <rPr>
        <vertAlign val="subscript"/>
        <sz val="9"/>
        <color rgb="FF000000"/>
        <rFont val="Calibri"/>
        <family val="2"/>
      </rPr>
      <t>t</t>
    </r>
    <r>
      <rPr>
        <sz val="9"/>
        <color rgb="FF000000"/>
        <rFont val="Calibri"/>
        <family val="2"/>
      </rPr>
      <t xml:space="preserve"> = Porcentaje de ejecución total de acciones en manejo integrado de zonas costeras, en el tiempo t.</t>
    </r>
  </si>
  <si>
    <r>
      <rPr>
        <sz val="9"/>
        <color rgb="FF000000"/>
        <rFont val="Calibri"/>
        <family val="2"/>
      </rPr>
      <t xml:space="preserve">EAMIZC </t>
    </r>
    <r>
      <rPr>
        <vertAlign val="subscript"/>
        <sz val="9"/>
        <color rgb="FF000000"/>
        <rFont val="Calibri"/>
        <family val="2"/>
      </rPr>
      <t>It</t>
    </r>
    <r>
      <rPr>
        <sz val="9"/>
        <color rgb="FF000000"/>
        <rFont val="Calibri"/>
        <family val="2"/>
      </rPr>
      <t xml:space="preserve"> = Porcentaje de ejecución de la acción </t>
    </r>
    <r>
      <rPr>
        <i/>
        <sz val="9"/>
        <color rgb="FF000000"/>
        <rFont val="Calibri"/>
        <family val="2"/>
      </rPr>
      <t>i</t>
    </r>
    <r>
      <rPr>
        <sz val="9"/>
        <color rgb="FF000000"/>
        <rFont val="Calibri"/>
        <family val="2"/>
      </rPr>
      <t xml:space="preserve"> relacionada con el manejo integrado de zonas costeras, en el tiempo t.</t>
    </r>
  </si>
  <si>
    <r>
      <rPr>
        <sz val="9"/>
        <color rgb="FF000000"/>
        <rFont val="Calibri"/>
        <family val="2"/>
      </rPr>
      <t xml:space="preserve"> a </t>
    </r>
    <r>
      <rPr>
        <vertAlign val="subscript"/>
        <sz val="9"/>
        <color rgb="FF000000"/>
        <rFont val="Calibri"/>
        <family val="2"/>
      </rPr>
      <t>i</t>
    </r>
    <r>
      <rPr>
        <sz val="9"/>
        <color rgb="FF000000"/>
        <rFont val="Calibri"/>
        <family val="2"/>
      </rPr>
      <t xml:space="preserve"> = ponderador de la acción i de manejo integrado de zonas costeras</t>
    </r>
  </si>
  <si>
    <r>
      <rPr>
        <sz val="9"/>
        <color rgb="FF000000"/>
        <rFont val="Calibri"/>
        <family val="2"/>
      </rPr>
      <t xml:space="preserve">Σ a </t>
    </r>
    <r>
      <rPr>
        <vertAlign val="subscript"/>
        <sz val="9"/>
        <color rgb="FF000000"/>
        <rFont val="Calibri"/>
        <family val="2"/>
      </rPr>
      <t>i</t>
    </r>
    <r>
      <rPr>
        <sz val="9"/>
        <color rgb="FF000000"/>
        <rFont val="Calibri"/>
        <family val="2"/>
      </rPr>
      <t xml:space="preserve"> = 1.</t>
    </r>
  </si>
  <si>
    <r>
      <rPr>
        <u/>
        <sz val="9"/>
        <color rgb="FF000000"/>
        <rFont val="Calibri"/>
        <family val="2"/>
      </rPr>
      <t>Nota:</t>
    </r>
    <r>
      <rPr>
        <u/>
        <sz val="9"/>
        <color rgb="FF000000"/>
        <rFont val="Calibri"/>
        <family val="2"/>
      </rPr>
      <t xml:space="preserve"> los ponderadores de las acciones serán definidos por las CAR teniendo en cuenta el peso asignado para cada una de ellas.</t>
    </r>
  </si>
  <si>
    <t>En cuanto a la Participación en los espacios de consulta pública de los proyectos de reglamentación de los instrumentos económicos, financieros y de mercado se participaron en las mesas de trabajo convocadas por el MADS para la consolidación del anteproyecto del Presupuesto 2023</t>
  </si>
  <si>
    <t>NIVEL ESTRUCTURAL</t>
  </si>
  <si>
    <t>NIVEL RENTISTICO</t>
  </si>
  <si>
    <t>SUBNIVEL RENTISTICO</t>
  </si>
  <si>
    <t>CONCEPTO</t>
  </si>
  <si>
    <t>NIVEL 1</t>
  </si>
  <si>
    <t>NIVEL 2</t>
  </si>
  <si>
    <t>NIVEL 3</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</si>
  <si>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</si>
  <si>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</si>
  <si>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</si>
  <si>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</si>
  <si>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</si>
  <si>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</si>
  <si>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</si>
  <si>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</si>
  <si>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</si>
  <si>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</si>
  <si>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</si>
  <si>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</si>
  <si>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</si>
  <si>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01</t>
  </si>
  <si>
    <t>GASTOS DE FUNCIONAMIENTO</t>
  </si>
  <si>
    <t>GASTOS DE PERSONAL</t>
  </si>
  <si>
    <t>02</t>
  </si>
  <si>
    <t>ADQUISICIÓN DE BIENES Y SERVICIOS</t>
  </si>
  <si>
    <t>Adquisición de activos no financieros</t>
  </si>
  <si>
    <t>Adquisiciones diferentes de activos</t>
  </si>
  <si>
    <t>03</t>
  </si>
  <si>
    <t>TRANSFERENCIAS CORRIENTES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</si>
  <si>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</si>
  <si>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</si>
  <si>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</si>
  <si>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</si>
  <si>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</si>
  <si>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</si>
  <si>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</si>
  <si>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</si>
  <si>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</si>
  <si>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</si>
  <si>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</si>
  <si>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</si>
  <si>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</si>
  <si>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Conciliaciones</t>
  </si>
  <si>
    <t>04</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</si>
  <si>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</si>
  <si>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</si>
  <si>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</si>
  <si>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</si>
  <si>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</si>
  <si>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</si>
  <si>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</si>
  <si>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</si>
  <si>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</si>
  <si>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 sanciones e intereses de mora</t>
  </si>
  <si>
    <t>Multas</t>
  </si>
  <si>
    <t>Sanciones</t>
  </si>
  <si>
    <t>Intereses de mora</t>
  </si>
  <si>
    <t>SERVICIO DE LA DEUDA</t>
  </si>
  <si>
    <t>Servicios de la deuda pública externa</t>
  </si>
  <si>
    <t>Intereses de la deduda pública externa</t>
  </si>
  <si>
    <t>Servicios de la deuda pública interna</t>
  </si>
  <si>
    <t>Intereses de la deduda pública interna</t>
  </si>
  <si>
    <t>Fondo de contigencias</t>
  </si>
  <si>
    <t>Proyecto 3201.01 Gestión e implementación de estrategias para la recuperación y conservación de la flora y fauna en el Departamento del Cesar, en armonía con el proyecto 1.2</t>
  </si>
  <si>
    <t xml:space="preserve">Objetivo. </t>
  </si>
  <si>
    <t>Producto</t>
  </si>
  <si>
    <t>Actividad</t>
  </si>
  <si>
    <t>Proyecto 3202.09 Implementación de Acciones de restauración en areas de interes estrategico en la Serrania del Perija en el Departamento del Cesar</t>
  </si>
  <si>
    <t xml:space="preserve">Proyecto 3205.09 Implementación de medidas estructurales y no estructurales para el control de la erosión e inundación en la corriente superficial anime, en los Municipios de Chiriguana, y Curumani Departamento del Cesar </t>
  </si>
  <si>
    <t>Proyecto 3208.01 Fortalecimento de la participación ciudadana en la Gestión ambiental,  con enfoque endógeno y/o cultural,   intergeneracional, y consensual para promover el desarrollo ECOsocial en el Dpto del Cesar</t>
  </si>
  <si>
    <t xml:space="preserve">Proyecto 3299.05 Implementación de estrategias para el manejo ambiental en comunidades afrodescendientes,  otras minorías étnicas, y/o poblaciones victimas del conflicto armado en el Dpto. del Cesar. </t>
  </si>
  <si>
    <t xml:space="preserve">3299.06 Fortalecimiento de las  TIC´s .según lineamientos de MINTICs y la política de gobierno digital, en Corpocesar. </t>
  </si>
  <si>
    <t>6.01.01.03.003.001.00AR.2101.1900.20213219000001 Implementación de estrategias para la conservación, uso sostnible de la biodiversidad y restauración de los srvicios ecosistemicos del complejo cenagoso de zapatosa, en el Municipio de Chimichagua, Dep</t>
  </si>
  <si>
    <t>BPIN 20183219000004 Implementación de un proyecto piloto de Biorremediación y gestión ambiental en el rio  San Alberto Cesar</t>
  </si>
  <si>
    <t>BPIN 20193219000002 Implementación de acciones de adaptación al cambio climático en el edificio  Bioclimático y el CAVFFS, sedes de Corpocesar en el marco del PIGCCT del departamento del Cesar .</t>
  </si>
  <si>
    <t>BPIN 20203219000001 Implementacion de acciones de mitigacion del cambio climatico en zonas rurales de los Municipios de Valledupar, La Paz, Manaure, San Diego, y Agustin Codazzi, del Departamento del Cesar</t>
  </si>
  <si>
    <t>SPGR Fortalecimiento</t>
  </si>
  <si>
    <t>SGR Fortalecimiento</t>
  </si>
  <si>
    <t>3202-0900-2021-321900-0002  Implementación de acciones de restauración con guadua y otras especies nativas en areas priorizadas de la Jurisdicción de CORPOCESAR, Departamento del Cesar</t>
  </si>
  <si>
    <t xml:space="preserve">3203_ BPIN 20223219000001 Formulacion del plan de ordenacion y manejo de la cuenca  2802-02 del Rio Medio Cesar en la Jurisdiccion de Corpocesar, Departamento del Cesar </t>
  </si>
  <si>
    <t>TOTAL PRESUPUESTO DE GASTOS</t>
  </si>
  <si>
    <t xml:space="preserve">CORPORACIÓN AUTÓMA REGIONAL DEL CESAR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</si>
  <si>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</si>
  <si>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</si>
  <si>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</si>
  <si>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</si>
  <si>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</si>
  <si>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</si>
  <si>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</si>
  <si>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</si>
  <si>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</si>
  <si>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</si>
  <si>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</si>
  <si>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</si>
  <si>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4</t>
  </si>
  <si>
    <t>NIVEL 5</t>
  </si>
  <si>
    <t>(4)
ADICIÓN</t>
  </si>
  <si>
    <t>(5)
REDUCCIÓN</t>
  </si>
  <si>
    <t>(7)
FUNCIONAMIENTO</t>
  </si>
  <si>
    <t>(8)
INVERSIÓN</t>
  </si>
  <si>
    <t>(9)
FCA</t>
  </si>
  <si>
    <t>(10)
SERVICIO A LA DEUDA</t>
  </si>
  <si>
    <t>1</t>
  </si>
  <si>
    <t>Ingresos</t>
  </si>
  <si>
    <t>Ingresos Recursos Propios</t>
  </si>
  <si>
    <t>Ingresos Corrientes</t>
  </si>
  <si>
    <t>Ingresos tributarios</t>
  </si>
  <si>
    <t>Impuestos directos</t>
  </si>
  <si>
    <t>014</t>
  </si>
  <si>
    <t xml:space="preserve">Sobretasa ambiental </t>
  </si>
  <si>
    <t>Sobretasa ambiental - Urbano</t>
  </si>
  <si>
    <t>Sobretasa ambiental - Urbano-Vigencia actual</t>
  </si>
  <si>
    <t>Sobretasa ambiental - Urbano-Vigencia antarior</t>
  </si>
  <si>
    <t>3</t>
  </si>
  <si>
    <t>Sobretasa ambiental - Urbano-REcuperación de Cartera</t>
  </si>
  <si>
    <t>Sobretasa ambiental -  Rural</t>
  </si>
  <si>
    <t>Sobretasa ambiental -  Rural- Vigencia Actual</t>
  </si>
  <si>
    <t>Sobretasa ambiental -  Rural- Vigencia Anterior</t>
  </si>
  <si>
    <t>Sobretasa ambiental -  Rural- REcuperación de Cartera</t>
  </si>
  <si>
    <t>201</t>
  </si>
  <si>
    <t>Sobretasa Ambiental Áreas Metropolitanas</t>
  </si>
  <si>
    <t>Sobretasa Ambiental Áreas Metropolitanas- Vigencia actual</t>
  </si>
  <si>
    <t>Sobretasa Ambiental Áreas Metropolitanas - Vigencia Anterior</t>
  </si>
  <si>
    <t>Sobretasa Ambiental Áreas Metropolitanas -REcuperación de Cartera</t>
  </si>
  <si>
    <t>Ingresos no tributarios</t>
  </si>
  <si>
    <t>Contribuciones</t>
  </si>
  <si>
    <t>05</t>
  </si>
  <si>
    <t>Contribuciones diversas</t>
  </si>
  <si>
    <t>Contribución sector eléctrico</t>
  </si>
  <si>
    <t>Contribución sector eléctrico - Generadores de energía convencional</t>
  </si>
  <si>
    <t>Contribución sector eléctrico - Generadores de energía convencional - Vigencia Actual</t>
  </si>
  <si>
    <t>Contribución sector eléctrico - Generadores de energía convencional - Vigencia Anterior</t>
  </si>
  <si>
    <t>Contribución sector eléctrico - Generadores de energía convencional -REcuperación de Cartera</t>
  </si>
  <si>
    <t>Contribución sector eléctrico - Generadores de energía no convencional</t>
  </si>
  <si>
    <t>Contribución sector eléctrico - Generadores de energía no convencional - Vigencia Actual</t>
  </si>
  <si>
    <t>Contribución sector eléctrico - Generadores de energía no convencional - Vigencia Anterior</t>
  </si>
  <si>
    <t>Contribución sector eléctrico - Generadores de energía no convencional - Recuperación de Cartera</t>
  </si>
  <si>
    <t>Tasas y derechos administrativos</t>
  </si>
  <si>
    <t>015</t>
  </si>
  <si>
    <t>Certificaciones y constancias</t>
  </si>
  <si>
    <t>Certificaciones y constancias- Vigencia Actual</t>
  </si>
  <si>
    <t>Certificaciones y constancias - Vigencia Anterior</t>
  </si>
  <si>
    <t>Certificaciones y constancias - Recuperación de Cartera</t>
  </si>
  <si>
    <t>036</t>
  </si>
  <si>
    <t>Evaluación de licencias y trámites ambientales</t>
  </si>
  <si>
    <t>Evaluación de licencias y trámites ambientales - Vigencia Actual</t>
  </si>
  <si>
    <t>Evaluación de licencias y trámites ambientales -Vigencia Anterior</t>
  </si>
  <si>
    <t>Evaluación de licencias y trámites ambientales -Recuperación de Cartera</t>
  </si>
  <si>
    <t>037</t>
  </si>
  <si>
    <t>Seguimiento a licencias y trámites ambientales</t>
  </si>
  <si>
    <t>Seguimiento a licencias y trámites ambientales - Vigencia Actual</t>
  </si>
  <si>
    <t>Seguimiento a licencias y trámites ambientales - Vigencia Anterior</t>
  </si>
  <si>
    <t>Seguimiento a licencias y trámites ambientales - Rendimientos</t>
  </si>
  <si>
    <t>055</t>
  </si>
  <si>
    <t>Tasa por el uso del agua</t>
  </si>
  <si>
    <t>Tasa por el uso del agua - Vigencia Actual</t>
  </si>
  <si>
    <t>Tasa por el uso del agua - Vigencia Anterior</t>
  </si>
  <si>
    <t>Tasa por el uso del agua - Recuperación de Cartera</t>
  </si>
  <si>
    <t>088</t>
  </si>
  <si>
    <t>Tasa retributiva</t>
  </si>
  <si>
    <t>Tasa retributiva -  Vigencia Actual</t>
  </si>
  <si>
    <t>Tasa retributiva - Vigencia Anterior</t>
  </si>
  <si>
    <t>Tasa retributiva - Recuperación de Cartera</t>
  </si>
  <si>
    <t>089</t>
  </si>
  <si>
    <t>Tasa por aprovechamiento forestal</t>
  </si>
  <si>
    <t>Tasa por aprovechamiento forestal - Vigencia Actual</t>
  </si>
  <si>
    <t>Tasa por aprovechamiento forestal - Vigencia Anterior</t>
  </si>
  <si>
    <t>Tasa por aprovechamiento forestal - Recuperación de Cartera</t>
  </si>
  <si>
    <t>090</t>
  </si>
  <si>
    <t>Tasa compensatoria por caza de fauna silvestre</t>
  </si>
  <si>
    <t>Tasa compensatoria por caza de fauna silvestre - Vigencia Actual</t>
  </si>
  <si>
    <t>Tasa compensatoria por caza de fauna silvestre - Vigencia Anterior</t>
  </si>
  <si>
    <t>Tasa compensatoria por caza de fauna silvestre - Recuperación de Cartera</t>
  </si>
  <si>
    <t>110</t>
  </si>
  <si>
    <t>Sobretasa ambiental - Peajes</t>
  </si>
  <si>
    <t>Sobretasa ambiental - Peajes - Vigencia Actual</t>
  </si>
  <si>
    <t>Sobretasa ambiental - Peajes - Vigencia Anterior</t>
  </si>
  <si>
    <t>Sobretasa ambiental - Peajes - Recuperación de Cartera</t>
  </si>
  <si>
    <t>112</t>
  </si>
  <si>
    <t>Tasa Compensatoria por la utilización permanente de la reserva forestal protectora Bosque Oriental de Bogotá</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</si>
  <si>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</si>
  <si>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</si>
  <si>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</si>
  <si>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113</t>
  </si>
  <si>
    <t>Salvoconducto Unico Nacional</t>
  </si>
  <si>
    <t>Salvoconducto Unico Nacional - Vigencia Actual</t>
  </si>
  <si>
    <t>Salvoconducto Unico Nacional - Vigencia Anterior</t>
  </si>
  <si>
    <t>Salvoconducto Unico Nacional - Recuperación de Cartera</t>
  </si>
  <si>
    <t>001</t>
  </si>
  <si>
    <t>Multas y sanciones</t>
  </si>
  <si>
    <t>Sanciones disciplinarias</t>
  </si>
  <si>
    <t>Sanciones disciplinarias - Vigencia Actual</t>
  </si>
  <si>
    <t>Sanciones disciplinarias - Vigencia Anterior</t>
  </si>
  <si>
    <t>Sanciones disciplinarias - Recuperación de Cartera</t>
  </si>
  <si>
    <t>Sanciones contractuales</t>
  </si>
  <si>
    <t>Sanciones contractuales - Vigencia Actual</t>
  </si>
  <si>
    <t>Sanciones contractuales - Vigencia Anterior</t>
  </si>
  <si>
    <t>Sanciones contractuales - Recuperación de Cartera</t>
  </si>
  <si>
    <t>Sanciones administrativas</t>
  </si>
  <si>
    <t>Sanciones administrativas - Vigencia Actual</t>
  </si>
  <si>
    <t>Sanciones administrativas - Vigencia Anterior</t>
  </si>
  <si>
    <t>Sanciones administrativas - Recuperación de Cartera</t>
  </si>
  <si>
    <t>13</t>
  </si>
  <si>
    <t>Sanciones sanitarias</t>
  </si>
  <si>
    <t>Sanciones sanitarias - Vigencia Actual</t>
  </si>
  <si>
    <t>Sanciones sanitarias - Vigencia Anterior</t>
  </si>
  <si>
    <t>Sanciones sanitarias - Recuperación de Cartera</t>
  </si>
  <si>
    <t>22</t>
  </si>
  <si>
    <t>Multas ambientales</t>
  </si>
  <si>
    <t>Multas ambientales - Vigencia Actual</t>
  </si>
  <si>
    <t>Multas ambientales - Vigencia Anterior</t>
  </si>
  <si>
    <t>Multas ambientales - Recuperación de Cartera</t>
  </si>
  <si>
    <t>002</t>
  </si>
  <si>
    <t>Venta de bienes y servicios</t>
  </si>
  <si>
    <t>Ventas de establecimientos de mercado</t>
  </si>
  <si>
    <t>00</t>
  </si>
  <si>
    <t>Agricultura, silvicultura y productos de la pesca</t>
  </si>
  <si>
    <t>Agricultura, silvicultura y productos de la pesca - Vigencia Actual</t>
  </si>
  <si>
    <t>Agricultura, silvicultura y productos de la pesca - Vigencia Anterior</t>
  </si>
  <si>
    <t>Agricultura, silvicultura y productos de la pesca - Recuperación de Cartera</t>
  </si>
  <si>
    <t>Minerales; electricidad, gas y agua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</si>
  <si>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</si>
  <si>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</si>
  <si>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</si>
  <si>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</si>
  <si>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</si>
  <si>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</si>
  <si>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</si>
  <si>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</si>
  <si>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</si>
  <si>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</si>
  <si>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</si>
  <si>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t>
  </si>
  <si>
    <t>Productos metálicos, maquinaria y equipo - Vigencia Actual</t>
  </si>
  <si>
    <t>Productos metálicos, maquinaria y equipo - Vigencia Anterior</t>
  </si>
  <si>
    <t>Productos metálicos, maquinaria y equipo - Recuperación de Cartera</t>
  </si>
  <si>
    <t>Servicios de la construcción</t>
  </si>
  <si>
    <t>Servicios de la construcción - Vigencia Actual</t>
  </si>
  <si>
    <t>Servicios de la construcción - Vigencia Anterior</t>
  </si>
  <si>
    <t>Servicios de la construcción - Recuperación de Cartera</t>
  </si>
  <si>
    <t>06</t>
  </si>
  <si>
    <t>Servicios de alojamiento; servicios de suministro de comidas y bebidas; servicios de transporte; y servicios de distribución de electricidad, gas y agua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</si>
  <si>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</si>
  <si>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</si>
  <si>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</si>
  <si>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07</t>
  </si>
  <si>
    <t>Servicios financieros y servicios conexos, servicios inmobiliarios y servicios de leasing</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</si>
  <si>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</si>
  <si>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</si>
  <si>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</si>
  <si>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08</t>
  </si>
  <si>
    <t xml:space="preserve">Servicios prestados a las empresas y servicios de producción </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</si>
  <si>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</si>
  <si>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</si>
  <si>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</si>
  <si>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09</t>
  </si>
  <si>
    <t>Servicios para la comunidad, sociales y personales</t>
  </si>
  <si>
    <t>Servicios para la comunidad, sociales y personales - Vigencia Actual</t>
  </si>
  <si>
    <t>Servicios para la comunidad, sociales y personales - Vigencia Anterior</t>
  </si>
  <si>
    <t>Servicios para la comunidad, sociales y personales - Recuperación de Cartera</t>
  </si>
  <si>
    <t>10</t>
  </si>
  <si>
    <t>Elementos militares de un solo uso</t>
  </si>
  <si>
    <t>Elementos militares de un solo uso - Vigencia Actual</t>
  </si>
  <si>
    <t>Elementos militares de un solo uso - Vigencia Anterior</t>
  </si>
  <si>
    <t>Elementos militares de un solo uso - Recuperación de Cartera</t>
  </si>
  <si>
    <t>Ventas incidentales de establecimientos no de mercado</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</si>
  <si>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</si>
  <si>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</si>
  <si>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</si>
  <si>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Transferencias corrientes</t>
  </si>
  <si>
    <t>003</t>
  </si>
  <si>
    <t>Participaciones distintas del SGP</t>
  </si>
  <si>
    <t>Participación en impuestos</t>
  </si>
  <si>
    <t>14</t>
  </si>
  <si>
    <t>Participación ambiental en el porcentaje de recaudo del impuesto predial</t>
  </si>
  <si>
    <t>Participación ambiental en el porcentaje de recaudo del impuesto predial - Vigencia Actual</t>
  </si>
  <si>
    <t>Participación ambiental en el porcentaje de recaudo del impuesto predial - Vigencia Anterior</t>
  </si>
  <si>
    <t>Participación ambiental en el porcentaje de recaudo del impuesto predial - Recuperación de Cartera</t>
  </si>
  <si>
    <t>Participación en multas, sanciones e intereses de mora</t>
  </si>
  <si>
    <t>Participación de intereses de mora al porcentaje de recaudo del impuesto predial.</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</si>
  <si>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</si>
  <si>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</si>
  <si>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</si>
  <si>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009</t>
  </si>
  <si>
    <t>Recursos del Sistema de Seguridad Social Integral</t>
  </si>
  <si>
    <t>Sistema General de Pensiones</t>
  </si>
  <si>
    <t>Concurrencia pasivo pensional</t>
  </si>
  <si>
    <t>Concurrencia pasivo pensional - Vigencia Actual</t>
  </si>
  <si>
    <t>Concurrencia pasivo pensional -  Vigencia Anterior</t>
  </si>
  <si>
    <t>Concurrencia pasivo pensional - Recuperación de Cartera</t>
  </si>
  <si>
    <t>010</t>
  </si>
  <si>
    <t>Sentencias y conciliaciones</t>
  </si>
  <si>
    <t>Fallos nacionales</t>
  </si>
  <si>
    <t>Sentencias</t>
  </si>
  <si>
    <t>Sentencias - Vigencia Actual</t>
  </si>
  <si>
    <t>Sentencias - Vigencia Anterior</t>
  </si>
  <si>
    <t>Sentencias - Recuperación de Cartera</t>
  </si>
  <si>
    <t>Conciliaciones - Vigencia Actual</t>
  </si>
  <si>
    <t>Conciliaciones - Vigencia Anterior</t>
  </si>
  <si>
    <t>Conciliaciones - Recuperación de Cartera</t>
  </si>
  <si>
    <t>Laudos arbitrales</t>
  </si>
  <si>
    <t>Laudos arbitrales - Vigencia Actual</t>
  </si>
  <si>
    <t>Laudos arbitrales - Vigencia Anterior</t>
  </si>
  <si>
    <t>Laudos arbitrales - Recuperación de Cartera</t>
  </si>
  <si>
    <t>011</t>
  </si>
  <si>
    <t>Indemnizaciones relacionadas con seguros no de vida</t>
  </si>
  <si>
    <t>Indemnizaciones relacionadas con seguros no de vida - Vigencia Anterior</t>
  </si>
  <si>
    <t>Indemnizaciones relacionadas con seguros no de vida - Vigencia Actual</t>
  </si>
  <si>
    <t>Indemnizaciones relacionadas con seguros no de vida - Recuperación de Cartera</t>
  </si>
  <si>
    <t>020</t>
  </si>
  <si>
    <t>Devoluciones seguridad social - pensiones</t>
  </si>
  <si>
    <t>Devoluciones seguridad social - pensiones - Vigencia Actual</t>
  </si>
  <si>
    <t>Devoluciones seguridad social - pensiones - Vigencia Anterior</t>
  </si>
  <si>
    <t>Devoluciones seguridad social - pensiones - Recuperación de Cartera</t>
  </si>
  <si>
    <t>Recursos de capital</t>
  </si>
  <si>
    <t>Disposición de activos</t>
  </si>
  <si>
    <t>Disposición de activos financieros</t>
  </si>
  <si>
    <t>Acciones</t>
  </si>
  <si>
    <t>Acciones - Vigencia Actual</t>
  </si>
  <si>
    <t>Acciones - Vigencia Anterior</t>
  </si>
  <si>
    <t>Acciones - Recuperación de Cartera</t>
  </si>
  <si>
    <t>Reducciones de capital</t>
  </si>
  <si>
    <t>Reducciones de capital - Vigencia Actual</t>
  </si>
  <si>
    <t>Reducciones de capital - Vigencia Anterior</t>
  </si>
  <si>
    <t>Reducciones de capital - Recuperación de Cartera</t>
  </si>
  <si>
    <t>Reembolso de participaciones en fondos de inversión</t>
  </si>
  <si>
    <t>Reembolso de participaciones en fondos de inversión - Vigencia Actual</t>
  </si>
  <si>
    <t>Reembolso de participaciones en fondos de inversión - Vigencia Anterior</t>
  </si>
  <si>
    <t>Reembolso de participaciones en fondos de inversión - Recuperación de Cartera</t>
  </si>
  <si>
    <t>004</t>
  </si>
  <si>
    <t>Títulos de devolución de impuestos-TIDIS</t>
  </si>
  <si>
    <t>Títulos de devolución de impuestos-TIDIS - Vigencia Actual</t>
  </si>
  <si>
    <t>Títulos de devolución de impuestos-TIDIS - Vigencia Anterior</t>
  </si>
  <si>
    <t>Títulos de devolución de impuestos-TIDIS - Recuperación de Cartera</t>
  </si>
  <si>
    <t>Disposición de activos no financieros</t>
  </si>
  <si>
    <t>Disposición de activos fijos</t>
  </si>
  <si>
    <t>Disposición de edificaciones y estructuras</t>
  </si>
  <si>
    <t>Disposición de edificaciones y estructuras - Vigencia Actual</t>
  </si>
  <si>
    <t>Disposición de edificaciones y estructuras - Vigencia Anterior</t>
  </si>
  <si>
    <t>Disposición de edificaciones y estructuras - Recuperación de Cartera</t>
  </si>
  <si>
    <t>Disposición de maquinaria y equipo</t>
  </si>
  <si>
    <t>Disposición de maquinaria y equipo - Vigencia Actual</t>
  </si>
  <si>
    <t>Disposición de maquinaria y equipo - Vigencia Anterioir</t>
  </si>
  <si>
    <t>Disposición de maquinaria y equipo - Recuperación de Cartera</t>
  </si>
  <si>
    <t>Disposición de otros activos fijos</t>
  </si>
  <si>
    <t>Disposición de recursos biológicos cultivados</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</si>
  <si>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</si>
  <si>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</si>
  <si>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</si>
  <si>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t>
  </si>
  <si>
    <t>Disposición de productos de la propiedad intelectual - Vigencia Actual</t>
  </si>
  <si>
    <t>Disposición de productos de la propiedad intelectual - Vigencia Anterior</t>
  </si>
  <si>
    <t>Disposición de productos de la propiedad intelectual - Recuperación de Cartera</t>
  </si>
  <si>
    <t>Disposición de objetos de valor</t>
  </si>
  <si>
    <t>Disposición de joyas y artículos conexos</t>
  </si>
  <si>
    <t>Disposición de joyas y artículos conexos - Vigencia Actual</t>
  </si>
  <si>
    <t>Disposición de joyas y artículos conexos - Vigencia Anterior</t>
  </si>
  <si>
    <t>Disposición de joyas y artículos conexos - Recuperación de Cartera</t>
  </si>
  <si>
    <t>Disposición de antigüedades u otros objetos de arte</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</si>
  <si>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</si>
  <si>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</si>
  <si>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</si>
  <si>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t>
  </si>
  <si>
    <t>Disposición de otros objetos valiosos - Vigencia Actual</t>
  </si>
  <si>
    <t>Disposición de otros objetos valiosos - Vigencia Anterior</t>
  </si>
  <si>
    <t>Disposición de otros objetos valiosos - Recuperación de Cartera</t>
  </si>
  <si>
    <t>Disposición de activos no producidos</t>
  </si>
  <si>
    <t>Disposición de  tierras y terrenos</t>
  </si>
  <si>
    <t>Disposición de  tierras y terrenos - Vigencia Actual</t>
  </si>
  <si>
    <t>Disposición de  tierras y terrenos - Vigencia Anterior</t>
  </si>
  <si>
    <t>Disposición de  tierras y terrenos - Recuperación de Cartera</t>
  </si>
  <si>
    <t>Disposición de recursos biológicos no cultivados</t>
  </si>
  <si>
    <t>Disposición de recursos biológicos no cultivados - Vigencia Actual</t>
  </si>
  <si>
    <t>Disposición de recursos biológicos no cultivados - Vigencia Anterior</t>
  </si>
  <si>
    <t>Disposición de recursos biológicos no cultivados - Recuperación de Cartera</t>
  </si>
  <si>
    <t>Dividendos y utilidades por otras inversiones de capital</t>
  </si>
  <si>
    <t>Empresas industriales y comerciales del Estado societarias</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</si>
  <si>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</si>
  <si>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</si>
  <si>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</si>
  <si>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t>
  </si>
  <si>
    <t>Sociedades de economía mixta - Vigencia Actual</t>
  </si>
  <si>
    <t>Sociedades de economía mixta - Vigencia Anterior</t>
  </si>
  <si>
    <t>Sociedades de economía mixta - Recuperación de Cartera</t>
  </si>
  <si>
    <t>Inversiones patrimoniales no controladas</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</si>
  <si>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</si>
  <si>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</si>
  <si>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</si>
  <si>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</si>
  <si>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</si>
  <si>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</si>
  <si>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</si>
  <si>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t>
  </si>
  <si>
    <t>Inversiones en entidades controladas - sociedades públicas - Vigencia Actual</t>
  </si>
  <si>
    <t>Inversiones en entidades controladas - sociedades públicas - Vigencia Anterior</t>
  </si>
  <si>
    <t>Inversiones en entidades controladas - sociedades públicas - Recuperación de Cartera</t>
  </si>
  <si>
    <t>Rendimientos financieros</t>
  </si>
  <si>
    <t>Títulos participativos</t>
  </si>
  <si>
    <t>Depósitos</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</si>
  <si>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</si>
  <si>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</si>
  <si>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</si>
  <si>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</si>
  <si>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</si>
  <si>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</si>
  <si>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</si>
  <si>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</si>
  <si>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</si>
  <si>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Depósitos - Tasa Retributiba</t>
  </si>
  <si>
    <t>11</t>
  </si>
  <si>
    <t>Depósitos - Tasa de Aprovechamiento Forestal</t>
  </si>
  <si>
    <t>12</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</si>
  <si>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</si>
  <si>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</si>
  <si>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</si>
  <si>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</si>
  <si>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</si>
  <si>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</si>
  <si>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</si>
  <si>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</si>
  <si>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</si>
  <si>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</si>
  <si>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</si>
  <si>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</si>
  <si>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</si>
  <si>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</si>
  <si>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</si>
  <si>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</si>
  <si>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</si>
  <si>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</si>
  <si>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</si>
  <si>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</si>
  <si>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</si>
  <si>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</si>
  <si>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</si>
  <si>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</si>
  <si>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</si>
  <si>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</si>
  <si>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</si>
  <si>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</si>
  <si>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</si>
  <si>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</si>
  <si>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</si>
  <si>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</si>
  <si>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</si>
  <si>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</si>
  <si>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Valores distintos de acciones</t>
  </si>
  <si>
    <t>Cuenta única nacional</t>
  </si>
  <si>
    <t>Intereses por préstamos</t>
  </si>
  <si>
    <t>Rendimientos recursos de terceros</t>
  </si>
  <si>
    <t>Recursos de crédito externo</t>
  </si>
  <si>
    <t>Recursos de contratos de empréstitos externos</t>
  </si>
  <si>
    <t>Bancos comerciales</t>
  </si>
  <si>
    <t>Entidades de fomento</t>
  </si>
  <si>
    <t>Gobiernos</t>
  </si>
  <si>
    <t>Bancos centrales y agencias de gobiernos</t>
  </si>
  <si>
    <t>Organismos multilaterales</t>
  </si>
  <si>
    <t>BID</t>
  </si>
  <si>
    <t>BIRF</t>
  </si>
  <si>
    <t>CAF</t>
  </si>
  <si>
    <t>005</t>
  </si>
  <si>
    <t>Otras instituciones financieras</t>
  </si>
  <si>
    <t>FIDA</t>
  </si>
  <si>
    <t>FODI</t>
  </si>
  <si>
    <t>Recursos de crédito externo de otras instituciones financieras</t>
  </si>
  <si>
    <t>Títulos de deuda</t>
  </si>
  <si>
    <t>Bonos</t>
  </si>
  <si>
    <t>Proveedores</t>
  </si>
  <si>
    <t>Recursos de crédito interno</t>
  </si>
  <si>
    <t>Recursos de contratos de empréstitos internos</t>
  </si>
  <si>
    <t>Banca comercial</t>
  </si>
  <si>
    <t>Nación</t>
  </si>
  <si>
    <t>Banca de fomento</t>
  </si>
  <si>
    <t>006</t>
  </si>
  <si>
    <t>007</t>
  </si>
  <si>
    <t>Otras entidades no financieras</t>
  </si>
  <si>
    <t>Colocación y títulos TES</t>
  </si>
  <si>
    <t>Colocación y títulos TES clase B a corto plazo</t>
  </si>
  <si>
    <t>Colocación y títulos TES clase B a largo plazo</t>
  </si>
  <si>
    <t>Colocación y títulos TES clase A a corto plazo</t>
  </si>
  <si>
    <t>Colocación y títulos TES clase A a largo plazo</t>
  </si>
  <si>
    <t>Bonos y otros títulos emitidos</t>
  </si>
  <si>
    <t>Transferencias de capital</t>
  </si>
  <si>
    <t>Donaciones</t>
  </si>
  <si>
    <t>De gobiernos extranjeros</t>
  </si>
  <si>
    <t xml:space="preserve">No condicionadas a la adquisición de un activo </t>
  </si>
  <si>
    <t xml:space="preserve">Condicionadas a la adquisición de un activo </t>
  </si>
  <si>
    <t>De organizaciones internacionales</t>
  </si>
  <si>
    <t>Del sector privado</t>
  </si>
  <si>
    <t>Compensaciones de capital</t>
  </si>
  <si>
    <t>Resarcimiento por procesos de gestión fiscal</t>
  </si>
  <si>
    <t>Compensación por daños a la propiedad</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</si>
  <si>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</si>
  <si>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</si>
  <si>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</si>
  <si>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</si>
  <si>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</si>
  <si>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</si>
  <si>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</si>
  <si>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</si>
  <si>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Recuperación cuotas partes pensionales</t>
  </si>
  <si>
    <t>Recursos del balance</t>
  </si>
  <si>
    <t>Cancelación reservas</t>
  </si>
  <si>
    <t>Superávit fiscal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</si>
  <si>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</si>
  <si>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</si>
  <si>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</si>
  <si>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</si>
  <si>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</si>
  <si>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</si>
  <si>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</si>
  <si>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</si>
  <si>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</si>
  <si>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</si>
  <si>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</si>
  <si>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</si>
  <si>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</si>
  <si>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</si>
  <si>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</si>
  <si>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</si>
  <si>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</si>
  <si>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</si>
  <si>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</si>
  <si>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</si>
  <si>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</si>
  <si>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</si>
  <si>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</si>
  <si>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</si>
  <si>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</si>
  <si>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</si>
  <si>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</si>
  <si>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</si>
  <si>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</si>
  <si>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</si>
  <si>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</si>
  <si>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</si>
  <si>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</si>
  <si>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</si>
  <si>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</si>
  <si>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</si>
  <si>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</si>
  <si>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</si>
  <si>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</si>
  <si>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</si>
  <si>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</si>
  <si>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</si>
  <si>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</si>
  <si>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</si>
  <si>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</si>
  <si>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</si>
  <si>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</si>
  <si>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</si>
  <si>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</si>
  <si>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</si>
  <si>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</si>
  <si>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</si>
  <si>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</si>
  <si>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</si>
  <si>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</si>
  <si>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</si>
  <si>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</si>
  <si>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</si>
  <si>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</si>
  <si>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</si>
  <si>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</si>
  <si>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</si>
  <si>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</si>
  <si>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</si>
  <si>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</si>
  <si>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</si>
  <si>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</si>
  <si>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</si>
  <si>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</si>
  <si>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</si>
  <si>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</si>
  <si>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</si>
  <si>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</si>
  <si>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</si>
  <si>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</si>
  <si>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</si>
  <si>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</si>
  <si>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</si>
  <si>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</si>
  <si>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</si>
  <si>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</si>
  <si>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</si>
  <si>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</si>
  <si>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</si>
  <si>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</si>
  <si>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</si>
  <si>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</si>
  <si>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</si>
  <si>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</si>
  <si>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</si>
  <si>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</si>
  <si>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</si>
  <si>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</si>
  <si>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</si>
  <si>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</si>
  <si>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</si>
  <si>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</si>
  <si>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</si>
  <si>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</si>
  <si>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Reintegros y otros recursos no apropiados</t>
  </si>
  <si>
    <t>Reintegros</t>
  </si>
  <si>
    <t>Recursos no apropiados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</si>
  <si>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</si>
  <si>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</si>
  <si>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</si>
  <si>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</si>
  <si>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</si>
  <si>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 xml:space="preserve">Aportes de la Nacion para Servicio  a la Deuda </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</si>
  <si>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</si>
  <si>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</si>
  <si>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</si>
  <si>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</si>
  <si>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</si>
  <si>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</si>
  <si>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</si>
  <si>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</si>
  <si>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5</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</si>
  <si>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</si>
  <si>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</si>
  <si>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</si>
  <si>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</si>
  <si>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</si>
  <si>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</si>
  <si>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</si>
  <si>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 xml:space="preserve">PORCENTAJE DEL AVANCE DE COMPROMISOS % (Periodo Evaluado) </t>
  </si>
  <si>
    <t>PORCENTAJE DE AVANCE DE LOS RECURSOS OBLIGADOS  (AVANCE FINANCIERO)</t>
  </si>
  <si>
    <t>(19) PORCENTAJE DE AVANCE DE LOS RECURSOS OBLIGADOS  (AVANCE FINANCIERO) ((18/15)*100)</t>
  </si>
  <si>
    <t>REZAGO</t>
  </si>
  <si>
    <t>CONTRATO</t>
  </si>
  <si>
    <t>PERSONAL</t>
  </si>
  <si>
    <t>1153- EN EJECUCION</t>
  </si>
  <si>
    <t>true</t>
  </si>
  <si>
    <t>FUNCIONAMIENTO</t>
  </si>
  <si>
    <t>BIENES Y SERVICIOS</t>
  </si>
  <si>
    <t>1154- LIQUIDADO</t>
  </si>
  <si>
    <t>false</t>
  </si>
  <si>
    <t xml:space="preserve">TRANSFERENCIA </t>
  </si>
  <si>
    <t>1155- EN RESERVA</t>
  </si>
  <si>
    <t>1201- SALDO A FAVOR</t>
  </si>
  <si>
    <t xml:space="preserve">Se identificaron 19 alertas en los informes de las cuales se atendienron 16 </t>
  </si>
  <si>
    <t xml:space="preserve">
De los 210 expedientes priorizados en la vigencia 2022 se han realizado verificación en campo a 214 discriminados de la siguiente manera:
Mineras 72
No Mineras 30
Minera temporales 9
Se le han realizado visita en campo a 98 y 13 revisiones documentales.
Permiso de emisiones atmosféricas 38 a los cuales se les practico seguimiento.
Aprovechamiento forestal 50 se visitaron 32 y 18 documentales 
RCD 15 con seguimiento
Para un total de 214  
(Planes de manejo: Mineros 40, no minero 11 con seguimiento al 100%)
</t>
  </si>
  <si>
    <t>Se realizo la evaluacion tecnica y ambiental de la solicitud de modificacion excepcional del PBOT del municipio de Chiriguana.</t>
  </si>
  <si>
    <t>Se realizo seguimiento a los POT de los municipios de la Paz Manaure, San Diego,  Codazzi,  Pueblo Bello, El Copey Bosconia, El Paso, Astrea, curumani, La Jagua de Ibirico, Tamalameque, Pailita, Chiriguana, y Chimihcagua.</t>
  </si>
  <si>
    <t>Se avanza en la contratacion de la logistica para el cumplimiento de esta actividad</t>
  </si>
  <si>
    <t xml:space="preserve">Se llevaron a cabo en los meses de julio a septiembre visitas a las empresas forestales de transformacion y comercializacion identificadas en los municipios de La Paz, Bosconia, Agustin Codazzi, Valledupar  y  La Jagua de Ibirico, las cuales fueron consolidadas en la base de datos  con un total de 45 empresas forestales.
Asi mismo durante dichas visitas se realizo la socialiacion de la resolucion Nº 1971 de 2019 por la cual se establece el libro de operaciones en linea. Cabe mencionar que para el cumplimiento de la meta de la presente vigencia se realizarà el registro del libro de operaciones de las empresas forestales de manera fisica segun lo establecido en el decreto 1076 de 2015; dichas visitas se llevaran a cabo durante el mes de octubre para el cumplimiento de los registros pendientes; una vez la corporacion halla avanado en las actividades operacionales en la plataforma VITAL para el registro en linea se migrara la informacion obtenida de manera fisica y todas la solicitudes futuras se realizaran a traves del modulo del libro de operaciones en la plataforma vital.  </t>
  </si>
  <si>
    <t>Se realiza la pedagogia dentro del proceso de visitas para dar a conocer los requisitos necesarios para acceder al reconocimiento. En el mes de octubre a traves de las visitas programadas se socializarà los requisitos para que las empresas puedan acceder al otorgamiento de los esquemas de reconocimiento esto con el fin de promocionar las actividades en pro de la legalidad y aprovechamientos forestales sostenibles.</t>
  </si>
  <si>
    <t xml:space="preserve">Se realizaron 4 operativos los días 20 y 21 de mayo de 2022 en el puesto de Control Los Cauchos y en la vía Codazzi – Casacará, Municipio El Paso y Bosconia dando como resultado el decomiso de 136 m3 de maderas.
El 10 de julio se realizo en el corregimiento de guacoche municipio de valledupar se decomizando 10.204m3 de madera.
11 de agosto, se decomizaron 5m3 de caracoli enel municipio de San Alberto.
El dia  28 de septiembre se llevaron a cabo 2 operativosde movilizacion de productos forestales en inmediaciones de el peaje el copey  y el puesto de control los cauchos salida a  Bosconia.
</t>
  </si>
  <si>
    <t>Se realizó el control a 17  PUEAA de los 25 habilitados entre los cuales se encuentran Codazzi, Rio de oro, acueducto de san miguel, Pailitas, Tamalameque, Curumaní, San Diego, La Paz, EMPOSANAL, San Martin, Valledupar, El Paso, Pelaya, Gamarra, Chimichagua, Astrea, EMPOBOSCONIA.
Se realiza seguimiento a 151 concesiones hídricas superficiales y subterránea, permisos de exploración de agua subterránea, ocupaciones de cauce</t>
  </si>
  <si>
    <t>Se contrato el Plan de Medios mediante el cual  se realiza la promocion de la informacion de la entidad en medios radiales, audiovisuales, portal web y el servicio de un diseñador grafico y productor audiovisual para la elaboracion de post para redes sociales.</t>
  </si>
  <si>
    <t xml:space="preserve">Estan implementadas y funcionando las redes sociales de Facebook, Instagram y Twitter,  en las cuales se realizaron las publicaciones de 238  post sobre fechas ambientales, visitas tecnicas, liberaciones, campañas de trafico ilegal de animales y flora, educativas y eventos de la Corporación.
</t>
  </si>
  <si>
    <t>Se realizó seguimiento a los municipios de La Paz, El Paso, San Diego, Manaure, Agustín Codazzi, Becerril, Curumaní, Pailitas, Pelaya, Tamalameque, La Jagua de Ibirico, Bosconia, Rio de Oro, Chiriguana, San Alberto, San Martin, Gamarra, Aguachica, Valledupar, Gonzalez, Pueblo Bello, El Copey.</t>
  </si>
  <si>
    <t xml:space="preserve">Se practicaron todas las visitas semestrales de control y seguimiento en el segundo semestre se han visitado los municipios de Manaure, Tamalameque, Gamarra, Valledupar, San Diego, Aguachica, San Alberto, La Paz, San Martin, Chiriguana, Bosconia, Curumani, Los expedientes se encuentran en proceso de evaluación, González,  Pelaya, La Gloria, El Copey, Pailitas,  El Paso y Chimichagua no se incluyen en el cronograma de visitas porque se encuentran en tramites de ajuste o actualizacion </t>
  </si>
  <si>
    <t>La corporacion proyecta fortalece el control y seguimiento de los sitemas de tratamiento de agua residuales a traves de la caracterizaciones de aguas residuales que vierten a las fuentes hidricas en asocio con laboratorios acreditados ante IDEAM</t>
  </si>
  <si>
    <t xml:space="preserve">Se encuentra vigente el convenio CORPOCESAR- ORNIAT Aunar esfuerzos técnicos y económicos para la protección y conservación de la fauna silvestre del departamento del Cesar 19-7-0010-0-1-2020 el cual tiene una adición hasta el mes de diciembre 2022, del cual se ha ejecutado el 60% del proyecto CAVRFFS.
Se realiza la recepción, valoración, procesos de rehabilitación clínica veterinaria, biológica y reintroducción a su habita natural las especies silvestres objeto del tráfico ilegal, rescates, entrega voluntarias y decomisos de fauna silvestre en el departamento del Cesar. Mediante cooperación interadministrativa con otras CAR quienes por ubicación geográfica nos envían fauna silvestre para proceso de rehabilitación biológica y reintroducción a su habita natural.
</t>
  </si>
  <si>
    <t>Se declaro desierto el proceso según resolucion  463 del 13 septiembre 2022.
El proceso se encuentra ofertado en SECOOP</t>
  </si>
  <si>
    <t xml:space="preserve">
Se formuló y se encuentra en etapa de contratación para ejecutar en la cuenca Garupal Diluvio del municipio de Valledupar el proyecto con objeto: Realización de acciones para la implementación del Plan de Acción Regional de lucha contra la desertificación y sequía y manejo del Bosque seco tropical en las cuencas de los ríos Garupal y Diluvio municipio de Valledupar y el Copey Cesar, de acuerdo a los alcances y especificaciones técnicas contempladas por CORPOCESAR el cual contemplan 7 acciones PAR.</t>
  </si>
  <si>
    <t>Se activó el comité coordinador del convenio 19-7-0012-02019 de diciembre 18 de 2019, mediante acta del 15 de junio de 2022 entre UN y CORPOCESAR con el fin de generar espacios académicos.
1 y 19 de septiembre  2022 se trato sobre el proceso de desarrolar la ruta de declaratoria de un area protegida de la cuenca Tucuy Sororia den los municipios de la Jagua de Ibirico y Becerril a la espera de suscribir en convenio especifico.</t>
  </si>
  <si>
    <t xml:space="preserve">Se realizaron acciones mediante el contrato 19-6-0172-0-2021 suscrito con UT NATUR-VIDA ZAPATOZA:   Implementación de estrategias para la conservación, uso sostenible de la biodiversidad y restauración de los servicios ecosistémicos del Complejo Cenagoso de Zapatosa, en el municipio de Chimichagua, departamento del Cesar, donde se estan realizando las siguientes acciones:
1) Aislamiento de 250 hectareas de areas de importancias estrategicas para la restauracuin espontanea (pasiva)
2) Establesimiento de 120 hectareas de sistemas agroforestales
3) Aislamiento de 120 hectaras de sistemas agroforestales
4)Acciones de promocion socializacion y capacitacion comunitaria (a traves de la realizacion de 10 talleres y el diseño y reproduccion de material divulgativo)
</t>
  </si>
  <si>
    <t xml:space="preserve">Se han desarrollado reuniones con el Sistema Regional de Áreas Protegidas del Caribe Colombiano SIRAP CARIBE para gestionar la suscripción de un convenio con las universidades UNAD y UPC para el apoyo de acciones orientadas a la conservación de la biodiversidad y creación de sistemas locales de APR en el municipio de Valledupar y la conformación del portafolio de investigación en el departamento del Cesar.
30 de septiembre, Se acordo la formulacion de un proyecto para establecer la estructura ecologica principal del municipio de manaure en el marco del sistema local de areas protegidas SILAP Manaure.
Se desarrollo comite tecnico del SILAD Manaure donde se trato aspectos relacionados con el funcionamiento de este sistema.
</t>
  </si>
  <si>
    <t>Mediante 19-7-0016-0-2021 se realizan acciones en el páramo serranía del Perijá en el cual se han realizado aislamiento de áreas para conservación, áreas sembradas y siembra de árboles nativos y frailejones en zonas de alta montaña, subparamo y paramo. El proyecto tiene una ejecución del 95% 
Se contrato el proyecto fase II en la serrania del perija, estas acciones intervienen areas del PNR serrania de perija</t>
  </si>
  <si>
    <t>Fue formulado en alianza entre CORPOCESAR, MADS y WWF el Plan de Manejo de la reserva forestal protectora nacional cuenca alta de Caño Alonso de los municipios de Pelaya y la Gloria, el cual se encuentra en proceso de adopción por parte del MADS. (se desarrollan acciones en paramo perija I, Garupal Diluvio y parque natural besote)</t>
  </si>
  <si>
    <t xml:space="preserve">a) Se implementan acciones en la Ciénega de Zapatosa   mediante el contrato: Interventoría técnica, Administrativa, financiera, jurídica, y ambiental para la conservación, uso sostenible de la biodiversidad y restauración de los servicios ecosistémicos del complejo cenagoso de Zapatosa en el municipio de Chimichagua
b) Se encuentra recibido el documento final del PM de Ciénega del Cristo y Microcuenca Singagarè  y esta en proceso de adopcion por CORPOCESAR 
c) Se realizó jornada de limpieza en el humedal María Camila en el municipio de Valledupar
D) Destaponamiento y despalizada del caño denominado caño largo.
E) Actualizacion de la formulacion de los PM de los humedales de la cabecera del municipio de valledupar 
</t>
  </si>
  <si>
    <t>Se contrato la formulación del POMCA Rio Medio Cesar y se encuentra en proceso de contratacion de la interventoria.</t>
  </si>
  <si>
    <t xml:space="preserve">Se han realizado las siguientes acciones                                                            
A) Talleres teórico prácticos para el aprovechamiento del recurso hídrico.
B) Manejo de residuos sólidos y negocios verdes (rio Calenturitas y Chiriaimo Manaure)
C) Fortalecimiento de las organizaciones en el área de influencia.
D) Despalizada limpieza y recuperación del cauce del rio Caño Largo del municipio de Chimichagua, POMCA rio bajo Cesar Ciénega de Zapatosa
E)Se formulo el Plan de DRMI de zapatoza 
F) Estudio de Linnologia del agua  de la cienega Zapatoza
</t>
  </si>
  <si>
    <t xml:space="preserve">Se realiza seguimiento a los POMCA  de Rio bajo Cesar, Zapatoza, Guatapuri y  Calenturitas, acopiado la información de los municipios  y departamento de las acciones que se desarrollan en el proceso de la ejecución de los programas y proyectos establecidos en la fase 4 de los POMCAS adoptados. </t>
  </si>
  <si>
    <t xml:space="preserve">1) Se entrego los estudios previos  a la subdireccion administrativa y financiera para la contratacion de  la fase programática y consulta previa de la microcuenca del rio TOCAIMO. 
2) En proceso de adopcion  la microcuenca Singagarè y Ciénega del Cristo.
</t>
  </si>
  <si>
    <t xml:space="preserve">Se contrato la formulacion de PORH en el  Rio Pereira </t>
  </si>
  <si>
    <t xml:space="preserve">La oficina jurídica conceptuó y notifico mediante oficio OJ -0070 el estado del contrato Nº. 196-043--0-2016 por lo cual se adelantan los trámites pertinentes para adelantar el proceso de contratación de las TVD.  
Se  ejecuta contrato de optimizacion de los archivos institucionales mediante la reoprganizacion , elaboracion de un plan de fumigacion  y ejecucion y ladotacion del archivo rodante.  
TRD, fueron convalidadas por el AGN y adoptadas por la Corporación mediante Resolución No 0459 de septiembre 21 de 2021. 
</t>
  </si>
  <si>
    <t xml:space="preserve">Se realizo el acompañamiento a las aiditoria externa de la Contraloria general de la Republica  e IDEAM, se realizan las  auditorias internas establecidas en el Plan de Auditoria Vigencia 2022 el cual se desarrolla con el apoyo de 3 contratistas y 2 funcionarios. se doto la oficina con un computador de mesa y portatil.
</t>
  </si>
  <si>
    <t>Se realizo la entrega de las factura a los usuarios de la Tasa Retributiva periodo 2021 y  se encuentra en etapa de recaudo (7.000.000) 1,2% hasta el mes de agosto</t>
  </si>
  <si>
    <t xml:space="preserve">1. Contratación de profesionales de apoyo para el cobro persuasivo y seguimiento a los procesos financieros.
2.  cobro persuasivo a los deudores de la entidad por todos los conceptos. 
3. mesas de trabajo con los entes territoriales para realizar gestión de cobro persuasivo, 
Se realizó mesa de trabajo de intercambio de experiencias con CVC para el mejoramiento de los procesos de cobro.
4. Se contrato profesional para el acompañamiento del cobro persuacivo y coativo
</t>
  </si>
  <si>
    <t xml:space="preserve">Se han realizado reuniones de trabajo con las alcaldías de San Diego y La Paz para la construcción del Plan de Participación Ciudadana en la gestión pública.
Municipio de Valledupar se coordino  realizar capacitacion en Participación Ciudadana y Estado Abierto, Política y Plan de Acción de Participación ciudadana.
Se realizaron 2 reuniones de motivacion en participacion ciudadana con las 25 entidades territoriales del departamento
Acompañamiento del programa contraloria al barrio 
Acompañamiento de la secretaria de gobierno municipal (Recuperacion de espacio publico con la JAC)
Reunion de actores para la estrategia  SERC con la alcaldia de Valledupar
Reunion con la contraloria municipal y departamental 
Mesa de trabajo de participacion ciudadana en los municipios del Paso y Chiriguana
</t>
  </si>
  <si>
    <t xml:space="preserve">Se realizaron jornadas educativas presenciales y virtuales en las instituciones Educativas de los municipios de La Paz; ITECIPUMA, Pueblo Bello; Mogola Hernández y Valledupar. Oswaldo Quintana, Juan Mejía y Camilo Torres, en las que se trataron los temas de PRAES-BIODIVERSIDAD y huertas escolares.
4 Reuniones virtuales de motivacion con 16 instituciones eduacativas PRAES para la construcion de huertas escolares.
</t>
  </si>
  <si>
    <t xml:space="preserve">Se  coordino con la  Pastoral Social brindar apoyo educativo y operativo a los jóvenes bajo su tutela quienes serán orientados en la generación de ingresos mediante el modelo de negocio de reciclaje.
Se concerto con la empresade servicios  publicos de manaure para el apoyo a jovenes  en la transformacion de residuos solidos.
</t>
  </si>
  <si>
    <t>Se realizaron reuniones en marco del SIRAP Caribe para la revisión de convenios con la Universidad Nacional, Universidad Nacional Abierta y a Distancia y Universidad Popular del Cesar, con esta última se realizará monitoreo ecológico del ecosistema de la serranía del Perijá.
Se definio realizar acciones en el municipio de manaure para la definicion de la estructura ecologica del municipio.</t>
  </si>
  <si>
    <t xml:space="preserve">Estado de los siguientes PEAM:
Municipio de González terminado y la Jagua de Ibirico se encuentra en revisión para su aprobación y se presta asesoría al municipio de Rio de Oro y pelaya
</t>
  </si>
  <si>
    <t>Se brindó apoyo a empresas, asociaciones y gremios en el enfoque del manejo de residuos sólidos: Recicladores VISION, docentes del área rural del municipio de San Diego, RECICLAJAGUA, APSEFACOM, EMDUPAR, ASOREBOS, Asociación de Recicladores de Aguachica, JAC Alta Montaña, MREC, CREC, mesa tecnica COTSA, JAC María Camila, SDEMAT, Comando Policía Valledupar, recicladores González y recicladores SHADDAI. 
Además, se realizó revisión de los PGIR de los municipios de Agustín Codazzi, Manaure, Becerril, La Gloria, Pailitas, Tamalameque, Pelaya, Bosconia, La Paz y Valledupa
EL 29 de septiembre se realizo reunion de motivacion con los recicladores de aguachica</t>
  </si>
  <si>
    <t xml:space="preserve">Como actividad de fortalecimiento se realiza intercambio de experiencias entre instituciones educativas entre las cuales participan en el  proceso   CREACI, COTEC ITECIPUMA, Juan Mejía Gómez, Camilo Torres, Oswaldo Quintana, CDR,  San Juan Bosco, San Antonio Manaure.
Los PRAES se encuentran en proceso de revisión y sistematización.
</t>
  </si>
  <si>
    <t xml:space="preserve">Se apoya los PEAM de Gonzalez pelaya, rio de oro y La Jagua de Ibirico, PREAES y PRAUS
</t>
  </si>
  <si>
    <t>En la implementación de estrategias para la disminución de conflictos en el complejo cenagoso de Zapatosa se realizaron reuniones con DRMI PM CCZ, MESA CI CCZ, ASOPROCOGERZA y Fundación MANATI, con las alcadias municipales de Chimichagua, Tamalameque, Curumaní, Chiriguana  y Pailitas, con lo cual se mantiene el CIDEA activo.</t>
  </si>
  <si>
    <t xml:space="preserve">Se realizaron jornadas educativas con enfoque diferencial étnico y de género en las siguientes comunidades:
- Reunión con la Etnia Arhuaca del municipio de Pueblo Bello
- Capacitacion al Consejo Comunitario José Prudencio Padilla del Corregimiento Badillo, Consejo comunitario Astilla, Cardón y Tuna de Guacochito, Consejo Comunitario Graciliano Francisco Guillen Sierra del corregimiento del Alto de la Vuelta, Consejo Comunitario Carlota Rondón de Álvarez y s visitaron los sitios sagrados del Corregimiento de Badillo y reunión con mujeres cabeza de hogar recicladoras del corregimiento de Badillo y guacochito  municipio de Valledupar. 
- Reunion para  la coordinacion del consejo comunitario para los encuentros de saberes 
Guacochito, Alto de la Vuelta, Badillo y el Perro
- Mesas de trabajo con la etnia yukpa  para la atencion de conflictos socios ambientales 
</t>
  </si>
  <si>
    <t xml:space="preserve">Se formularon dos proyectos con estudios previos con los siguientes objetos: 
Proyecto 1: IMPLEMENTACIÓN DE ESTRATEGIAS DE MANEJO AMBIENTAL EN COMUNIDADES DEL RESGUARDO INDÍGENA ITTI TAKKE DE LA ETNIA ETTE ENNAKA EN EL MUNICIPIO DE EL COPEY INCORPORANDO LA COSMOVISIÓN DE LOS PUEBLOS INDÍGENAS Y EL ENFOQUE DIFERENCIAL.
Proyecto 2: ADELANTAR ACCIONES QUE CONTRIBUYAN A DISMINUIR LA PRESIÓN SOBRE LA FAUNA NATURAL (AVES, REPTILES, MAMÍFEROS, ICTIOFAUNA ENTRE OTROS) EN LOS RESGUARDOS DEL PUEBLO YUKPA: RESGUARDO CAÑO PADILLA Y RESGUARDO ROSARIO BELLAVISTA YUKATAN EN EL MUNICIPIO DE LA PAZ Y RESGUARDO MENKUE-MISASYA–LA PISTA EN EL MUNICIPIO AGUSTÍN CODAZZI EN EL DEPARTAMENTO DEL CESAR.
De este se espera la firma de solicitud de DCP. Con la implementación de este último se avanza en el cumplimiento del acuerdo 15 del POMCA Río Magiriaimo.
Ambos proyectos se encuentran en SGAGA y oficina de Contratación adelantando el proceso pertinente en su etapa contractual. </t>
  </si>
  <si>
    <t>En proceso de formulación de proyecto con estudios previos con objeto:
RECUPERACIÓN AMBIENTAL DE LA LAGUNA DE LOS INDIOS, MEDIANTE LA EXTRACCION DE MATERIAL VEGETAL INVASOR (ENEA), FLOTANTE Y ÁRBOLES CAÍDOS DEL CUERPO DE AGUA UBICADA EN EL CORREGIMIENTO DE LA BODEGA MUNICIPIO DE LA PAZ  RESGUARDO INDIGENA YUKPA EL ROSARIO-BELLAVISTA-YUKATAN DEPARTAMENTO DEL CESAR. 
Con la implementación de este se avanzaría con el cumplimiento de los acuerdos de POMCAS Río Magiriainmo (Acuerdo 18) y POMCA Río Chiriaimo Manaure (Acuerdo 9 y acuerdo 13).</t>
  </si>
  <si>
    <t>La gestión desarrollada en relación con el POMCA Río Guatapurí: se ha avanzado en la formulación del MEC – Mecanismos de Coordinación. La operación de este depende tanto de funcionarios de Corpocesar como de las autoridades indígenas. A la fecha se está concertando con las autoridades una fecha para reunir a los integrantes del MEC para determinar la ruta de trabajo a seguir en lo que resta del año y en 2023, ya que en este caso se depende de los tiempos de las autoridades indígenas.
La gestión desarrollada en relación con el POMCA Cuenca Río Calenturitas: Actualmente se está gestionando con el pueblo Yukpa, resguardo Sokorpa para orientar parte de la inversión del 1% de Drummond Ltd a soluciones de saneamiento básico comunitario, particularmente a nivel de instituciones educativas, sobre lo cual se espera respuesta formal de las autoridades del resguardo, las cuales fueron informadas oficialmente de la posibilidad de implementar este proyecto. 
En cumplimiento de acuerdos 11 y 15 de este POMCA también se ha desarrollado gestión con los consejos comunitarios COAFROVIS Y CCJCAM para definir la viabilidad ambiental y social para implementar el proyecto 3299.05.02 por medio de recursos del PAI. Al respecto y con el objeto de poder avanzar en la formulación del proyecto se solicitó concepto jurídico a la oficina de esta competencia en Corpocesar para determinar la viabilidad legal de la implementación del proyecto ante el hecho de que los consejos comunitarios no cuentas con predios/terrenos colectivos y se está buscando una alternativa que permita la ejecución del proyecto en estas comunidades.
En gestión del POMCAS Río Bajo Cesar, se está adelantando la misma gestión anterior con los consejos comunitarios CONESICE (acuerdo 11) y CCJCAM (acuerdo 07). 
De otra parte, se ha avanzado en la activiad de consolidar y depurar las matrices de acuerdos trabajados por funcionarios contratista en el año anterior, ya que se venía dando el caso que estas contenían información desactualizada que no contenía los resultados de los seguimientos ya realizados. En este mes se adelnató la gestión con cada Coordinador y dependencias de la entidad para recopilar información de las activiades desarrolladas que apunten al cumplimiento de acuerdos establecidos, de este proceso solo se ha tenido respuesta de la Coordinación para la Gestión del Riesgo de Desastre, Monitoreo de la Oferta Hídrica y Gestión Ambiental Urbana, Coordinación para la Gestión de Educación Ambiental y Participación ciudadana y Coordinación de Gestión Laborario Ambiental.</t>
  </si>
  <si>
    <t xml:space="preserve">Se han realizado Tres reunión con las autoridades y comunidad del resguardo Menkue en el municipio de Agustín Codazzi, con el acompañamiento de la oficina de prevención del riesgo y del cuerpo de bomberos del municipio, con el objeto de socializar la estrategia de brigadistas o vigias ambientales para la vigilancia y el control sobre el uso y aprovechamiento de los recursos naturales enfocado a la prevención de incendios forestales como medida de gestión del cambio climático ya identificada y priorizada por la comunidad indígena ante las afectaciones que periodicamente sufre su territorio por la propagación de incendios forestales incontrolable por su magnitud y dificil acceso a las zonas de ocurrencias. Se realizó una reunión para los presidentes de las juntas de acción comunal y autoridades indígenas, para lograr conceso entorno a esta estrategia luego de lo cual en una tercera reunión con la participación de los representantes indígenas y campesinos se espera lograr una estructura organizativa y reglamento para la implementación de la estrategia, para la cual se pretende suscribir contrato o convenio para desarrollar una primera fase que incluiria el fortalecimiento para la organización comunitaria, capacitación ambiental y actividades de vigilancia con apoyo logístico. Para esta actividad se cuenta con el apoyo de la coordinación de Gestión del Riesgo de la entidad, Se pretende con esta actividad cumplir además compromiso institucional establecido en el PIRC  de la comunidad del resguardo Mankue. Con apoyo del GIT de POMCAS se desarrolló una reunión con las juntas de acción comunal, y esperamos el acompañamiento del GIT para la gestion del riesgo y GIT para la participación y educación ambiental, para poder imprimirle dinamismo al proceso y lograr una adecuada operatividad en la implementación en lo que resta del año. Con el desarrollo de estos talleres se avanza en el cumplimiento de Acuerdo del POMCA Río Magiriaimo (Acuerdo 10) y del POMCA Río Chiriaimo Manaure (Acuerdo 5). </t>
  </si>
  <si>
    <t xml:space="preserve">Se formulo proyecto con estudios previos con objeto: Implementación de un sistema de abastecimiento de agua como estrategia de manejo ambiental en la comunidad del resguardo indígena Itti Takke de la etnia Ette Ennaka en el Municipio de El Copey incorporando la cosmovisión de los pueblos indígenas y el enfoque diferencial. Este proyecto se encuentra en proceso de solicitud de programa y proyecto en la Subdirección de Planeación. </t>
  </si>
  <si>
    <t xml:space="preserve">Se ha desarrollado gestión a través de reuniones y visitas de campo con los consejos comunitarios COAFROVIS de la Victoria San Isidro, CCJCAM (consejo comunitario Julio Cesar Altamar Muñoz) de La Loma y CONESICE de Chiriguaná para implementar esta actividad con recursos del PAI 2022. al respecto y con el objeto de poder avanzar en la formulación del proyecto se solicitó concepto jurídico a la oficina de competencia de Corpocesar para determinar la viabilidad legal de la implementación de un proyecto de unidades agroforestales ante el hecho de que los consejos comunitarios no cuentan con terrenos colectivos, y se está buscando la alternativa que permita la ejecución de este proyecto. La implementación de esta actividad es urgente porque se apuntaría al cumplimiento de acuerdos protocolizados en los POMCAS de ríos Calenturitas y Bajo Cesar. Actualmente se estan adelantando estudios previos con objeto: : “Implementación de estrategias de manejo ambiental con los Consejos Comunitarios: Comunidades negras Julio Cesar Altamar Muñoz, CCJCAM, del municipio El Paso; Comunidades negras de La Sierra, El Cruce y La Estación, CONESICE, del municipio Chiriguaná; Comunidades negras de la victoria de San Isidro, COAFROVIS, del municipio de La Jagua Ibírico, en el departamento del Cesar”. </t>
  </si>
  <si>
    <t>Se establecerá contacto con IDEAM para reiniciar el apoyo a la generación de un sistema de detecciones tempranas de cambios en ecosistemas estratégicos. Estas acciones permiten visualizar por medio de los boletines las áreas y núcleos de deforestación en la Corporación, así como hacer un seguimiento más eficiente al proceso de deforestación que se tiene en Corpocesar.  
Se preeve contratar a un profesional para la realizacion de analisis cartograficos que permitan evaluar el comportamiento de las detenciones tempranas de cambio de coberturas.</t>
  </si>
  <si>
    <t xml:space="preserve">Se adelantan visitas para el registro en el libro de operaciones
El salvoconducto se encuentra activo para el registro de aprovechamiento forestal.
En el primer semestre el MADS realizo el lanzamiento del libro de operaciones en línea en la plataforma VITAL por lo cual la inscripción es en línea, para tal fin se socializa la nueva metodología a las empresas forestales de la región.
</t>
  </si>
  <si>
    <t xml:space="preserve">A) Implementación de estrategias para la conservación, uso sostenible de la biodiversidad y restauración de los servicios ecosistémicos del complejo cenagoso de Zapatosa, en los municipios de Tamalameque, Curumaní y Chiriguaná departamento del Cesar 
 B)Implementación de acciones de restauración con guadua y otras especies nativas en áreas priorizadas de la jurisdicción de Corpocesar,
departamento del Cesar.                                                                             
C) Implementación de acciones de restauración en áreas de interés estratégico en la serranía del Perijá en el departamento del Cesar fase </t>
  </si>
  <si>
    <t xml:space="preserve">Reunion con la alcaldia de Valedupar  y El Pilon en marco de la reunion de la mesa del arbol donde se reviso el Plan de Accion  del  municipio de Valledupar  relacionado  en temas ambientales,  Reuniones con Ejercito Nacional con el cual se realizaron jornadas de reforestacion.
Se  realizo actividad de reforestacion con BANAGRARIO  denominada Siembra un arbol donde se rembraron 5000 plantulas </t>
  </si>
  <si>
    <t xml:space="preserve">Se recibió comunicación por parte de ASOCAR para revisar y hacer recomendaciones al documento de actualizacion de la Politica de Gestion Ambiental Urbana 2021 - 2030 sobre el cual la corporacion realizo las recomendaciones pertinentes. </t>
  </si>
  <si>
    <t xml:space="preserve">Se desarrollaron las siguientes actividades de campo, destinadas a la evaluación del daño ambiental y necesidades ambientales (EDANA):
• En el municipio de Agustín Codazzi (veredas La Duda, Milagro bajo, en la cuenca del río Magiriaimo y en las veredas La Iberia y Guaraní en la cuenca del río Sicarare), del 01 al 03 de marzo de 2022, zonas afectadas por incendios de la cobertura vegetal
• En el municipio de El Copey (veredas Betania, Ley de Dios, Las Cumbres, La Paila), y en el municipio de Valledupar (vereda La Guitarra), del 08 al 10 de marzo de 2022, zonas afectadas por incendios de la cobertura vegetal 
• En el municipio de Valledupar, en la zona urbana de Valledupar en el cerro La Popa (01 de abril de 2022)y en los corregimientos de Mariangola y Aguas Blancas (02 de abril de 2022), zonas afectadas por incendios de la cobertura vegetal 
Estas acciones hacen parte de la metodología EDANA-C, la cual deberá ser aplicada para cada uno de los eventos en mención. La metodología ya fue expedida por el MADS y puede aplicarse, se encuentra en fase de ajuste para la incorporación de aspectos de costos sociales y económico en eventos desastrosos de origen natural segun informacion del MADS.
</t>
  </si>
  <si>
    <t>La corporacion cuenta con el software ArcGIS con el cual se facilita la implementacion de la metodologia.
Se  espera se ejecute el proyecto: Realización de acciones para la implementación del Plan de Acción Regional de lucha contra la desertificación y sequía y manejo del Bosque seco  tropical en las cuencas de los ríos Garupal y Diluvio municipio de Valledupar y el Copey  Cesar, algunas de las acciones de este proyecto están orientadas a ejecutar las observaciones derivadas de la EDANA- C en las cuencas mencionadas en las cuales se aplicó las metodología por acción de incendios en la cobertura vegetal</t>
  </si>
  <si>
    <t xml:space="preserve">Se elaboró el estudio previo para contratación de la actualización del mapa de riesgo y el plan de prevención, mitigación y atención de contingencia por la ocurrencia de incendios de la cobertura vegetal. 
El cual fue entragado a la subdireccion de Gestion ambiental y planeacion para su contratacion </t>
  </si>
  <si>
    <t xml:space="preserve">A) Se participó en el taller / reunión desarrollada en la vereda La Iberia, jurisdicción del municipio de Agustín Codazzi, el día 05 de febrero de 2022, para establecer estrategias de prevención de incendios, liderada por Extractora y Palmas Sicarare S.A.S
B) Se participó, en una jornada de divulgación e intercambio con la comunidad Yukpa del resguardo de Sokorpa, el día 05 de abril de 2022, en la cual se abordó el tema de organización para la prevención y atención, de manera comunitaria, de incendios de la cobertura vegetal. 
C) Se desarrolló del 23 al 25 de marzo de 2022, la actividad de recorrido de inspección al cauce del río Maracas en el sector agua arriba del proyecto minero Calenturitas, como acompañamiento a la Autoridad Nacional de Licencias Ambientales, en atención a una queja presentada relacionada con el desvío del río Maracas por la apertura del proyecto minero en citas.       
D) Se desarrolló taller para la presentación de 11 estrategias comunitarias para la atención y prevención de incendios de la cobertura vegetal en la comunidad indígena Yukpa en el resguardo Menkue (serrania del perija, municipio de agustin codazzi) y la comunidad aledaña de campesinos, las estrategias en cuestión se tomaron de la experiencia sobre brigadistas forestales en las cuencas de los ríos Garupal diluvio. 
</t>
  </si>
  <si>
    <t xml:space="preserve">La evaluación preliminar de las dos medidas ejecutadas, indica que es necesario dar continuidad a la misma debido a que el fortalecimiento de las organizaciones comunitarias no es algo que se logre en un solo momento y se requiere del compromiso de la comunidad y la entidad.
Para el caso del resguardo Menkue, se realizó una segunda reunión el 7 de junio en la cual participo en municipio de agustin codazi y lideres de la comunidad de campesinos y Yukpa  en la cual se reitero la serie de 11 estrategias comunitarias para la atención y prevención de incendios de la cobertura vegetal, se evidencio que el fortalecimiento comunitario es un proceso continuo en el que la entidad debe apoyar.
El informe del recorrido al río Maracas se entregó a la subdirección de gestión ambiental
</t>
  </si>
  <si>
    <t>Se desarrolló el inventario de 50 puntos de manifestación de aguas subterráneas en el municipio de La Jagua de Ibirico y 31 puntos de manifestación de agua subterránea en el municipio de Chiriguana para un total de 81 puntos inventariados.
Del 10 a 14 de mayo de 2022 se desarrolló la actividad de reconocimiento en campo de los puntos en que se ha proyectado en la red de monitoreo de aguas subterráneas en el sistema acuífero Cesar en territorio de las cuencas de los ríos Sicarare y San Antonio, esta labor sirvió de acompañamiento y orientación a Drumond Emergí Inc. para que la misma de cumplimiento a la obligación de inversión del 1% del valor del proyecto que ejecuta en las cuencas en mención.
Además, se visitaron 20 sectores en los que se estableció la tenencia de la tierra o predio con el fin de que la compañía tomara nota para las negociaciones posteriores y se midió el nivel de agua subterránea monitoreo del nivel en los predios en que se tiene pozo profundo o aljibe para tener una referencia indicativa.
13 al 16 de julio en los municipios de chiriguana, la jagua de ibirico y el paso se realizo actualizacion de inventario  de 16 puntos de  aguas subterranea  y se continuo con el establecimiento de la tenencia de la tierra en sectores en que la corporacion se propone formular el complemento del proyecto de la red de monitoreo de aguas subterraneas.
Del 29 de agosto al 3 de septiembre se realizo la actualizacion de inventarios de aguas subterraneas en los municipios de Chiriguana y el Paso donde se inventariaron 57 puntos de aguas subterraneas.
26 de septiembre en reunion con la empresa Drummond LTDA se trato el cumplimiento de metas de inversion del 1%  del proyecto minero e invertira los recursos en la construcion de la red de monitoreo en algunos de los sectores de los municipio de la Jagua de ibirico, Becerril  y el Paso</t>
  </si>
  <si>
    <t>Se realizó monitoreo a 81 puntos de manifestación de aguas subterráneas en el municipio de La Jagua de Ibirico 50 y Chiriguana 31     
                                                                                                                                                                          Además, se desarrolló la actividad consistente en el desarrollo, del 10 a 14 de mayo de 2022, del reconocimiento en campo de los puntos en que se ha proyectado la red de monitoreo de aguas subterráneas en el sistema acuífero Cesar en territorio de las cuencas de los ríos Sicarare y San Antonio. Esta labor sirvió de acompañamiento y orientación a la compañía Drumond Emergí Inc. para que la misma de cumplimiento a la obligación de inversión del 1% del valor del proyecto que ejecuta en las cuencas en mención. 
Se visitaron 20 puntos en que se estableció la tenencia de la tierra o predio, con el fin de que la compañía tomara nota para las negociaciones posteriores. Se midió el nivel de agua subterránea (monitoreo del niel) en los predios en que se tiene pozo profundo o aljibe, para tener una referencia indicativa. 
Del 22 a 25 de junio se desarrolló una jornada de monitoreo de aguas superficiales en los ríos Badillo,  Manaure,  Garupal Chiriaimo, Magiriamo casacara, sicarare, maracas soconga, tucuy, sororia, las animas, ariguanisito y ariguani, no fue posible aforar el rio cesar debido a que presentaba una profunda lámina de agua, en general en esta actividad se aforo el caudal liquido de las corrientes mencionadas mediante el uso de molinetes en los puntos con los que la corporación ha conformado una red hidrométrica que sirve de base para el conocimiento de la oferta hídrica en el departamento del cesar.
Del 12 al 17 septiemmbre se realizo monitoreo de la oferta hidrica superficial en los rios manaure, chiriaimo, magiriaimo, sicarare, Socomba, Tucuy Sororia, Calenturitas, Garupal, Ariguanisito y Ariguani, la informacion recolectada esta en proceso para actualizar la red de metereologica.</t>
  </si>
  <si>
    <t xml:space="preserve">Esta meta se cumplio en el año 2021  segun lo establecido en el PAI 2020-2023 con la ejecucion del proyecto en el corregimiento de guacoche municipio de Valledupar
De acuerdo a la informacion suministrada por la SGAGA se contrato en el segundo semestre de 2022 la IMPLEMENTACIÓN DE MEDIDAS ESTRUCTURALES Y NO ESTRUCTURALES PARA EL CONTROL DE LA EROSIÓN E INUNDACIÓN EN LA CORRIENTE SUPERFICIAL ANIME EN LOS MUNICIPIOS DE CHIRIGUANÁ Y CURUMANÍ DEPARTAMENTO DEL CESAR FASE II a la fecha tiene una ejecucion fisica de 1,02% </t>
  </si>
  <si>
    <t>A) Implementación de estrategias para la conservación, uso sostenible de la biodiversidad y restauración de los servicios ecosistémicos del complejo cenagoso de Zapatosa, en los municipios de Tamalameque, Curumaní y Chiriguaná departamento del Cesar 
 B)Implementación de acciones de restauración con guadua y
otras especies nativas en áreas priorizadas de la jurisdicción de Corpocesar,
departamento del Cesar.           
 C) Implementación de acciones de restauración en áreas de interés estratégico en la serranía del Perijá en el departamento del Cesar fase I y II</t>
  </si>
  <si>
    <t xml:space="preserve">Plan de Capacitación: 53% 
Se realizaron 11 capacitaciones de 30 programadas entre las cuales se realizaron 
- Jornada de inducción en la cual se realizaron 6 capacitaciones,
- Rendición de cuenta
- Sistema integrado de gestión
- Actualización tributaria sector público 
- Retención en la fuente
- Sistema de Gestión
-  PQR
Plan de bienestar 57%
Se realizaron 13 actividades de 23 programadas
Día de la mujer, día del hombre, trivia, riesgo cardiaco y vascular, entre otras actividades incluidas en el Plan de Bienestar Social. 
</t>
  </si>
  <si>
    <t xml:space="preserve">A) Se realizaron los estudios previos de PCT y SIAN, los cuales ya se tiene el contrato activo y se les ha cancelado el primer pago, una vez se ha diligenciado el acta de inicio. 
B) La Seguridad de la Información gestionada por Movistar se encuentra activa. 
C) Las impresoras ya se encuentran contratadas y se  adquirio  el software  gestor de bases de datos  de Oracle y se está tramitando el pago del servicio para iniciar la implementación en un servidor. 
D) Además, se han adquirido dos WorkStation para la puesta en productivo de ArcGIS y se está realizando el estudio previo para la adquisición de un servidor físico tipo Rack para alojar la infraestructura de ArcGIS.
</t>
  </si>
  <si>
    <t>La actualizacion e implementacion se ejecuto en el 2022 mediante contrato 19-6-0179-0-2022</t>
  </si>
  <si>
    <t xml:space="preserve"> Se formulo se encuentra en proceso precontratual el proyecto de PSA en áreas de interés estratégico en la Serranía del Perijá en coordinación con las comunidades beneficiarias</t>
  </si>
  <si>
    <t>Se adjudico contrato mediante el cual se cumplira la meta:  DIAGNÓSTICO SOBRE ECONOMÍA CIRCULAR HACIA UNA PRODUCCIÓN Y CONSUMO SOSTENIBLE PARA LA CONSERVACIÓN DE LOS RECURSOS NATURALES, TENDIENTE A UNA GESTIÓN AMBIENTAL EN RESIDUOS PROVENIENTES DEL SECTOR TURISMO URBANO Y BIOCOMERCIO DE LA CIUDAD DE VALLEDUPAR – CESAR.</t>
  </si>
  <si>
    <t xml:space="preserve">Se realizaron capacitaciónes a IPS, EDS, empresas de hidrocarburos para el diligenciamiento y reporte del Registro RESPEL en la plataforma del IDEAM
</t>
  </si>
  <si>
    <t xml:space="preserve">Se contrato un profesional de apoyo y se ha recibido capacitacion en VITAL, SILAM Y SUIT por parte del MADS 
Capacitaciones a Oficina Juridica, GIT PML, RESPEL y COP, GIT Seguimiento Ambiental reporte de informacion de certificacion en materia de emisiones contaminantes en VITAL </t>
  </si>
  <si>
    <t xml:space="preserve">Se tiene activo el proceso de salvoconducto y se está en proceso de implementación de quejas y denuncias ambientales por medio del aplicativo VITAL, LOFL Libro de Operaciones Forestales en Linea y SUIT
Se racionalizaron los tramites ambientales de Consecion agua subterraneas, licencia ambiental, agua superficiales, permiso de vertimiento, emision atmofericas, registo en libro de operaciones, prospecion de agua subterranea y aprovechamiento forestal aislados, domestico, persistente y unico.
</t>
  </si>
  <si>
    <t xml:space="preserve">A) La Ventanilla única presencial se encuentra funcionando normalmente. 
Se estableció la recepción de solicitudes a la corporación en un solo canal de mensajería electrónica, atencionalciudadano@corpocesar.gov.co
B) Proceso VITAL, se encuentra en ajustado en fase de prueba de los tramites y procedimientos ambientales de Concesión de Recursos Hídrico Subterráneo, Registro RESPEL, registo en libro de operaciones,  y provechamiento forestal aislados, domestico, persistente y unico, emision atmofericas contaminates, con el fin de iniciar la implementación de los procesos en VITAL 
</t>
  </si>
  <si>
    <t xml:space="preserve">Se cuenta con un plan desde el año 2018 mediante el cual se implementan estrategias y actividades 
Se realizo la construccion del componente tecnico del Programa de Reducción de la Contaminación del Aire-PRCA el cual se encuentra radicadomediante el oficio SGAGA-CGIT.LABA -0-2-0433 de 15  de septiembre de  2022 se dio traslado a la oficina juridica  el programa para su la revision juridica y complemento del documento
</t>
  </si>
  <si>
    <t>Se realiza el monitoreo al área fuente con equipos fijos.</t>
  </si>
  <si>
    <t>La información de calidad del aire está cargada hasta el mes de junio de 2022</t>
  </si>
  <si>
    <t xml:space="preserve">
Se envió el proyecto a la ANH para la dotación de reactivos y contratación de recurso humano la cual accedio a la solicitud.
Se envio el plan de mejoramiento al  IDEAM de las observaiones realizadas  para la  acreditación del laboratorio ambiental.
A traves del contrato co K2 se realiza dotacion y  suministro al laboratorio
</t>
  </si>
  <si>
    <t>Se adelantó gestión con CARDIQUE para adoptar estrategias de venta de servicios a terceros y cobrar los acompañamientos que se realicen en el marco de los seguimientos ambientales, así como, para cobrar en el marco de un proceso sancionatorio los servicios del LABA.
- Se formulo proyecto para la venta de servicios del LABA</t>
  </si>
  <si>
    <t xml:space="preserve">Los equipos se encuentran calibrados y mantenidos
Se contrato la dotacion y/o sumisntro de equipos </t>
  </si>
  <si>
    <t>En proceso de adopcion de la  Ronda Hidrica  río Guatapuri</t>
  </si>
  <si>
    <t xml:space="preserve">1. Se ejecuta convenio interadministrativo 03-2022, con ALIANZA COLOMBIANA DE INSTITUCIONES PUBLICAS DE EDUCACION SUPERIOR RED SUMMA, cuyo objeto es “AUNAR ESFUERZOS TÉCNICOS, ADMINISTRATIVOS Y FINANCIEROS PARA LA IMPLEMENTACIÓN DE UNA ESTRATEGIA PEDAGÓGICA DE CONCIENCIA AMBIENTAL y FORTALECIMIENTO A LA GESTIÓN INTEGRAL DEL RIESGO AMBIENTAL Y CLIMÁTICO COMO APOYO A LOS PORH EN ÁREAS RURALES DE LOS MUNICIPIOS DE LA JAGUA DE IBIRICO, SAN DIEGO, LA PAZ Y EL PASO – CESAR”
2 Se ejecuta contrato, cuyo objeto es “IMPLEMENTACION DE ACCIONES DE RESTAURACION CON GUADUA Y OTRAS ESPECIES NATIVAS EN AREAS PRIORIZADAS DE LA JURISDICCION DE CORPOCESAR, DEPARTAMENTO DEL CESAR.”
3. Se encuentra en etapa de Formulación del Plan de Manejo del Distrito Regional de Manejo Integrado DRMI Complejo Cenagoso de Zapatosa CCZ
4.Se adelanta contrato, cuyo objeto es la “IMPLEMENTACIÓN DE ACCIONES DE RESTAURACIÓN EN LA MICROCUENCA DEL RÍO CHISKUINDJA EN EL RESGUARDO INDÍGENA KANKUAMO EN EL MUNICIPIO DE VALLEDUPAR.”
5.Se ejecuta Convenio de Asociación N° 016 -2021, cuyo objeto es “IMPLEMENTACION DE ACCIONES DE RESTAURACIÓN EN ÁREAS DE INTERÉS ESTRATEGICO EN LA SERRANIA DEL PERIJA EN EL DEPARTAMENTO DEL CESAR FASE I”
</t>
  </si>
  <si>
    <t>Se ha participado activamente en los encuentros del NORECCI (Nodo Regional de Cambio Climático Caribe e Insular). Durante los días 8 y 9 de marzo de 2022, se participó en el PRIMER ENCUENTRO DEL NORECCI DEL AÑO 2022, desarrollado en la ciudad de Barranquilla, en él se realizaron presentaciones sobre los avances de procesos e iniciativas de gran importancia en el país y la región, y se llevó a cabo el Taller de perfil sectorial para el PIGCCSD.
Así mismo, se partició en reunión el 5 de julio de 2022, desarrollada en la ciudad de Barranquilla, cuyo objeto fue la revisión y validación del Plan de Acción 2022 -2026 del Nodo Regional de Cambio Climático Caribe e Insular.</t>
  </si>
  <si>
    <t xml:space="preserve">Se realizó control y seguimiento a 38 fuentes fijas de emisión de 38 con expedientes sujetos a seguimiento.
La coordinación GIT del Laboratorio Ambiental gestiono capacitaciones relacionadas con seguimiento y evaluación de estudios isocinéticos a permisos de emisiones atmosféricas e inventarios de fuentes fijas.
</t>
  </si>
  <si>
    <t>Se  identificaron 11 negocios verdes  en el desarrollo de la rueda de negocios y feria empresarial realizada el dia 3 de junio en el municipio de Aguachica. 
Se verificaron 9:
Hoteles de Upar SAS (Sonesta Hotel Valledupar)
La Mellita
Vinos Kike
Delitcha
Fundación Mentes Brillantes Para El Mundo
Numa Movimientos S.A.S
Reaces SAS
Asociación Manos Creando
La Pecuaria</t>
  </si>
  <si>
    <t>Se realizó visita a los municipios de Agustín Codazzi, Aguachica, Bosconia y Valledupar  con el fin de asesorarlos en la recolección de la información que deben suministrar para el cálculo del ICAU/PGAU. 
De los cuales han respondido parcialmente los municipios de Aguachica, Bosconia, la alcaldia de Valledupar acordo enviar la informacion en el mes de noviembre 2022</t>
  </si>
  <si>
    <t xml:space="preserve">Se brindó apoyo logístico en la participación de la feria de negocios verdes a través del convenio 19-7-0001-0-2022 del 26 de enero de 2022. 
Los negocios beneficiados son: VIDECO, COONSERVAR, Boquerón Recicla, Fundación la victoria Recicla, INGEQUILIBRIO, Fundación Turri es, Caribe más limpio, Orozul, CORRENACER, Tienda Cala, Paisaje Verde y ASOGEMED.
</t>
  </si>
  <si>
    <t>Se participó de la Mesa de economia Circular realizada en el primer trimestre de 2022</t>
  </si>
  <si>
    <t xml:space="preserve">Se  evaluaron los PGIRS de La Paz, La Gloria y Rio de Oro presentados al comité evaluador del cual CORPOCESAR hace parte.
Se realizaron reuniones virtuales de seguimiento a la ejecución de los PGIR de La Paz, El Paso, San Diego, Manaure, Codazzi, Becerril, Curumaní, Pailitas, Pelaya, Tamalameque, La Jagua de Ibirico, Bosconia, Rio de Oro, Valledupar, Chiriguana, Astrea, Pueblo Bello, La Gloria 
</t>
  </si>
  <si>
    <t>No se ha realizado estudio de valoracion y cuantificacion ambiental</t>
  </si>
  <si>
    <t>Se participo en las 4 mesas tecnicas COTSA invitadas  
                                                                                                                                                                                                                                                                A) Coord. GIT saneamiento 3 reuniones                                                                                                                                                                                                                                                                                             B) Coord. GIT Laboratorio Ambiental, no se ha requerido su participacion                                                                                                                                                                                                                             C) Coord Educacion Ambiental 1 reunion 
D)Coord GIT PML, RESPEL y COP 4</t>
  </si>
  <si>
    <t>Se efectuo el registro de la vigencia 2021</t>
  </si>
  <si>
    <t>Se  contrato el servicio de un laboratorio externo para el analisis de las fuentes moviles, se esta organizando una campaña de monitoreo para el 4 trimestre</t>
  </si>
  <si>
    <t xml:space="preserve">En marzo de 2022 se ofició al Ministerio de Ambiente y Desarrollo Sostenible solicitando apoyo para fortalecer capacidades y asistencia en incorporación del cambio climático al interior de la Coordinación del GIT de Cambio Climático, POMCAS y Ordenamiento Territorial, además de asesoría y capacitación para el manejo de la herramienta RENARE (Registro Nacional de Reducción de las Emisiones de Gases de Efecto Invernadero).
Actualmente se encuentra en funcionamiento Link CORPOCESAR (Condiciones alertas ambientales, boletín especial sobre ciclones tropicales, variabilidad climática cambio climático, pronóstico del tiempo)
</t>
  </si>
  <si>
    <t xml:space="preserve">El inventario de puntos de manifestación de aguas subterráneas en el centro y sur del Cesar se realizará una vez se cuente con la logística requerida para tal fin.
Se envio oficio a las autoridades ambientales del valle del Magdalena Medio para indagar acerca de la posibilidad de desarrollar acciones conjuntas en el sistema acuífero conocido como Simití
</t>
  </si>
  <si>
    <t xml:space="preserve"> Ejecución de las inversiones es de 38,1%</t>
  </si>
  <si>
    <t>PONDERACIONES DE PROGRAMAS  Y PROYECTOS VIGENCIA 2022</t>
  </si>
  <si>
    <t xml:space="preserve">DESCRIPCIÓN DEL AVANCE 
</t>
  </si>
  <si>
    <t xml:space="preserve">VIGENCIA </t>
  </si>
  <si>
    <t xml:space="preserve">   UNIDAD DE MEDIDA</t>
  </si>
  <si>
    <r>
      <rPr>
        <b/>
        <sz val="14"/>
        <color rgb="FFFF0000"/>
        <rFont val="Arial Narrow"/>
        <family val="2"/>
      </rPr>
      <t>LINEAS ESTRATEGICAS</t>
    </r>
    <r>
      <rPr>
        <b/>
        <sz val="14"/>
        <color theme="1"/>
        <rFont val="Arial Narrow"/>
        <family val="2"/>
      </rPr>
      <t xml:space="preserve"> -
PROGRAMAS - PROYECTOS </t>
    </r>
    <r>
      <rPr>
        <b/>
        <sz val="14"/>
        <color rgb="FFFF0000"/>
        <rFont val="Arial Narrow"/>
        <family val="2"/>
      </rPr>
      <t>Y ACTIVIDADES</t>
    </r>
    <r>
      <rPr>
        <b/>
        <sz val="14"/>
        <color theme="1"/>
        <rFont val="Arial Narrow"/>
        <family val="2"/>
      </rPr>
      <t xml:space="preserve"> DEL PLAN DE ACCIÓN 2020-2023
</t>
    </r>
  </si>
  <si>
    <r>
      <rPr>
        <b/>
        <sz val="14"/>
        <rFont val="Arial Narrow"/>
        <family val="2"/>
      </rPr>
      <t xml:space="preserve">Se realizó socialización y coordinación de intervenciones que incluyen campañas educativas en los municipios de La Gloria, La Paz y Valledupar.    </t>
    </r>
    <r>
      <rPr>
        <sz val="14"/>
        <rFont val="Arial Narrow"/>
        <family val="2"/>
      </rPr>
      <t xml:space="preserve">                                                                                                        
</t>
    </r>
    <r>
      <rPr>
        <b/>
        <sz val="14"/>
        <rFont val="Arial Narrow"/>
        <family val="2"/>
      </rPr>
      <t>A)</t>
    </r>
    <r>
      <rPr>
        <sz val="14"/>
        <rFont val="Arial Narrow"/>
        <family val="2"/>
      </rPr>
      <t xml:space="preserve"> La Paz, se visitaron 5 puntos críticos de depósito de residuos sólidos con el acompañamiento de la Alcaldía Municipal, INTERASEO, Recicladores, PONAL y la comunidad aledaña en la cual se realizaron actividades de promoción del aprovechamiento y destino final de residuos sólidos. 
</t>
    </r>
    <r>
      <rPr>
        <b/>
        <sz val="14"/>
        <rFont val="Arial Narrow"/>
        <family val="2"/>
      </rPr>
      <t xml:space="preserve">B) </t>
    </r>
    <r>
      <rPr>
        <sz val="14"/>
        <rFont val="Arial Narrow"/>
        <family val="2"/>
      </rPr>
      <t xml:space="preserve">Valledupar, se coordinó con el grupo PGIR la realización de campañas educativas con el objetivo de reducir el depósito de residuos sólidos en áreas no permitidas y la recuperación de boulevares.
</t>
    </r>
    <r>
      <rPr>
        <b/>
        <sz val="14"/>
        <rFont val="Arial Narrow"/>
        <family val="2"/>
      </rPr>
      <t>C)</t>
    </r>
    <r>
      <rPr>
        <sz val="14"/>
        <rFont val="Arial Narrow"/>
        <family val="2"/>
      </rPr>
      <t xml:space="preserve"> Se espera realizar una actividad en el municipio de la Gloria en el segundo semestre.
</t>
    </r>
    <r>
      <rPr>
        <b/>
        <sz val="14"/>
        <rFont val="Arial Narrow"/>
        <family val="2"/>
      </rPr>
      <t>D)</t>
    </r>
    <r>
      <rPr>
        <sz val="14"/>
        <rFont val="Arial Narrow"/>
        <family val="2"/>
      </rPr>
      <t xml:space="preserve">Mediante el Contrato No. 19-6-0179-0-2022 para la actualización del plan departamental de tratamiento de residuos peligrosos se realizarán campañas educativas.
Se realizaron 3 campaña educativa en los municipios de La Jagua de Ibirico, Aguachica y Valledupar enfocados a los generadores de residuos peligrosos (Sectores idustriales, hospitalario, hidrocarburos)
</t>
    </r>
  </si>
  <si>
    <t xml:space="preserve">El banco de proyectos se encuentra en operacion con el apoyo de un funcionario de planta y 3 contratistas, a través de los cuales se  gestiona, formulado, viabilizado y priorizado varios proyectos de inversión ante el Fondo Nacional Ambiental, Fondo de Compensación Ambiental y con recursos de asignaciones directas del SGR y recursos de asignacion ambiental del SGR
</t>
  </si>
  <si>
    <t xml:space="preserve">Se encuentra adjudicado el contrato de Seguro de Bienes que tendra cobertura hasta el mes de diciembre de 2023 mediante SAMC 016 de 2022 por valor de  $94.997.601
Seguro de vida  se encuentra adjudicado mediante proceso SAMC 018 DE 2022 por valor de $ 89.944.320
</t>
  </si>
  <si>
    <r>
      <t xml:space="preserve">TOTAL GASTOS DE INVERSIÓN </t>
    </r>
    <r>
      <rPr>
        <b/>
        <sz val="10"/>
        <color rgb="FFFF0000"/>
        <rFont val="Arial Narrow"/>
        <family val="2"/>
      </rPr>
      <t>(inserte filas cuando sea necesario)</t>
    </r>
  </si>
  <si>
    <t>Proyecto 3202.11 Implementación de estrategias para la conservación, uso sostenible de la biodiversidad y restauración de los servicios ecosistemicos del Complejo Cenagoso de Zapatosa, en los Municipios de Tamalameque, Curumani y Chiriguana, Departamento del Cesar.</t>
  </si>
  <si>
    <t xml:space="preserve">GRAFICOS </t>
  </si>
  <si>
    <t>INGRESOS RAE</t>
  </si>
  <si>
    <t>APROPIADO</t>
  </si>
  <si>
    <t>RECAUDADO</t>
  </si>
  <si>
    <t xml:space="preserve">APROVECHAMIENTO FORESTAL </t>
  </si>
  <si>
    <t>3202.05.01 (B) Formulación e implementación del PM del DRMI del Complejo Cenagoso de Zapatosa (RAMSAR Zapatosa)</t>
  </si>
  <si>
    <t>AVANCE FISICO Y FINANCIERO POR LINEAS ESTRATEGICAS, PROGRAMAS Y PROYECTOS                     II SEMESTRE 2022</t>
  </si>
  <si>
    <t>ACCIÓN ESTRATÉGICA</t>
  </si>
  <si>
    <t>Sobretasa Ambiental Urbana - Vigencia Actual_PRESUPUESTADO</t>
  </si>
  <si>
    <t>Sobretasa Ambiental Urbana - Vigencia Actual_COMPROMETIDO</t>
  </si>
  <si>
    <t>Sobretasa Ambiental Urbana - Vigencia Actual_OBLIGACIONES</t>
  </si>
  <si>
    <t>Sobretasa Ambiental Urbana - Vigencia Actual_PAGOS</t>
  </si>
  <si>
    <t>Contribución sector eléctrico - Generadores de energía convencional - Vigencia Actual_PRESUPUESTADO</t>
  </si>
  <si>
    <t>Contribución sector eléctrico - Generadores de energía convencional - Vigencia Actual_COMPROMETIDO</t>
  </si>
  <si>
    <t>Contribución sector eléctrico - Generadores de energía convencional - Vigencia Actual_OBLIGACIONES</t>
  </si>
  <si>
    <t>Contribución sector eléctrico - Generadores de energía convencional - Vigencia Actual_PAGOS</t>
  </si>
  <si>
    <t>Evaluación de licencias y trámites ambientales - Vigencia Actual_PRESUPUESTADO</t>
  </si>
  <si>
    <t>Evaluación de licencias y trámites ambientales - Vigencia Actual_COMPROMETIDO</t>
  </si>
  <si>
    <t>Evaluación de licencias y trámites ambientales - Vigencia Actual_OBLIGACIONES</t>
  </si>
  <si>
    <t>Evaluación de licencias y trámites ambientales - Vigencia Actual_PAGOS</t>
  </si>
  <si>
    <t>Seguimiento a licencias y trámites ambientales - Vigencia Actual_PRESUPUESTADO</t>
  </si>
  <si>
    <t>Seguimiento a licencias y trámites ambientales - Vigencia Actual_COMPROMETIDO</t>
  </si>
  <si>
    <t>Seguimiento a licencias y trámites ambientales - Vigencia Actual_OBLIGACIONES</t>
  </si>
  <si>
    <t>Seguimiento a licencias y trámites ambientales - Vigencia Actual_PAGOS</t>
  </si>
  <si>
    <t>Tasa por el uso del agua (vigencia actual)_PRESUPUESTADO</t>
  </si>
  <si>
    <t>Tasa por el uso del agua (vigencia actual)_COMPROMETIDO</t>
  </si>
  <si>
    <t>Tasa por el uso del agua (vigencia actual)_OBLIGACIONES</t>
  </si>
  <si>
    <t>Tasa por el uso del agua (vigencia actual)_PAGOS</t>
  </si>
  <si>
    <t>Tasa retributiva (vigencia actual)_PRESUPUESTADO</t>
  </si>
  <si>
    <t>Tasa retributiva (vigencia actual)_COMPROMETIDO</t>
  </si>
  <si>
    <t>Tasa retributiva (vigencia actual)_OBLIGACIONES</t>
  </si>
  <si>
    <t>Tasa retributiva (vigencia actual)_PAGOS</t>
  </si>
  <si>
    <t>Tasa de aprovechamiento Forestal (vigencia actual)_PRESUPUESTADO</t>
  </si>
  <si>
    <t>Tasa de aprovechamiento Forestal (vigencia actual)_COMPROMETIDO</t>
  </si>
  <si>
    <t>Tasa de aprovechamiento Forestal (vigencia actual)_OBLIGACIONES</t>
  </si>
  <si>
    <t>Tasa de aprovechamiento Forestal (vigencia actual)_PAGOS</t>
  </si>
  <si>
    <t>Multas ambientales (vigencia actual)_PRESUPUESTADO</t>
  </si>
  <si>
    <t>Multas ambientales (vigencia actual)_COMPROMETIDO</t>
  </si>
  <si>
    <t>Multas ambientales (vigencia actual)_OBLIGACIONES</t>
  </si>
  <si>
    <t>Multas ambientales (vigencia actual)_PAGOS</t>
  </si>
  <si>
    <t>Sobretasa Ambiental-Vigencia Anterior _PRESUPUESTADO</t>
  </si>
  <si>
    <t>Sobretasa Ambiental-Vigencia Anterior _COMPROMETIDO</t>
  </si>
  <si>
    <t>Sobretasa Ambiental-Vigencia Anterior _OBLIGACIONES</t>
  </si>
  <si>
    <t>Sobretasa Ambiental-Vigencia Anterior _PAGOS</t>
  </si>
  <si>
    <t>Contribución sector eléctrico - Generadores de energía convencional Vigencia Anterior_PRESUPUESTADO</t>
  </si>
  <si>
    <t>Contribución sector eléctrico - Generadores de energía convencional Vigencia Anterior_COMPROMETIDO</t>
  </si>
  <si>
    <t>Contribución sector eléctrico - Generadores de energía convencional Vigencia Anterior_OBLIGACIONES</t>
  </si>
  <si>
    <t>Contribución sector eléctrico - Generadores de energía convencional Vigencia Anterior_PAGOS</t>
  </si>
  <si>
    <t>Tasa retributiva (vigencia anterior)_PRESUPUESTADO</t>
  </si>
  <si>
    <t>Tasa retributiva (vigencia anterior)_COMPROMETIDO</t>
  </si>
  <si>
    <t>Tasa retributiva (vigencia anterior)_OBLIGACIONES</t>
  </si>
  <si>
    <t>Tasa retributiva (vigencia anterior)_PAGOS</t>
  </si>
  <si>
    <t>Seguimiento a licencias y trámites ambientales - Vigencia Anterior_PRESUPUESTADO</t>
  </si>
  <si>
    <t>Seguimiento a licencias y trámites ambientales - Vigencia Anterior_COMPROMETIDO</t>
  </si>
  <si>
    <t>Seguimiento a licencias y trámites ambientales - Vigencia Anterior_OBLIGACIONES</t>
  </si>
  <si>
    <t>Seguimiento a licencias y trámites ambientales - Vigencia Anterior_PAGOS</t>
  </si>
  <si>
    <t>Tasa por el uso del agua (vigencia anterior)_PRESUPUESTADO</t>
  </si>
  <si>
    <t>Tasa por el uso del agua (vigencia anterior)_COMPROMETIDO</t>
  </si>
  <si>
    <t>Tasa por el uso del agua (vigencia anterior)_OBLIGACIONES</t>
  </si>
  <si>
    <t>Tasa por el uso del agua (vigencia anterior)_PAGOS</t>
  </si>
  <si>
    <t>Tasa de aprovechamiento Forestal (vigencia anterior)_PRESUPUESTADO</t>
  </si>
  <si>
    <t>Tasa de aprovechamiento Forestal (vigencia anterior)_COMPROMETIDO</t>
  </si>
  <si>
    <t>Tasa de aprovechamiento Forestal (vigencia anterior)_OBLIGACIONES</t>
  </si>
  <si>
    <t>Tasa de aprovechamiento Forestal (vigencia anterior)_PAGOS</t>
  </si>
  <si>
    <t>Multas ambientales (vigencia anterior)_PRESUPUESTADO</t>
  </si>
  <si>
    <t>Multas ambientales (vigencia anterior)_COMPROMETIDO</t>
  </si>
  <si>
    <t>Multas ambientales (vigencia anterior)_OBLIGACIONES</t>
  </si>
  <si>
    <t>Multas ambientales (vigencia anterior)_PAGOS</t>
  </si>
  <si>
    <t>Rendimientos financieros-Depósitos_PRESUPUESTADO</t>
  </si>
  <si>
    <t>Rendimientos financieros-Depósitos_COMPROMETIDO</t>
  </si>
  <si>
    <t>Rendimientos financieros-Depósitos_OBLIGACIONES</t>
  </si>
  <si>
    <t>Rendimientos financieros-Depósitos_PAGOS</t>
  </si>
  <si>
    <t>Aportes de la Nación para Inversión_PRESUPUESTADO</t>
  </si>
  <si>
    <t>Aportes de la Nación para Inversión_COMPROMETIDO</t>
  </si>
  <si>
    <t>Aportes de la Nación para Inversión_OBLIGACIONES</t>
  </si>
  <si>
    <t>Aportes de la Nación para Inversión_PAGOS</t>
  </si>
  <si>
    <t>Aportes del Sistema de Participación General de Regalias - SPGR_PRESUPUESTADO</t>
  </si>
  <si>
    <t>Aportes del Sistema de Participación General de Regalias - SPGR_COMPROMETIDO</t>
  </si>
  <si>
    <t>Aportes del Sistema de Participación General de Regalias - SPGR_OBLIGACIONES</t>
  </si>
  <si>
    <t>Aportes del Sistema de Participación General de Regalias - SPGR_PAGOS</t>
  </si>
  <si>
    <t>Aportes inversión Fondo Nacional Ambiental - FONAM_PRESUPUESTADO</t>
  </si>
  <si>
    <t>Aportes inversión Fondo Nacional Ambiental - FONAM_COMPROMETIDO</t>
  </si>
  <si>
    <t>Aportes inversión Fondo Nacional Ambiental - FONAM_OBLIGACIONES</t>
  </si>
  <si>
    <t>Aportes inversión Fondo Nacional Ambiental - FONAM_PAGOS</t>
  </si>
  <si>
    <t>TOTAL PRESUPUESTADO</t>
  </si>
  <si>
    <t>TOTAL COMPROMETIDO</t>
  </si>
  <si>
    <t>TOTAL OBLIGACIONES</t>
  </si>
  <si>
    <t>TOTAL PAGOS</t>
  </si>
  <si>
    <t>CONTROL PRESUPUESTADO</t>
  </si>
  <si>
    <t>CONTROL  COMPROMETIDO</t>
  </si>
  <si>
    <t>CONTROL OBLIGACIONES</t>
  </si>
  <si>
    <t>CONTROL PAGOS</t>
  </si>
  <si>
    <t>Informacion Anexo 1</t>
  </si>
  <si>
    <t>3201.01.03 Gestión de sistemas bajo esquemas de Pagos por Servicios Ambientales (PSA) e incentivos a la conservación: fortalecimiento de capacidades, instrumentación jurídica, gestión y articulación institucional, evaluación y seguimiento, y sostenibilidad financiera.</t>
  </si>
  <si>
    <t>3201.01.06. Implementación de las ventanillas de negocios verdes y articulación con los incentivos existentes.</t>
  </si>
  <si>
    <t>3201.01.07. Fortalecimiento de las ventanillas de negocios verdes y articulación con los incentivos existentes.</t>
  </si>
  <si>
    <t>3201.03.07. Gestión para la implementación de proyectos pilotos de biocomercio y turismo rural en ecorregiones estratégicas</t>
  </si>
  <si>
    <t>3201.04.01 Conocimiento de potencialidad, promoción y apoyo a la implementación de proyectos de Energías renovables</t>
  </si>
  <si>
    <t>3201.04.02 Promoción de procesos de mitigación y adaptación al cambio climático en Sectores productivos (Minería, agropecuario y comercio)</t>
  </si>
  <si>
    <t>3201.05.01 Implementación de las acciones planteadas en el PAR para mitigar los efectos de la desertificación y la sequía en armonía con el proyecto 1.1 (estrategia de reforestación, restauración, agricultura y ganadería sostenible, estufas ecológicas, monitoreo</t>
  </si>
  <si>
    <t>3201.05.03 Actualizar e implementar el plan de gestión Integral de residuos peligrosos en el marco de la política RESPEL junto al cumplimiento de la Directiva ministerial 2019</t>
  </si>
  <si>
    <t>3201.06.02. Optimización y Fortalecimento del Sistema de Moniterio de Calidad de Aire del Cesar. (acreditación, dotación, técnicas y operación de la red, cobertura y sostenibiidad)</t>
  </si>
  <si>
    <t>3202.03.04. Desarrollo de acciones de prevención y control de la deforestación</t>
  </si>
  <si>
    <t>3202.03.03 (B). Desarrollo de acciones de previención y control a la deforestación</t>
  </si>
  <si>
    <t>3202.03.06. Desarrollo de acciones de previención y control a la deforestación</t>
  </si>
  <si>
    <t>3202.03.02 (A) Formulación conjunta con el MADS, de portafolio de proyectos en núcleos activos de deforestación</t>
  </si>
  <si>
    <t>3202.03.02 (B) Formulación conjunta con el MADS, de portafolio de proyectos en núcleos activos de deforestación</t>
  </si>
  <si>
    <t>3202.03.03 Gestion e implementacion de proyectos en núcleos activos de deforestación</t>
  </si>
  <si>
    <t>3202.03.04. Ajuste e Implementación de acciones prioritarias del POF del Cesar (armonía con actividad 5.2.2 y 5.2.5)</t>
  </si>
  <si>
    <t>3202.03.05 Establecer proyectos para uso y aprovechamiento forestal comunitarios del bosque que permitan su uso sostenible</t>
  </si>
  <si>
    <t>3202.03.06. Promoción y fortalecimiento de espacios de participación como plataforma de articulación para la promoción de la cultura forestal y reducción de la deforestación</t>
  </si>
  <si>
    <t>3202.04.03 Promover y otorgar los Esquemas de Reconocimiento a la Legalidad a los usuarios del bosque y empresas forestales</t>
  </si>
  <si>
    <t>3202.05.01 (A) Formulación e implementación del PM del DRMI del Complejo Cenagoso de Zapatosa (RAMSAR Zapatosa)</t>
  </si>
  <si>
    <t>3202.05.05. Gestión para la formulación de PM de APR y otras estrategias de conservación</t>
  </si>
  <si>
    <t>3202.05.06. Gestión para la implementación de PM de APR y otras estrategias de conservación.</t>
  </si>
  <si>
    <t>3202.05.02 Desarrollo de estudios para la declaratoria de nuevas APR y/o otras estrategias de la conservación de la biodiversidad</t>
  </si>
  <si>
    <t>3203.01.02. Desarrollo de instrumentos de planificación y administración del recurso hídrico (Implementación de acciones de POMCA)</t>
  </si>
  <si>
    <t>3203.01.08. Gestión y formulación de PORH.</t>
  </si>
  <si>
    <t>3203.01.09 Implementación de acciones de PORH.</t>
  </si>
  <si>
    <t>3203.01.12 Control y seguimiento a los PUEAA aprobados por la Corporación</t>
  </si>
  <si>
    <t>3203.01.10 Control y seguimiento a los PSMV aprobados por la Corporación</t>
  </si>
  <si>
    <t>3203.01.11 Apoyo a implementación de los PSMV e implementación de acciones para el uso eficiente y descontaminación del recurso hídrico en el dpto. del Cesar. (armonización con proyecto 4.1)</t>
  </si>
  <si>
    <t>3203.01.14 Estructuración e implementación de una estrategia integral para la recuperación de ecosistemas en la cuenca del río Cesar (tipo APP). En armonía con el programa 5 y la actividad 2.4.2</t>
  </si>
  <si>
    <t>3208.01.03 Creación de escenarios de diálogo entre los ciudadanos las entidades para la prevención de conflictos socioambientales, en armonía con la actividad 6.1.1 y el proyecto 6.3</t>
  </si>
  <si>
    <t>3208.02.01 Apoyo a la implementación de PRAES, con enfoque en cambio climático.</t>
  </si>
  <si>
    <t>3208.02.02 Resignificación de los PRAES (Promoción de la incorporación de la dimensión ambiental en la educación formal (contenidos curriculares en PRAES)</t>
  </si>
  <si>
    <t>3208.03.02 Implementación de Cátedra social de cambio climático y riesgo ambiental para la productividad con eco-educación (vía one-line pág. web de Corpocesar)</t>
  </si>
  <si>
    <t>3299.01.01 Implementación de estrategias eficaces en el Recaudo de las rentas propias de la entidad (gestión de cobro persuasivo, coactivo y de saneamiento contable, Adecuada implementación de la reglamentación existente en materia de tasas ambientales; otros)</t>
  </si>
  <si>
    <t>3299.01.02 Valoración cuantitativa de estrategias eficaces en el Recaudo de las rentas propias de la entidad (gestión de cobro persuasivo, coactivo y de saneamiento contable, Adecuada implementación de la reglamentación existente en materia de tasas ambientales; otros)</t>
  </si>
  <si>
    <t>3299.01.03 Gestión y actualización efectiva de la base de datos de usuarios de la TUA enfocada a la reglamentación y/o ordenación de corrientes, teniendo en cuenta la variabilidad climática (asocio con el programa 2)</t>
  </si>
  <si>
    <t>3299.01.04 Control y seguimiento a la gestión de la tasa retributiva para promover la eficacia y eficiencia de la reinversión, en armonía con Actividad 2.4.3</t>
  </si>
  <si>
    <t>3299.01.05 Sostenimiento técnico y adtvo en la Implementación de las NIIF, IGPR, PCT, y otros instrumentos de apoyo (cumplimiento tributario, contable, operativo, y reportes de información correspondientes en los tiempos y bajo los parámetros establecidos. etc)</t>
  </si>
  <si>
    <t>3299.01.06 Ejecución de las inversiones en preservación, restauración, uso sostenible y generación de conocimiento (art. 11 de la Ley 1955 de 2019 y los artículos 24 y 25 de la Ley 1930 de 2018)</t>
  </si>
  <si>
    <t>3299.01.08 Evaluación y certificación del Sistema de Gestión Ambiental SGA- NTC ISO 14001:2015 para la sede bioclimática de la entidad en Valledupar</t>
  </si>
  <si>
    <t>3299.01.09 Mantenimiento y mejoramiento continuo del Sistema de Gestión Ambiental SGA- NTC ISO 14001:2015 para la sede bioclimática de la entidad en Valledupar</t>
  </si>
  <si>
    <t>3299.01.10 Gestión para la puesta en marcha y operación del laboratorio ambiental de agua</t>
  </si>
  <si>
    <t>3299.01.11 Gestión para la venta de servicio de laboratorio ambiental de agua (estrategia administrativa y de sostenibilidad financiera) en armonía con la actividad o subp 2.4.4</t>
  </si>
  <si>
    <t>3299.03.03 Verificación en campo a los permisos, autorizaciones o licencias que no han cumplido con la presentación de informes</t>
  </si>
  <si>
    <t>3299.04.01 Implementación de proyectos agroforestales como alternativa de sostenibilidad ambiental para el optimo aprovechamiento y/o uso del suelo, y que favorezcan las condiciones alimentarias de subsistencia de las comunidades indigenas en el marco del pacto por los grupos etnicos del PND 2018-2022</t>
  </si>
  <si>
    <t>3299.04.06 Gestión, apoyo de acciones de aislamiento de áreas de interés ambiental y cultural, para inducir su recuperación natural. Y OTRAS ESTRATEGIAS para la restauración ecológica de Ecosistemas en el marco del componente programático de los POMCAS y del componente estratégico de los PMA de las áreas protegidas declaradas</t>
  </si>
  <si>
    <t>3204.01.01 Gestión de un área viable de la red hidrometeorológica en jurisdicción de Corpocesar</t>
  </si>
  <si>
    <t>3204.01.02. Implementación de un área viable de la red hidrometeorológica en jurisdicción de Corpocesar y comunicación de información ambiental arrojada. .</t>
  </si>
  <si>
    <t>3204.01.03 Gestion para la implementación y operación de instrumentos de monitoreo de los Recursos Naturales</t>
  </si>
  <si>
    <t>3204.01.04 Gestion para la divulgación e incorporación de resultados de monitoreo de los Recursos Naturales al SIA regional</t>
  </si>
  <si>
    <t>TOTAL GASTOS INVERSIÓN</t>
  </si>
  <si>
    <t xml:space="preserve">Sobretasa Ambiental Vigncia Anterior </t>
  </si>
  <si>
    <t>Contribución sector eléctrico - Generadores de energía convencional Vigencia Anterior</t>
  </si>
  <si>
    <t xml:space="preserve">Tasa por el Uso del Agua Vigencia Anterior </t>
  </si>
  <si>
    <t xml:space="preserve">Tasa Retributiva Vigencia Anterior </t>
  </si>
  <si>
    <t>Número Nuevas estrategias (tributo de carbono, tasas) implementadas/año</t>
  </si>
  <si>
    <t>2020-2023</t>
  </si>
  <si>
    <t xml:space="preserve"> INFORME DE EJECUCION PRESUPUESTAL DE INGRESOS </t>
  </si>
  <si>
    <t>1. Desarrollo de mesas de trabajo con Gobernacion del Cesar, Camara de Comercio de Vallledupar, municipios del Sur, centro y norte del Cesar, gremios productivos, academias, ONG´s para el seguimiento a las metas del PIGCCTC.                                                                           2. Asistencia técnica y seguimiento a acciones implementadas en gestión del CC en los municpios de Becerril, La Jagua de Ibirico, Chiriguaná, Curumaní, Tamalameque, San Diego, La Paz, Pueblo Bello, Codazzi.                                                                        3. Formulación una estrategía para la vinculación y suscripción de un acuerdo de voluntades con diferentes sectores en la implementación de medidas de mitigación y adaptación del cambio climático en sus procesos productivos.                                                                             4. En proceso la Formulación del POMCA medio Cesar, donde se incorporará el componente de gestión del cambio climático.</t>
  </si>
  <si>
    <t>Todos los POMCAS se les realiza el seguimiento a la implementación del componente programático.</t>
  </si>
  <si>
    <t>Se formuló el PMM quebrada Singararé y se encuentra en proceso de adopción.</t>
  </si>
  <si>
    <t>En ejecucion la plataforma colaborativa para la cuenca del río Calenturitas con actores públicos y privados  conformada a través de la firma de un Acuerdo de Voluntades el 24 de noviembre de 2021. Se avanza en la construcción del plan de acción.</t>
  </si>
  <si>
    <t>Se realizo la evaluacion tecnica y ambiental del proyecto de Plan Parcial del municipio de San Diego.</t>
  </si>
  <si>
    <t>Se realizo seguimiento a los POT de los municipios de Agustín Codazzi, Becerril,  Bosconia, El Copey, Manaure Balcón Del Cesar, Pueblo Bello,  Robles (La Paz), San Diego, Chimichagua, Astrea, El Paso.</t>
  </si>
  <si>
    <t>Se realizo asistencia a  11 municipios del departamento del Cesar de Agustín Codazzi, Becerril,  Bosconia, El Copey, Manaure Balcón Del Cesar, Pueblo Bello,  Robles (La Paz), San Diego, Chimichagua, Astrea, El Paso.</t>
  </si>
  <si>
    <t>El archivo central de la Corporación, actualmente está implementando las TRD, EL PINAR y el SIC, de igual forma se avanzó en la transferencia y organización del archivo físico que está en constante seguimiento, no obstante,  actualmente está en proceso de contratación las TVD, las cuales fueron certificadas y viabilizadas por la Subdirección Genera Área de Planeación, hecho por el cual se solicitó disponibilidad presupuestal, previo al estudio de la necesidad que a la fecha se encuentra en la Subdirección Administrativa y Financiera. Con relación a la gestión archivística y documental, la misma está en constante alimentación, tanto magnética como documental de acuerdo al plan de transferencia, capacitación y estrategias internas.</t>
  </si>
  <si>
    <t>Actualmente se cuenta con 4 redes sociales institucionalizadas y organizadas en las cuales se difunden todos los eventos, permitiendonos el contacto entre personas y organizaciones como un medio eficiente para comunicarnos e intercambiar información y acciones ambientales y administrativas tendientes a generar conciencia a la ciudadanía del departamento del Cesar, como a nivel nacional (redes son: facebook, instagram, whatsapp y twitter)</t>
  </si>
  <si>
    <t>08 de febrero de 2023. Visita técnica al puente Chiriaimo en el municipio de San Diego para verificar la viabilidad ambiental de la obra de emergencia realizada por INVIAS en dicho puente, producto de la ola invernal en la II temporada de lluvias 2022
10 a 15 de abril de 2023. Atención a solicitudes/ presentadas a la Coordinación de Gestión del Riesgo de Desastre (GRD) por situaciones ambientales (Deslizamientos, Socavación y perdida de suelo en predios) y actividades antrópicas denunciadas en algunos casos como desviación de Ríos en Codazzi, Chimichagua, Pueblo Bello y Manaure.
8 a 12 de mayo de 2023. Inspección técnica a obras de emergencia y acciones de reducción del riesgo asociadas a eventos de la pasada ola Invernal (II temporada de lluvias 2022), San Diego (Rio Chiriaimo), Becerril (Maracas y Tucuy), La Jagua de Ibirico (Caño Seco), Curumaní (Puente San Pedro)
21 de febrero de 2023. Inspección a incendio forestal ocasionado en horas de la noche del 20 de febrero del presente año. Visita de carácter urgente a una zona afectada por el evento ubicada en la vereda Praderas, corregimiento de Caracolí, jurisdicción del municipio de Valledupar
17 a 21 de abril de 2023. Determinar y ejecutar acciones que procedan a fin de aplicar las políticas, lineamientos, normas, y procedimientos de acuerdo a las competencias de la Corporación en asuntos relacionados con Incendios de la Cobertura Vegetal denunciados por la comunidad, Zona rural de Valledupar (El Jabo), Agustín Codazzi, La Jagua de Ibirico San Alberto – Cesar</t>
  </si>
  <si>
    <t>9 de junio de 2023. Visita a sitio del puente sobre el río Tucuy y Oficio de respuesta al Municipio de La Jagua de Ibirico, sobre intervención en el citado para reparación del puente, ante emergencia por creciente del caudal de la corriente
16 y 17 de febrero de 2023. Visitar los predios vecinos, colindantes y aledaños a la Reserva de la Sociedad Civil El Lucero (Área Protegida), El Copey, debido a los incendios forestales que se han presentado en el área, además, se solicitan charlas de educación ambiental a los habitantes de la zona y comunidades indígenas del área.
18 a 22 de abril de 2023. Jornada de sensibilización y capacitación para prevención de incendios de la cobertura vegetal y recolección de necesidades para formulación de proyectos en gestión del riesgo y conservación y recuperación de ecosistemas, Zona rural de Valledupar (Vereda Gallineta, a 50 min de V/par aprox), El Copey, Becerril,  – Veredas Paraíso Porvenir y Los Naranjos (Curumaní)
21 de febrero de 2023. Inspección a incendio forestal ocasionado en horas de la noche del 20 de febrero del presente año. Visita de carácter urgente a una zona afectada por el evento ubicada en la vereda Praderas, corregimiento de Caracolí, jurisdicción del municipio de Valledupar
17 a 21 de abril de 2023. Determinar y ejecutar acciones que procedan a fin de aplicar las políticas, lineamientos, normas, y procedimientos de acuerdo a las competencias de la Corporación en asuntos relacionados con Incendios de la Cobertura Vegetal denunciados por la comunidad, Zona rural de Valledupar (El Jabo), Agustín Codazzi, La Jagua de Ibirico San Alberto - Cesar</t>
  </si>
  <si>
    <t xml:space="preserve">Se realizo el acompañamiento a las aiditoria externa de la Contraloria general de la Republica  e IDEAM, en el segundo semestre se realizan las  auditorias internas establecidas en el Plan de Auditoria Vigencia 2023 el cual se desarrolla con el apoyo de 2 contratistas y 2 funcionarios. </t>
  </si>
  <si>
    <t>Se tiene disponibilidad de 8 pluviómetros entregados a la Corporación por el CIIFEN para participar en el proyecto "Monitor de sequías", teniendose una preselección de predios en los que se instalaría este grupo de pluviómetros que se sumarían a los que se encuentran instalando los municipios de Agustín Codazzi y Bosconia.</t>
  </si>
  <si>
    <t>5 a 10 de junio de 2023. Aforos de caudal y caracterización físico-química básica del agua en las corrientes hídricas Guatapurí, Badillo, Manaure, Chiriaimo, Magiriaimo, Casacará, Maracas, Socomba, Sororia, Tucuy y Las Animas. La información recolectada en la jornada de 5 ba 10 de junio de 2023 se encuentra en procesamiento, para ser divulgada a través de la p´pagina web de la entidad, en el vínculo https://corpocesar.gov.co/monitoreo-de-la-oferta-del-recurso-hidrico.html</t>
  </si>
  <si>
    <t>5 a 10 de junio de 2023. Aforos de caudal y caracterización físico-química básica del agua en las corrientes hídricas Guatapurí, Badillo, Manaure, Chiriaimo, Magiriaimo, Casacará, Maracas, Socomba, Sororia, Tucuy y Las Animas.</t>
  </si>
  <si>
    <t xml:space="preserve">5 a 10 de junio de 2023. Aforos de caudal y caracterización físico-química básica del agua en las corrientes hídricas Guatapurí, Badillo, Manaure, Chiriaimo, Magiriaimo, Casacará, Maracas, Socomba, Sororia, Tucuy y Las Animas.
La información recolectada en la jornada de 5 ba 10 de junio de 2023 se encuentra en procesamiento, para ser divulgada a través de la p´pagina web de la entidad, en el vínculo https://corpocesar.gov.co/monitoreo-de-la-oferta-del-recurso-hidrico.html
</t>
  </si>
  <si>
    <t>Está en proceso de formulación de estudios previos del contrato con el que se cumplirá esta meta (PROMOVER PROYECTOS Y ACCIONES DE ECONOMÍA CIRCULAR, RESIDUOS PELIGROSOS Y NEGOCIOS VERDES PARA LA CONSERVACIÓN DE LOS RECURSOS NATURALES EN EL DEPARTAMENTO DEL CESAR)</t>
  </si>
  <si>
    <t>Se requiere aclarar que la Corporación no evalua ni aprueba los PGIRS, sin embargo hace parte del grupo coordinador de evaluación donde hace apoyo y sugerencia a los mismos, para lo cual  se han realizado reuniones de apoyo para la evaluación de los PGIRS de los municiípios de El Copey, La Gloria, La Jagua de Ibirico y La Paz.</t>
  </si>
  <si>
    <t>Se suscribió contrato N° 19-6-0231-0-2022 cuyo objeto es Realización de Acciones para la Implementación del Plan de Acción Regional del Lucha contrat la desertificación y la Sequía, y el manejo de bosque seco tropiocal en la cuencas de los Rios Garupal y Diluvio en los municipíos de Valledupar y el Copey Cesar, de acuerdo a los alcances y especificaciones técnicas contempladas por Corpocesar.</t>
  </si>
  <si>
    <t>Se han otorgado registros a medida que van llegando las solicitudes de registro, las que no se han otorgado es porque aún estan dentro del tiempo estipulado para ello.</t>
  </si>
  <si>
    <t>A) Se realizaron movimientos internos de equipos e instrumentos de medidas en la red de monitoreo para garantizar la medición de los parámetros acreditados. 
B) Se implementaron nuevos procedimientos guías y registros en el sistema de gestión de calidad para fortalecer los soportes que acreditan el monitoreo de la calidad del aire 
D) En marco del contrato con K2 se contrató el arriendo de 8 equipos para el monitoreo de la calidad del aire en la zona minera y Valledupar  
E) Se adquirieron equipos para el monitoreo de gases contaminantes y materiales particulado en el aire y monitoreo de meteorología.
F) Se realizó adquisición de dos equipos indicativos automáticos para crear dos (2) nuevas estaciones de monitoreo de calidad de aire (PM10, PM2.5, SO2,CO, O3,…</t>
  </si>
  <si>
    <t>Constantemente se realiza verificación de los equipos de monitoreo para garantizar que las mediciones se realicen de acuerdo al protocolo de monitoreo de calidad del aire Res. 2154 de 2010, con el objetivo de que sean representativas y determinantes para implementar los planes de prevención y control a la contaminación del aire, las actividades operativas realizadas corresponden a calibraciones, verificación de flujos y mantenimiento periódico a las 17 estaciones de las redes de monitoreo de calidad de aire de CORPOCESAR.</t>
  </si>
  <si>
    <t>Se suscribió el Acuerdo Epecifico N° 001 de 2023, con  la Corporación Autonoma  Regional del Atlántico, con el objeto de apoyar la mesa regional de Areas Protegidas del Caribe Colombian SIRAP CARIBE</t>
  </si>
  <si>
    <t>Se ejecutaron acciones en el  Paramo Parque natural Serranía del Perijá, mediante el contrato N° 19-6-0187-0-2022     cuyo objeto es IMPLEMENTACION DE ACCIONES DE RESTAURACIÓN EN ÁREAS DE INTERÉS ESTRATEGICO EN LA SERRANIA DEL PERIJA EN EL DEPARTAMENTO DEL CESAR FASE II.</t>
  </si>
  <si>
    <t>Se formuló estudio previo para REALIZAR LOS ESTUDIOS Y FORMULACIÓN DEL PLAN DE RESTAURACIÓN ECOLÓGICA DEL RÍO CESAR Y SU BOSQUE RIPARIO, EN EL DEPARTAMENTO DEL CESAR</t>
  </si>
  <si>
    <t>Acompañamiento procesos participativos Etnia Arhuaca Pueblo Bello; Jornadas educativas Afro descendientes (Badillo, Patillal y Guacochito).</t>
  </si>
  <si>
    <t>Dos (2) Audiencias Virtuales sobre Conflictos Socio ambientales en cada una de las zonas: norte, minera, centro occidente y sur del departamento del Cesar. Reuniones Alcaldias Municipales de Valledupar, La Jagua de Ibirico y Curumani para adelantar Seminarios talleres sobre Participación Ciudadana en la gestión pública, acompañado de acciones de intervención escenarios criticos en lo ambiental.</t>
  </si>
  <si>
    <t>Jornada educativa Contralorcitos (CGD)</t>
  </si>
  <si>
    <t>Acompañamiento Instituciones Educativas para fomento de huertas y semilleros escolares, con plantas medicinales.</t>
  </si>
  <si>
    <t>Mujeres afrodescendientes El Paso (ASOPASITO) y del Corregimiento de Guacochito-Valledupar)</t>
  </si>
  <si>
    <t xml:space="preserve"> 1. Contratación de profesionales de apoyo para el cobro persuasivo y seguimiento a los procesos financieros.
2. Elaboraciòn y Notifiaciòn de Titulos Ejecutivos que ordenan el pago de las obligaciones vencidas.
3. Remision a la Officina Juridica de los Titulos Ejecutivos ejecutoriados, y que cumplen los requisitos para el inicio del cobro coactivo  
4. entrega de facturación Tas Por Uso de Agua y Tasa Rteributiva  periodo 1/01/2022 a 31/12/2022 (cargadas al sistema Financiero en el 2023). </t>
  </si>
  <si>
    <t>Se radico ante IDEAM solicitud de renovación y extensión de la acreditación. Se realizó el pago ante IDEAM para programación de visita de auditoria a la fecha se está a la espera de respuesta por parte de dicha entidad.
Se gestionó proyecto con la ANH y FUPAD para la realización de monitoreos de calidad de agua y el fortalecimiento del laboratorio con la dotación de reactivos y equipamiento.
A través del contrato con K2 ingeniería SAS No. 19-6-0195-0-2022 se contrató los servicios para suministro de personal y dotación de elementos consumibles y equipos para el funcionamiento del laboratorio.</t>
  </si>
  <si>
    <t>Se radico ante IDEAM solicitud de renovación y extensión de la acreditación. Se realizó el pago ante IDEAM para programación de visita de auditoria a la fecha se está a la espera de respuesta por parte de dicha entidad.
Se elaboró formato y procedimiento para la venta de servicio para el LABA el cual fue enviado a SAGA para su aprobación.
Se están desarrollando gestiones para establecer los APU de los parámetros acreditados a la fecha.</t>
  </si>
  <si>
    <t>"Mediante Acta  Nº 001 de 08 de mayo 2023, con ASUNTO: Generación de estrategia para el desarrollo de las labores de control y seguimiento ambiental en la vigencia 2023. Se realizó socialización de procedimientos de la coordinación y  se generaron las estrategias para el desarrollo de las actividades de seguimiento y control ambiental y se determinaron los criterios para la escogencia de proyectos objeto de seguimiento y control ambiental para la vigencia 2023. Priorizando 290  proyectos, los cuales hacen parte de los indicadores minimos de gestion ambiental incorporados en la resolucion 667 de 2016, así como aquellos proyectos con alertas identificadas en los informes y con quejas, denuncias, querellas y/o peticiones más recurrentes, todo lo anterior teniendo en cuenta tiempo, personal y logística. 
Mediante Acta No. 002 de fecha 04 de julio de 2023, se realiza los ajustes pertinentes derivados de la Resolución No. 0269 del 28 de junio de 2023, por medio del cual se actualizan funciones y se realizan ajustes a Grupos Internos de Trabajos de CORPOCESAR, reduciendo el número de labores de seguimiento ambiental para la vigencia 2023, priorizando 158 proyectos.  Lo anterior se genera, por el traslado de expedientes a cargo de esta Coordinación hacia otras dependencias, como fueron la totalidad de los Permisos y/o Autorizaciones de Aprovechamiento Forestal Único, Gestores de Construcción y Demolición RCD, Permiso de Recolección de Especímenes de Flora y Fauna Silvestre y Planes de Gestión Integral de Residuos Hospitalarios y Similares PGIRHS."</t>
  </si>
  <si>
    <t xml:space="preserve">De los 158 expedientes priorizados y programados en la vigencia 2023, ha fecha 04 de julio de 2023, se han ejecutado lo que acontinuación se detalla:
Licencia ambiental Minera: 56
Licencias Ambientales Temporales Mineras: 3
Licencia ambiental No Mineras: 14                                                                        Planes de  Manejo Ambiental Minero: 11
TOTAL DE LABORES DE SEGUIMIENTO A LICENCIAS AMBIENTALES: 84
</t>
  </si>
  <si>
    <t>Se está implementando el Vital Silan para la optimización de procesos y tramites ambientales en la Corporación.</t>
  </si>
  <si>
    <t>Según el Plan de mejoramiento de la contraloría se están implementando 4 tramites 100% por vital, dentro de los cuales está salvoconducto unico nacional en línea, aprovechamiento forestal que está en implementación, prospección y exploración de aguas subterraneas en implementación y el libro de operaciones forestales en línea el cual se encuentra en ejecución, pendiente de llegar al 100%.</t>
  </si>
  <si>
    <t>Se ejecuta el proyecto de abastecimiento de agua en la comunidad indígena Itti Takke, el cual se espera culminar a más tardar a mediados del mes de julio y se avanza en la formulación de dos sistemas de abastecimiento para las comunidades indígenas de Dunawa y Gunchukwa del pueblo Arhuaco en el municipio de Pueblo Bello, como gestión de apoyo con el objeto de tener una herramienta para la gestión de los recursos para su implementación futura. Se informa que en el mes de mayo se hicieron vistas de campo en las comunidades Dunawa y Gunchukwa con el objetivo de levantar información técnica para la formulación de los sistemas en mención.</t>
  </si>
  <si>
    <t>Se avanzó con la formulación de estudios previos para la contratación del aislamiento en longitud aproximada de 3.000 metros en el predio El Invento I, propiedad de la Corporación y que hace parte del área de amortiguación del parque natural Los Besotes, en el corregimiento Rio Seco, jurisdicción del municipio Valledupar. Se informa que los estudios previos fueron remitidos a SGAAF y a la oficina de Contratación</t>
  </si>
  <si>
    <t>En el mes de junio se avanzó con el desarrollo de tres capacitaciones a los grupos “guardias cimarronas” en los consejos comunitarios Arcilla Cardón y Tuna de Guacochito, José Prudencio Padilla de Badillo y El Viejo Pedro de Patillal (en vista de que no fue posible realizar la actividad con la comunidad El Perro, se realizó reunión de relacionamiento y diagnóstico del consejo comunitario de Patillal). Lo anterior con el objetivo aportar al fortalecimiento de la capacidad social interna y en cumplimiento a la implementación de los PIR´s.</t>
  </si>
  <si>
    <t>Se suscribió contrato N° 19-6-0231-0-2022 cuyo objeto es Realización de Acciones para la Implementación del Plan de Acción Regional del Lucha contrat la desertificación y la Sequía, y el manejo de bosque seco tropiocal en la cuencas de los Rios Garupal y Diluvio en los municipíos de Valledupar y el Copey Cesar, de acuerdo a los alcances y especificaciones técnicas contempladas por Corpocesar.</t>
  </si>
  <si>
    <t>Está en proceso de formulación de estudios previos del contrato con el que se cumplirá esta meta (PROMOVER PROYECTOS Y ACCIONES DE ECONOMÍA CIRCULAR, RESIDUOS PELIGROSOS Y NEGOCIOS VERDES PARA LA CONSERVACIÓN DE LOS RECURSOS NATURALES EN EL DEPARTAMENTO DEL CESAR). Además en las redes sociales institucionales se realizó una campaña para desincetivar el uso del plástico.</t>
  </si>
  <si>
    <t>Se le ha realizado apoyo y seguimiento a los PGIRS de los municipios de La Paz, Manaure, San Diego, Codazzi, Valledupar, Becerril, La Jagua, Pailitas, Curumaní, Pelaya y Tamalameque.</t>
  </si>
  <si>
    <t>Se encuentra en proceso de formulación de estudios previos el contrato para apoyo al proyecto fotovoltaico de la Corporación y el CAVFF.</t>
  </si>
  <si>
    <t xml:space="preserve">Se avanza en la estructuración del proyecto y estudio previo para calcular la valoración económica de la ronda hidrica del rio Cesar. </t>
  </si>
  <si>
    <t>Se cuenta con un plan desde el año 2018 mediante el cual se implementan estrategias y actividades.
Se realizo la construccion del componente tecnico del Programa de Reducción de la Contaminación del Aire-PRCA el cual se encuentra radicado mediante el oficio SGAGA-CGIT.LABA -0-2-0433 de 15  de septiembre de  2022 se dio traslado a la oficina juridica  el programa para su revision juridica y complemento del documento.</t>
  </si>
  <si>
    <t>Se  ejecuto un monitoreo de fuentes móviles vehiculares en el municipio de Valledupar, esta actividad de se realizo junto con la secretaria de transito municipal y para ello se contrato con un laboratorio acreditado para ello.  Se tiene proyectado realizar una 2da campaña de monitoreo de fuentes móviles en el corregimiento de la Loma jurisdicción del municipio del Paso Cesar</t>
  </si>
  <si>
    <t>Se ejecuta el Contrato 19-6-0222-0-2022 cuyo objeto es "Rehabilitación ecológica para la Conservación de Areas de Importancia Ambiental en la Implementación del Plan de Manejo del Parque Natural Regional Los Besotes ubicado en la jurisdicción de los corregimientos de los corazones y Río Seco, municipio de Valledupar - Cesar de acuerdo con las especificaciones y alcances planteados por Corpocesar".</t>
  </si>
  <si>
    <t>En ejecución la implementación de acciones en los humedales menores del Sur del Cesar y en el caño Paraluz (afluente de la Cienaga de Mata de Palma). Se formuló el PMA de la Ciénaga El Cristo y se encuentra en proceso de adopción. Se actualizó el PMA de los humedales de la cabecera municipal de Valledupar.</t>
  </si>
  <si>
    <t>Se encuentra formulado y adoptado el PORH del río Pereira.</t>
  </si>
  <si>
    <t>Se realizaron acciones de implementación del PORH del río Calenturitas a través del cual se realizaron monitoreos de la calidad del agua superficial y subterránea para determinar las condiciones actuales de los usos de agua establecidos en el Plan de Ordenamiento del Recurso Hídrico –PORH del Río Calenturitas.</t>
  </si>
  <si>
    <t>Se la realizado control y seguimiento en el primer semestre a los PSMV de los municipios de Valledupar, San Alberto, San Martín, Manaure, Curumaní, La Jagua, Bosconia, el Paso, Astrea, Codazzi, La Paz, Pueblo Bello, Pelaya, Becerril, Chiriguaná, Tamalameque, Gonzalez, Río de Oro y San Diego. Quedando pendientes el Copey, Pailitas,  La Gloria, Gamarra, Chimichagua y Aguachica que están en Evaluación.</t>
  </si>
  <si>
    <t xml:space="preserve">Se encuentra presentado para contratación el estudio previo del proyecto para establecimiento de 4 has de sistemas agroforestales en la comunidad indígena Itti Takke del pueblo Ette Ennaka en el corregimiento de Chimila municipio de El Copey, proyecto con el que se cumplirá la meta programada. </t>
  </si>
  <si>
    <t>Para el 2023 se tenía la expectativa de ejecutar el proyecto en la Asociación Afro de Casa de Zinc, que posee un lote de 15 ha aproximadamente, sin embargo, la falta de agua en el predio y sus alrededores abonado a las condiciones ambientales y particularmente de calidad de suelos, técnicamente hacen inviable la ejecución del proyecto debido a que no se garantiza su sostenibilidad. De momento no se ha podido encontrar otra comunidad que disponga de terrenos colectivos, aunque se sigue gestionando. Lo anteriormente descrito limita de manera significativa el cumplimiento de la meta a corte 31 de diciembre de 2023, ya que por la naturaleza de la actividad esta debe realizarse al inicio de la próxima temporada de lluvias que debe iniciar en septiembre por lo que la contratación debería estar concretada a más tardar en agosto, plazos que no se ven viables de cumplir.</t>
  </si>
  <si>
    <t>Se ha brindado atención de solicitudes, acompañamientos  y necesidades del área de TIC, generando documentación del proceso orientado a la implementación de la política de gobierno digital </t>
  </si>
  <si>
    <t>Se tiene activo el servicio de web hosting del portal web institucional, se ha contratado el profesional de apoyo (webmaster) y se ha publicado el 100% de actos administrativos, informes y demás información enviada para su publicación a corte 30 de junio de 2023. </t>
  </si>
  <si>
    <t>Se ha contratado al profesional de apoyo para brindar soporte técnico a los usuarios informáticos. las solicitudes de servicio informático se han atendido al 100%  a corte 30 de junio de 2023. Además, se han realizado las copias de seguridad de la información del erp contable y nómina. También, se ha avanzado en un 53% en el cumplimiento del plan de mantenimiento preventivo de equipo de cómputo e impresora. </t>
  </si>
  <si>
    <t>Se renovó el contrato de mantenimiento y soporte a distancia de la aplicación PCT enterprise y SIAN. Se mantiene activo el servicio de correo electrónico, antivirus, seguridad informática gestionada. se tiene adelantado los estudios previos para la gestión de accesos, cctv, centros de cableado y ups. la renovación del outsourcing de impresión está en proceso contractual y se tiene pendiente iniciar la orden de compra para la renovación de arcgis. </t>
  </si>
  <si>
    <t>Se  ejecuto un monitoreo de fuentes móviles vehiculares en el municipio de Valledupar, esta actividad de se realizo junto con la secretaria de transito municipal y para ello se contrato con un laboratorio acreditado para ello.  Se tiene proyectado realizar una 2da campaña de monitoreo de fuentes móviles en el corregimiento de la Loma jurisdicción del municipio del Paso Cesar.</t>
  </si>
  <si>
    <t xml:space="preserve">Se han identificado  y atendieron 7 alertas de los siguientes proyectos:
1. 1.	Expediente No. SGA-030-2005, Proyecto de construcción y operación del Relleno Sanitario "Las Bateas"en jurisdicción del Municipio de Aguachica – Cesar, de titularidad de ASEO URBANO S.A.S E.S.P NIT 807.005.020-8.
2. Expediente No. SGA-025-2014Proyecto Relleno Sanitario "Parque Ambiental para el Manejo Integral de los Residuos Sólidos”, ubicado en la jurisdicción del municipio de Becerril – Cesar, de titularidad de BIOGER S.A E.S.P NIT 806.006.669-8.
3. Expediente No. SGA-016-2009, Proyecto "Construcción y operación del Relleno Sanitario Regional del Noroccidente del Departamento del Cesar, ubicado en la jurisdicción del municipio de Bosconia", de titularidad de AGUAS DEL CESAR S.A E.S.P NIT 0900149163-8 – OPERADOR BIOGER S.A E.S.P.
4. Expediente No. SGA-031-1999, Proyecto "Construcción y operación del  Relleno Sanitario  Los Corazones de Valledupar", de titularidad EMPRESA DE SERVICIOS DE ASEO DE VALLEDUPAR S.A E.S.P – OPERADOR ASEOUPAR S.A E.S.P.
5. Expediente No. SGA-006-010, Proyecto “Licencia Ambiental para la explotación de material de arrastre sobre el rio San Alberto, en el municipio de San Alberto Cesar”, de titularidad de Sociedad de Contratistas de Obras y Transportadores de Volqueteros-CARGAR S.A. con identificación tributaria No 0830510397-8.
6. Expediente No. SGA-026-2005, Proyecto “Licencia Ambiental Global para la explotación de material de arrastre sobre el rio San Alberto, en el municipio de San Alberto Cesar”, de titularidad de la sociedad A&amp;C LTDA. Con número de identificación tributaria N° 80002019-5.
7. Expediente No. SGA-011-2015, “Licencia Ambiental Proyecto Generación Hidroeléctrica PCH – sobre el rio San Alberto”, ubicado en jurisdicción del municipio de San Alberto Cesar, de titularidad HIDROELECTRICA DEL CESAR S.A.S. E.S.P., con identificación tributaria N° 900.976.600-2.
</t>
  </si>
  <si>
    <t>La información de calidad del aire está cargada hasta el mes de marzo de 2023.</t>
  </si>
  <si>
    <t>Se encuentra en ejecución el Contrato N° 19-6-0250-0-2022 cuyo objeto es IMPLEMENTACIÓN DE ESTRATEGIAS PARA LA CONSERVACION, USO SOSTENIBLE DE LA BIODIVERSIDAD Y RESTAURACION DE LOS SERVICIOS ECOSISTEMICOS DEL COMPLEJO CENAGOSO DE ZAPATOSA, EN LOS MUNICIPIOS DE TAMALAMEQUE, CURUMANI Y CHIRIGUANA DEPARTAMENTO DEL CESAR.</t>
  </si>
  <si>
    <t>Se contrató profesional en Ingeniería Ambiental con experiencia en Sistemas de Información Geográfica que esta desarrollando estas actividades para el cumplimiento de esta meta.</t>
  </si>
  <si>
    <t>Se han realizado registro de la empresas forestales alcanzando el 72% de ellas y se  llegara al 100% el próximo mes</t>
  </si>
  <si>
    <t>No se han realizado acciones de PMA de Microcuencas. Se plantean desarrollar para el segundo semestre.</t>
  </si>
  <si>
    <t>Se formuló estudio previo de la optimización del STAR de San Roque-Curumani, en espera del proceso de contratación.</t>
  </si>
  <si>
    <t>Se celebró el contrato No.19-6-0028-0-2023 cuyo objeto es soporte técnico, mantenimiento a distancia e implementación de los módulos web del sistema de información administrativo y financiero PCT INTERPRISE, , para la facturación y cartera de la tasa por utilización de agua (TUA), tasa retributiva (TR), tasa por aprovechamiento forestal, evaluación, seguimiento ambiental y demás gestiones ambientales.</t>
  </si>
  <si>
    <t xml:space="preserve">Se programaron 30 capacitaciones de las cuales se han desarrollado tres y se programaron 30 actividades de bienestar social (estimulos e incentivos) de las cuales se han ejecutado 8, con corte a 30 de junio. </t>
  </si>
  <si>
    <t xml:space="preserve">Está en proceso de formulación de estudios previos del contrato con el que se cumplirá esta meta (PROMOVER PROYECTOS Y ACCIONES DE ECONOMÍA CIRCULAR, RESIDUOS PELIGROSOS Y NEGOCIOS VERDES PARA LA CONSERVACIÓN DE LOS RECURSOS NATURALES EN EL DEPARTAMENTO DEL CESAR). </t>
  </si>
  <si>
    <t>3201.03.03. Participación en Mesas Regionales de Economía Circular en el marco de las Comisiones Regionales de Competitividad.</t>
  </si>
  <si>
    <t>Se cuenta en las determinantes ambientales actualizadas de la jurisdicción de Corpocesar, con la ficha de la determinante ambiental de Gestión del Cambio climático, a través de la cual se establecen los lineamientos para la incorporación de esta determinante en el ordenamiento territorial.                              Así mismo, se han realizado las siguientes acciones:                                              1.Asistencia técnica y seguimiento a acciones implementadas en gestión del CC en los municpios de Becerril, La Jagua de Ibirico, Chiriguaná, Curumaní, Tamalameque, San Diego, La Paz, Pueblo Bello, Codazzi.                           2. Formulación una estrategía para la vinculación y suscripción de un acuerdo de voluntades con diferentes sectores en la implementación de medidas de mitigación y adaptación del cambio climático en sus procesos productivos.                                                                                         3. En proceso la Formulación del POMCA medio Cesar, donde se incorporará el componente de gestión del cambio climático.</t>
  </si>
  <si>
    <t>El plan fue formulado en la vigencia 2021 y para su implementación está en proceso de formulación de estudios previos del contrato con el que se cumplirá esta meta (PROMOVER PROYECTOS Y ACCIONES DE ECONOMÍA CIRCULAR, RESIDUOS PELIGROSOS Y NEGOCIOS VERDES PARA LA CONSERVACIÓN DE LOS RECURSOS NATURALES EN EL DEPARTAMENTO DEL CESAR). Además se han adelantado visitas de seguimiento a los planes de mejora de negocios verdes.</t>
  </si>
  <si>
    <t xml:space="preserve">Se planea solicitar al MADS apoyo para capacitación en la aplIcación de la nueva metodología de calculo del ICAU, de la cual se tuvo conocimiento en el segundo semestre de 2022. Esta metodología no está adoptada oficialmente en el MADS, pues se encuentra en revisión y ajuste.                                                                                                                                                                                                                                           Se realizaron recorridos por los municipios, corregimientos o veredas con influencias de cuerpos hídricos en su zona urbana, identificando problemáticas ambientales con el fin de aplicar la política de gestión ambiental urbana -PGAU-, incluyendo la consolidación de la línea base ambiental urbana (ICAU) conforme a las directrices del MADS: 15 a 18 de mayo de 2023 en El Copey, Bosconia, Valledupar; 23 a 27 de mayo de 2023 en La La Jagua de Ibirico y Becerril; 29 a 3 de junio de 2023 en Chimichagua.  </t>
  </si>
  <si>
    <t>Se realizó inventario de las fuentes fijas de emisión.</t>
  </si>
  <si>
    <t>Se realizó programación para adelantar el seguimiento en el segundo semestre de 2023.</t>
  </si>
  <si>
    <t>Se elabora y entrega a las Subdirecciones de Gestión Ambiental y de Planeación el estudio previo para la contratación de estudios de riesgo por inundación y avenidas torrenciales en los arroyos Zárate y Salatiel, en el corregimiento de La Victoria de San Isidro, municipio de La Jagua de Ibirico. 23 de junio de 2023. Esto hace parte de uno de los compromisos establecidos en los acuerdos de la consulta previa realizada con COAFROVIS en el POMCA del río Calenturitas. Y se suscribieron Convenios con el municipio de Pailitas para apoyar la elaboración de los estudios básicos de riesgo y con el Area Metropolitana de Valledupar para la elaboración de estudios para identificación de áreas de riesgo en el AMV.</t>
  </si>
  <si>
    <t>Se realizó capacitación y sensibilización a los microempresarios de empresas transformadoras y copmercializadoras de madera para explicar el procedimiento del registros para el reconocimiento a la legalidad, y registro en el libro de operaciones.</t>
  </si>
  <si>
    <t>Se ha realizado 8 operativos de control de flora.</t>
  </si>
  <si>
    <t>Para cumplir esta meta se suscribió Convenio N° 19-7-0005-0-2022 cuyo objeto es "AUNAR ESFUERZOS TECNICOS, ADMINISTRATIVOS Y ECONÓMICOS PARA LA ADMINISTRACIÓN Y OPERACIÓN DEL CENTRO DE ATENCIÓN Y VALORACIÓN DE FAUNA Y FLORA SILVESTRE (CAVFFS) DOTANDO Y FORTALECIENDO SU CAPACIDAD TÉCNICA Y OPERATIVA, EJECUCIÓN DE ESTRATEGIAS EN TORNO A LA CONSERVACIÓN DE LA BIODIVERSIDAD, Y REALIZACIÓN DE ACCIONES PARA EL CONTROL Y VIGILANCIA DEL TRÁFICO ILEGAL DE ESPECIES SILVESTRES, EN EL DEPARTAMENTO DEL CESAR"</t>
  </si>
  <si>
    <t>Se han realizado las siguientes acciones:                                                                           1.  Plan de Manejo de del Jaguar (Panthera Onca) donde se han   realizado actividades de educación ambiental con charlas de capacitación con las comunidades en las areas de influencia en los munipios de  San Martín, Codazzi, Becerril y Valledupar .                                                                                                         2. Plan de manejo  del Oso Andino (Tremarctos ornatus) en las que se han realizado actividades de educación ambiental con charlas de capacitación con las comunidades en las areas de influencia en los munipios de la Paz, corregimiento de San José de Oriente (vereda Brisas del Perijá) y muncipio de Agustín Codazzi.</t>
  </si>
  <si>
    <t>Se han realizado acciones de PM de Caracol  gigante  africano (Achatina fulica) para lo cual se han realizado sensibilizaciones, capacitaciones , recolección y control de la especie exotica en diferentes barrios del municipio de Valledupar.</t>
  </si>
  <si>
    <t xml:space="preserve">Pomca rio Bajo Cesar - Cienaga de Zapatosa:                                                                      1. Se adelantan acciones de restauración en el complejo Cenagoso de Zapatosa (municipios de Tamalamaque, Curumani y Chiriguani).                                                       2. Se desarrollan medidas estructurales y no estructurales para la reducción del riesgo por inundación en la corriente superficial Anime.                                                                        3. Pomca Chiriaimo-Manaure:  Se realizan acciones de restauración en la Serranía del Perija Cuenca Chiriaimo- Manaure.                                      </t>
  </si>
  <si>
    <t>Se suministra  información al Servicio Geológico Colombiano (a solicitud de dicha enbtidad) para estudiar la posibilidad de adelantar un proyecto sobre geotermia somera en la jurisidcción de CORPOCESAR</t>
  </si>
  <si>
    <t>Se han realizado seguimiento a los PUEAA de las siguientes empresas de servicios públicos: EMDUPAR, EMCODAZZI, EMPAZ, ESPUMA y EMPOSANDIEGO.</t>
  </si>
  <si>
    <t xml:space="preserve">Se realizó la adopción del acotamiento de la Ronda Hidrica del Río Guatapurí mediante Resolución 0094 de 2023. </t>
  </si>
  <si>
    <t>3205.01.04 Control, Seguimiento y evaluación de los asuntos ambientales concertados en el proceso de revisión y/o ajustes de los POT, PBOT y EOT del Cesar.</t>
  </si>
  <si>
    <t>Se tiene definida para ejecutar en el segundo semestre. Se hn programado mesas de trabajo con AMV y Gobernación del Cesar, en el mes de agosto.</t>
  </si>
  <si>
    <t>Se desarrollaron dos (2) Audiencias Virtuales sobre Participación Ciudadana en cada una de las zonas norte, minera, centro occidente y sur del departamento del Cesar. Reuniones Alcaldias Municipales de Valledupar, La Jagua de Ibirico y Curumani para adelantar Seminarios talleres sobre Participación Ciudadana en la gestión pública, acompañado de acciones de intervención escenarios criticos en lo ambiental. Además se realizó la Audiencia de rendición de cuentas del Plan de Acción vigencia 2022, en el mes de abril.</t>
  </si>
  <si>
    <t>3299.01.09 Evaluación del Sistema de Gestión Ambiental SGA- NTC ISO 14001:2015 para la sede bioclimática de la entidad en Valledupar</t>
  </si>
  <si>
    <t>Se proyecta la evaluación del sistema para el segundo semestre.</t>
  </si>
  <si>
    <t>La ejecucion de las inversiones al cierre del primer semestre de 2023 es del 61,93%</t>
  </si>
  <si>
    <t>Actualmente se encuentra viabilizado por parte de la subdirección general del área de planeación, y en proceso de contratación en la subdirección administrativa y financiera.</t>
  </si>
  <si>
    <t>Se tiene conocimiento de la realización de un evento organizado por el MADS para actualización de la PGAU. Se gestionó la consecución de la memoria del evento y se está en proceso de conocimiento de los nuevos lineamientos.</t>
  </si>
  <si>
    <t>Su cumplimiento depende de la convocatoria que haga la Secretaria Técnica que es la Cámara de Comercio de Valledupar para la participación en este comité. Se tiene conocimiento que este segundo semestre se realizará la Asamblea de la Comisión Regional de Competitividad.</t>
  </si>
  <si>
    <t>Se encuentra en ejecución el Contrato N° cuyo objeto es IMPLEMENTACIÓN DE ESTRATEGIAS PARA LA CONSERVACION, USO SOSTENIBLE DE LA BIODIVERSIDAD Y RESTAURACION DE LOS SERVICIOS ECOSISTEMICOS DEL COMPLEJO CENAGOSO DE ZAPATOSA, EN LOS MUNICIPIOS DE TAMALAMEQUE, CURUMANI Y CHIRIGUANA DEPARTAMENTO DEL CESAR.       Así mismo, se ejecutó el proyecto de restauración de áreas en Perijá Fase II.</t>
  </si>
  <si>
    <t>Se encuentra en ejecución el Contrato N° 19-6-0250-0-2022 cuyo objeto es IMPLEMENTACIÓN DE ESTRATEGIAS PARA LA CONSERVACION, USO SOSTENIBLE DE LA BIODIVERSIDAD Y RESTAURACION DE LOS SERVICIOS ECOSISTEMICOS DEL COMPLEJO CENAGOSO DE ZAPATOSA, EN LOS MUNICIPIOS DE TAMALAMEQUE, CURUMANI Y CHIRIGUANA DEPARTAMENTO DEL CESAR.                                                                                                               Así mismo, se ejecutó el proyecto de restauración de áreas en Perijá Fase II.</t>
  </si>
  <si>
    <t>Se suscribió contrato  cuyo objeto es Realización de Acciones para la Implementación del Plan de Acción Regional de Lucha contra la desertificación y la Sequía, y el manejo de bosque seco tropical en la cuencas de los Rios Garupal y Diluvio en los municipíos de Valledupar y el Copey Cesar.</t>
  </si>
  <si>
    <t>Se han realizado vistas de control y seguimiento y registro de la empresas forestales alcanzando el 72% se  llegara al 100% el próximo mes</t>
  </si>
  <si>
    <t>Se viene desarrolando un proceso de acercamiento con la administración municipal de San Martín - Cesar y la empresa privada Gran Tierra, con el objeto de establecer una alianza publica-privada  involucrando a las comunidades acentadas en la cuencas de la Quebrada Torcorona, con el fin de crear y consolidar una estrategia complementaria par la conservación mediante el desarrollo de un proceso participativo integral y sostenible.</t>
  </si>
  <si>
    <t>Se solicitará modificar la meta y la redacción de esta.</t>
  </si>
  <si>
    <t>Se suscribió contrato cuyo objeto es la Realización de Acciones para la Implementación del Plan de Acción Regional del Lucha contrat la desertificación y la Sequía, y el manejo de bosque seco tropiocal en la cuencas de los Rios Garupal y Diluvio en los municipíos de Valledupar y El Copey-Cesar, el cual comprende acciones orientadas a la conservación y protección del BsT.</t>
  </si>
  <si>
    <t>Se trabajó con estudiantes semillero de investigación Licenciatura en Ciencias Naturales y Educación Ambiental de la UPC.</t>
  </si>
  <si>
    <t>Se reaalizaron reuniones de trabajo co el PROCEDA APROCOGERZA (Chimichagua); Recicladores Pailitas; JAC Rivera (Pailitas); Asociacion SOCIZA Zapati; Fundación Manati (Antequera-Tamalameque);  asopicultam (Tamalameque); Talleres y reuniones JAC Los Naranjos, Pariso Porvenir, La Carolina y Guaimaral (Curumani); Vendedores ambulantes Mariangola (Valledupar); Talleres JAC (El Oasis, Codazzi, Las Gallinetas y El Descanso); Gestoras Ambientales La Loma y El Hatillo; PROCEDA Aprovechamiento RSD La Jagua de Ibirico.</t>
  </si>
  <si>
    <t>Con base en el resultado del informe de gestión anual del primer semestre de la vigencia 2023 se realiza el diligenciamiento de los indicadores del PGAR para evaluar el nivel de cumplimiento de este instrumento.</t>
  </si>
  <si>
    <t>Por redes sociales institucionales se llevó a cabo 1 campaña para desincentivar el uso del plástico, denominada: "más conciencia menos plástico".</t>
  </si>
  <si>
    <t>Se participó en la mesa del COTSA sobre sustancias químicas y residuos peligrosos en Valledupar.</t>
  </si>
  <si>
    <t>A ORGANIZACIONES NACIONALES</t>
  </si>
  <si>
    <t>Asociación de Corporaciones Autónomas Regionales</t>
  </si>
  <si>
    <t xml:space="preserve">BPIN 20223219000002 Implementacón del esquema pagos por servicios ambientales como estrategia de conservación y restauración ecológica en el parque natural regional serranía de Perija y su zona con función amortiguadora </t>
  </si>
  <si>
    <t>BPIN 20233219000001 Implementación de acciones para la restauración, conservación y uso sostenible de los recursos naturales, en el marco del plan de manejo ambiental de los humedales menores del su del Departamento del Cesar</t>
  </si>
  <si>
    <t>BPIN 202232191234000004 desarrollo de acciones para la conservación y restauración ecológica en el parque natural regional Serranía de Perijá y su zona con función amortiguadora en el Departamento del Cesar</t>
  </si>
  <si>
    <t>BPIN 20213219000002 Implementación de acciones de restauración con guadua y otras especies nativas en areas priorizadas de la Jurisdicción de Corpocesar, Departamento del Cesar</t>
  </si>
  <si>
    <t>BPIN 20213219000001 Implementación de estrategias para la conservación, uso sostenible de la biodiversidad y restauración de los servicios ecosistemicos del complejo cenagoso de zapatosa, en el Municipio de Chimichagua, Departamento del Cesar</t>
  </si>
  <si>
    <t>BPIN 20213201010025 Mejoramiento Ambiental de la cuenca hidrográfica rio calenturitas a través de acciones de restauración en áreas degradadas localizadas en el Municipio de la Jagua de Ibirico en el Departamento del Cesar</t>
  </si>
  <si>
    <t>BPIN 20233219000002 Recuperación Hidrodinámica y ambiental del Caño Paraluz, como estrategia para la recuperación del ecosistema natural de la ciénaga mata de palma, en Jurisdicción del municipio de el Paso y Chiriguana, Departamento del Cesar</t>
  </si>
  <si>
    <t>BPIN 20223219000001 Formulación del plan de ordenación y mnejo de la cuenca 2802-02 del Río Medio Cesar en la Jurisdicción de corpocesar, Departamento del Cesar</t>
  </si>
  <si>
    <t>RECURSOS VIGENCIA :  2023</t>
  </si>
  <si>
    <t xml:space="preserve">Sanciones Contractuales-Vigencia Actual </t>
  </si>
  <si>
    <t>19-6-0157-0-2023</t>
  </si>
  <si>
    <t xml:space="preserve">19-6-0054-0-2023                                                                   19-6-0144-0-2023                                                         19-6-0156-0-2023                                                         19-6-0157-0-2023                                                   </t>
  </si>
  <si>
    <t xml:space="preserve">19-6-0035-0-2023                                                          19-6-0144-0-2023                                                    19-6-0144-0-2023                                                          19-6-0157-0-2023                                                            </t>
  </si>
  <si>
    <t>19-6-0017-0-2023                                                           19-6-0017-0-2023                                                                19-6-0157-0-2023</t>
  </si>
  <si>
    <t>19-6-0068-0-2023                                                                19-6-0098-0-2023                                                          19-6-0094-0-2023                                                            19-6-0112-0-2023                                                            19-6-0136-0-2023                                                              19-6-0140-0-2023                                                          19-6-0144-0-2023                                                              19-6-0157-0-2023                                                               19-6-0157-0-2023</t>
  </si>
  <si>
    <t>19-6-0157-0-2023                                                              19-6-0157-0-2023</t>
  </si>
  <si>
    <t>19-6-0144-0-2023                 19-6-0157-0-2023                   19-6-0157-0-2023</t>
  </si>
  <si>
    <t>19-6-0021-0-2023                                                                     19-6-0090-0-2023                                                              19-6-0144-0-2023                                                                19-6-0144-0-2023                                                                19-6-0157-0-2023                                                                19-6-0157-0-2023                                                                 19-7-0004-0-2023                                                               19-7-0006-0-2023</t>
  </si>
  <si>
    <t>19-6-0088-0-2023                 19-6-0126-0-2023                    19-6-0144-0-2023                  19-6-0144-0-2023                   19-6-0157-0-2023                     19-6-0157-0-2023</t>
  </si>
  <si>
    <t>19-6-0118-0-2023                   19-6-0144-0-2023                  19-6-0157-0-2023                 19-6-0157-0-2023                    19-6-0172-0-2023</t>
  </si>
  <si>
    <t>19-6-0029-0-2023        19-6-0040-0-2023       19-6-0066-0-2023       19-6-0071-0-2023        19-6-0135-0-2023       19-6-0142-0-2023     19-6-0144-0-2023     19-6-0157-0-2023      19-6-0157-0-2023</t>
  </si>
  <si>
    <t>19-6-0025-0-2023                19-6-0104-0-2023                  19-6-0115-0-2023                  19-6-0144-0-2023                 19-6-0157-0-2023                 19-6-0157-0-2023                  19-6-0176-0-2023</t>
  </si>
  <si>
    <t>19-7-0005-0-2022      19-7-0005-0-2022      19-7-0005-0-2022    19-6-0083-0-2023      19-6-0146-0-2023        19-6-0144-0-2023</t>
  </si>
  <si>
    <t>19-6-0022-0-2023      19-6-0189-0-2022     19-6-0186-0-2022    19-6-0028-0-2023     19-6-0028-0-2023     19-6-0033-0-2023    19-6-0048-0-2023    19-6-0053-0-2023     19-6-0055-0-2023    19-6-0057-0-2023   19-6-0078-0-2023  19-6-0082-0-2023 19-6-0081-0-2023 19-6-0089-0-2023  19-6-0087-0-2023 19-6-0091-0-2023   19-6-0096-0-2023 19-6-0105-0-2023   19-6-0101-0-2023  19-6-0100-0-2023    19-6-0108-0-2023  19-6-0109-0-2023  19-6-0113-0-2023  19-6-0114-0-2023   19-6-0124-0-2023  19-6-0186-0-2022  19-6-0127-0-2023  19-6-0132-0-2023  19-6-0138-0-2023  19-6-0141-0-2023  19-6-0141-0-2023  19-6-0144-0-2023  19-6-0154-0-2023  19-6-0157-0-2023  19-6-0167-0-2023</t>
  </si>
  <si>
    <t>19-6-0101-0-2023              19-6-0103-0-2023            19-6-0125-0-2023</t>
  </si>
  <si>
    <t>19-6-0103-0-2023                  19-6-0125-0-2023                  19-6-0157-0-2023</t>
  </si>
  <si>
    <t>19-6-0125-0-2023                  19-6-0157-0-2023</t>
  </si>
  <si>
    <t>19-6-0110-0-2023                    19-6-0134-0-2023                  19-6-0130-0-2023                      19-6-0155-0-2023</t>
  </si>
  <si>
    <t>19-6-0015-0-2023                  19-6-0111-0-2023                  19-6-0155-0-2023             19-6-0157-0-2023</t>
  </si>
  <si>
    <t xml:space="preserve">19-6-0011-0-2023
19-6-0036-0-2023
19-6-0042-0-2023
19-6-0061-0-2023
19-6-0074-0-2023
19-6-0106-0-2023
19-6-0116-0-2023
19-6-0117-0-2023
19-6-0129-0-2023
19-6-0133-0-2023
19-6-0137-0-2023
19-6-0151-0-2023
19-6-0148-0-2023
19-6-0157-0-2023
19-6-0159-0-2023
19-6-0161-0-2023
19-6-0161-0-2023
19-6-0162-0-2023
</t>
  </si>
  <si>
    <t>19-6-0195-0-2022
19-6-0022-0-2023
19-6-0033-0-2023
19-6-0036-0-2023
19-6-0039-0-2023
19-6-0046-0-2023
19-6-0050-0-2023
19-6-0052-0-2023
19-6-0051-0-2023
19-6-0060-0-2023
19-6-0057-0-2023
19-6-0062-0-2023
19-6-0143-0-2023
19-6-0148-0-2023
19-6-0157-0-2023
19-6-0163-0-2023
19-6-0170-0-2023</t>
  </si>
  <si>
    <t xml:space="preserve">19-6-0022-0-2023
19-6-0033-0-2023
19-6-0036-0-2023
19-6-0039-0-2023
19-6-0046-0-2023
19-6-0050-0-2023
19-6-0052-0-2023
19-6-0051-0-2023
19-6-0060-0-2023
19-6-0057-0-2023
19-6-0062-0-2023
19-6-0143-0-2023
19-6-0148-0-2023
19-6-0157-0-2023
19-6-0163-0-2023
19-6-0170-0-2023
</t>
  </si>
  <si>
    <t xml:space="preserve">19-6-0195-0-2022
19-6-0082-0-2023
19-6-0157-0-2023
19-6-0157-0-2023
19-6-0247-0-2022
19-6-0171-0-2023
</t>
  </si>
  <si>
    <t xml:space="preserve">19-6-0195-0-2022
19-6-0082-0-2023
19-6-0145-0-202302
19-6-0157-0-2023
19-6-0157-0-2023
</t>
  </si>
  <si>
    <t xml:space="preserve">19-6-0195-0-2022
19-6-0009-0-2023
19-6-0023-0-2023
19-6-0031-0-2023
</t>
  </si>
  <si>
    <t xml:space="preserve">19-6-0061-0-2023
19-6-0106-0-2023
19-6-0144-0-2023
19-6-0157-0-2023
19-6-0159-0-2023
</t>
  </si>
  <si>
    <t xml:space="preserve">19-6-0019-0-2023
19-6-0027-0-2023
19-6-0085-0-2023
19-6-0120-0-2023
19-6-0120-0-2023
19-6-0130-0-2023
19-6-0157-0-2023
</t>
  </si>
  <si>
    <t xml:space="preserve">En ejecución </t>
  </si>
  <si>
    <t>TASA POR EL USO DEL AGUA</t>
  </si>
  <si>
    <t>CONTRIBUCIÓN AL SECTOR ELÉECTRICO</t>
  </si>
  <si>
    <t>EVALUACIÓN DE LICENCIAS Y TRAMITES AMBIENTALES</t>
  </si>
  <si>
    <t>SEGUIMIENTO A LICENCIAS Y TRAMITES AMBIENTALES</t>
  </si>
  <si>
    <t>TASA RETRIBUTIVA</t>
  </si>
  <si>
    <t>Se encuentra en ejecución el Contrato  cuyo objeto es IMPLEMENTACIÓN DE ESTRATEGIAS PARA LA CONSERVACION, USO SOSTENIBLE DE LA BIODIVERSIDAD Y RESTAURACION DE LOS SERVICIOS ECOSISTEMICOS DEL COMPLEJO CENAGOSO DE ZAPATOSA, EN LOS MUNICIPIOS DE TAMALAMEQUE, CURUMANI Y CHIRIGUANA DEPARTAMENTO DEL CESAR.                                                                                                                   Así mismo, se ejecutó el proyecto de restauración de áreas en Perijá Fase II.</t>
  </si>
  <si>
    <t>Se vienen implementando acciones dentro de la ejecución del Contrato  cuyo objeto es: IMPLEMENTACIÓN DE ESTRATEGIAS PARA LA CONSERVACIÓN, USO SOSTENIBLE DE LA BIODIVERSIDAD Y RESTAURACIÓN DE LOS SERVICIOS ECOSISTÉMICOS DEL COMPLEJO CENAGOSO DE ZAPATOSA, EN LOS MUNICIPIOS DE TAMALAMEQUE, CURUMANI Y CHIRIGUANA DEPARTAMENTO DEL CESAR”, las cuales le apuntan al cumplimiento del plan de manejo del DRMI del Complejo Cenagoso de Zapatosa.</t>
  </si>
  <si>
    <t>RECURSOS APROPIADOS 2023</t>
  </si>
  <si>
    <r>
      <t>3202.04.01 Registrar con libro de operaciones el 100% de las Empresas forestales</t>
    </r>
    <r>
      <rPr>
        <sz val="11"/>
        <color rgb="FFFF0000"/>
        <rFont val="Arial Narrow"/>
        <family val="2"/>
      </rPr>
      <t xml:space="preserve"> identificadas</t>
    </r>
    <r>
      <rPr>
        <sz val="11"/>
        <color rgb="FF000000"/>
        <rFont val="Arial Narrow"/>
        <family val="2"/>
      </rPr>
      <t xml:space="preserve"> en la jurisdicción</t>
    </r>
  </si>
  <si>
    <t>3202.05.02 (B) implementación del PM del DRMI del Complejo Cenagoso de Zapatosa (RAMSAR Zapatosa)</t>
  </si>
  <si>
    <r>
      <t>3299.01.07</t>
    </r>
    <r>
      <rPr>
        <sz val="11"/>
        <color rgb="FF000000"/>
        <rFont val="Arial Narrow"/>
        <family val="2"/>
      </rPr>
      <t>. Participación en los espacios de consulta pública de los proyectos de reglamentación de los instrumentos económicos, financieros y de mercado, liderados por el MADS.</t>
    </r>
  </si>
  <si>
    <r>
      <t>3299.01.07</t>
    </r>
    <r>
      <rPr>
        <sz val="11"/>
        <color rgb="FF000000"/>
        <rFont val="Arial Narrow"/>
        <family val="2"/>
      </rPr>
      <t xml:space="preserve"> Implementación del Sistema de Gestión Ambiental SGA- NTC ISO 14001:2015 para la sede bioclimática de la entidad en Valledupar</t>
    </r>
  </si>
  <si>
    <t>(1) ESTRUCTURA PLAN DE ACCIÓN INSTITUCIONAL 2020 -2023</t>
  </si>
  <si>
    <t>(2) INDICADOR</t>
  </si>
  <si>
    <t xml:space="preserve">   (2) UNIDAD DE MEDIDA</t>
  </si>
  <si>
    <t>(4) AVANCE EJECUCIÓN DE LA META
FISICA  
(Según unidad de medida y Periodo Evaluado)</t>
  </si>
  <si>
    <t>(5) AVANCE DEL REZAGO DE LA META FISICA 
(Según unidad de medida y Periodo Evaluado)</t>
  </si>
  <si>
    <t>Número</t>
  </si>
  <si>
    <t>Hectáreas</t>
  </si>
  <si>
    <t>Porcentaje</t>
  </si>
  <si>
    <t>Acciones.</t>
  </si>
  <si>
    <t xml:space="preserve">(6) PORCENTAJE DE AVANCE FISICO %
(Periodo Evaluado)
((4/3)*100)
</t>
  </si>
  <si>
    <t>(7) DESCRIPCIÓN DEL AVANCE 
(Describir brevemente el avance númerico registrado)</t>
  </si>
  <si>
    <t xml:space="preserve">(8) FECHA DE EJECUCION DE  LA EVIDENCIA </t>
  </si>
  <si>
    <t xml:space="preserve">(9) TIPO DE EVIDENCIA </t>
  </si>
  <si>
    <t>(9-A) ACCIONES DE FUNCIONAMIENTO</t>
  </si>
  <si>
    <t>(9-B) ESTADO CONTRATO</t>
  </si>
  <si>
    <t>(9-B.1) N° CONTRATO</t>
  </si>
  <si>
    <t xml:space="preserve"> (10) META FISICA DEL PAC (Según unidad de medida)</t>
  </si>
  <si>
    <t>(11) AVANCE ACUMULADO DE LA META FISICA (Según unidad de medida)</t>
  </si>
  <si>
    <t>(14) PONDERACIÓN ANUAL DE PROGRAMAS  Y PROYECTOS VIGENCIA OBJETO DE REPORTE</t>
  </si>
  <si>
    <t>(13)               PONDERACIONES  PAC</t>
  </si>
  <si>
    <t>LINEA ESTRATÉGICA 1. GESTIÓN PARA EL FORTALECIMIENTO INSTITUCIONAL INTEGRAL.</t>
  </si>
  <si>
    <t xml:space="preserve">TIPO DE EVIDENCIA </t>
  </si>
  <si>
    <t>ESTADO CTO</t>
  </si>
  <si>
    <t>PIP SECTOR AMBIENTE</t>
  </si>
  <si>
    <t>Indicadores Mínimos de gestión</t>
  </si>
  <si>
    <t>contract</t>
  </si>
  <si>
    <t>Liquidado</t>
  </si>
  <si>
    <t>3201 Fortalecimiento del desempeño ambiental de los sectores productivos</t>
  </si>
  <si>
    <t>Porcentaje de avance en la formulación y/o ajuste de los Planes de Ordenación y Manejo de Cuencas (POMCAS), Planes de Manejo de Acuiferos (PMA), y Planes de Manejo de Microcuencas (PMM).</t>
  </si>
  <si>
    <t>functioning</t>
  </si>
  <si>
    <t>En reserva</t>
  </si>
  <si>
    <t>3202 Conservación de la biodiversidad y sus servicios ecosistémicos</t>
  </si>
  <si>
    <t>Porcentaje de cuerpos de agua con planes de ordenamiento del recurso hidrico (PORH) adoptados</t>
  </si>
  <si>
    <t>null</t>
  </si>
  <si>
    <t>Saldo a favor</t>
  </si>
  <si>
    <t>3203 Gestión integral del recurso hídrico</t>
  </si>
  <si>
    <t>En ejecución</t>
  </si>
  <si>
    <t>3204 Gestión de la información y el conocimiento ambiental</t>
  </si>
  <si>
    <t>Porcentaje de la superficie de áreas protegidas regionales declaradas, homologadas, o recategorizadas, inscritas en el RUNAP</t>
  </si>
  <si>
    <t>3205 Ordenamiento ambiental territorial</t>
  </si>
  <si>
    <t>3206 Gestión del cambio climático para un desarrollo bajo en carbono y resiliente al clima</t>
  </si>
  <si>
    <t>Porcentaje de páramos delimitados por el MADS, con zonificación y regimenes de usos adoptados por la CAR</t>
  </si>
  <si>
    <t>3207 Gestión integral de mares, costas y recursos acuáticos</t>
  </si>
  <si>
    <t>Porcentaje de municipios asesorados o asistidos en la inclusión del componenente ambiental en los procesos de planificacion y ordenamiento territorial, con enfásis en la incorporación de las determinantes ambientales para la revisión y ajuste de los POT</t>
  </si>
  <si>
    <t>3208  Educación Ambiental</t>
  </si>
  <si>
    <t xml:space="preserve">Porcentaje de redes y estaciones de monitoreo en operación </t>
  </si>
  <si>
    <t>3299 Fortalecimiento de la gestión y dirección del Sector Ambiente y Desarrollo Sostenible</t>
  </si>
  <si>
    <t xml:space="preserve">Tiempo promedio de tramite para la resolucion de autorizaciones ambientales otorgadas por la corporación </t>
  </si>
  <si>
    <t>Porcentaje de procesos sancionatorios resueltos</t>
  </si>
  <si>
    <t>Porcentaje de  Planes de Ordenación y Manejo de Cuencas (POMCAS), Planes de Manejo de Acuiferos (PMA), y Planes de Manejo de Microcuencas (PMM) en ejecución</t>
  </si>
  <si>
    <t>Porcentaje de especies amenazadas con medidas de conservación y manejo en ejecución.</t>
  </si>
  <si>
    <t>Porcentaje de áreas de ecosistemas en restauración, rehabilitación y reforestación.</t>
  </si>
  <si>
    <t xml:space="preserve">Porcentaje de sectores con acompañamiento para la reconversion hacia sistemas sostenibles de producción </t>
  </si>
  <si>
    <t>Implementación del programa nacional de negocios verdes por la autoridad ambiental</t>
  </si>
  <si>
    <t>Ejecución de acciones en educación ambiental</t>
  </si>
  <si>
    <t>(20) RESERVA PRESUPUESTAL 2023 $
(16-18)</t>
  </si>
  <si>
    <t>(22) RESERVA PRESUPUESTAL DEL 2021
$</t>
  </si>
  <si>
    <t>(22-A) OBLIGACIONES DE LA RESERVA 2021
 $</t>
  </si>
  <si>
    <t>(23) RESERVA PRESUPUESTAL DEL 2022
$</t>
  </si>
  <si>
    <t>(23-A) OBLIGACIONES DE LA RESERVA 2022
 $</t>
  </si>
  <si>
    <t>(23-B) PORCENTAJE DE AVANCE EJECUCIÓN DE LA RESERVA 2022 $
(23-A/23)</t>
  </si>
  <si>
    <t>(24)                                         META FINANCIERA   DEL PLAN             ($)</t>
  </si>
  <si>
    <t xml:space="preserve">(25) AVANCE 
ACUMULADO DE LREC. COMPROMETIDOS $
</t>
  </si>
  <si>
    <t xml:space="preserve">(26)
PORCENTAJE DE  AVANCE RECURSOS COMPROMETIDOS %
((25/24
</t>
  </si>
  <si>
    <t>(27) AVANCE 
ACUMULADO DE LA EJECUCIÓN DE META
FINANCIERA (REC. OBLIGADOS) $</t>
  </si>
  <si>
    <t xml:space="preserve">(28)
PORCENTAJE DE  AVANCE FINANCIERO ACUMULADO %
((27/24)*100)
</t>
  </si>
  <si>
    <t>(29)
OBSERVACIONES</t>
  </si>
  <si>
    <t>(30)
PROGRAMA DE INVERSIÓN PUBLICA A LA QUE APORTA</t>
  </si>
  <si>
    <t>(31)
IMG AL QUE  APORTA</t>
  </si>
  <si>
    <t>(32)
INDICADOR ODS AL QUE LE APORTA</t>
  </si>
  <si>
    <t>Se realizaron 5 hectareas de restauración activa y pasiva como PSA, mediante el proyecto  cuyo objeto es: IMPLEMENTACIÓN DE ESTRATEGIAS PARA LA CONSERVACIÓN, USO SOSTENIBLE DE LA BIODIVERSIDAD Y RESTAURACIÓN DE LOS SERVICIOS ECOSISTÉMICOS DEL COMPLEJO CENAGOSO DE ZAPATOSA, EN LOS MUNICIPIOS DE TAMALAMEQUE, CURUMANI Y CHIRIGUANA DEPARTAMENTO DEL CESAR”.</t>
  </si>
  <si>
    <t>Se establecen areas bajo esquemas de PSA dentro de la ejecución del proyecto cuyo objeto es: IMPLEMENTACIÓN DE ESTRATEGIAS PARA LA CONSERVACIÓN, USO SOSTENIBLE DE LA BIODIVERSIDAD Y RESTAURACIÓN DE LOS SERVICIOS ECOSISTÉMICOS DEL COMPLEJO CENAGOSO DE ZAPATOSA, EN LOS MUNICIPIOS DE TAMALAMEQUE, CURUMANI Y CHIRIGUANA DEPARTAMENTO DEL CESAR”. Siendo la implementación de PSA una acción coordinada.</t>
  </si>
  <si>
    <t>Se han establecido areas bajo PSA en sistemas productivos dentro de la ejecución del proyecto  cuyo objeto es: IMPLEMENTACIÓN DE ESTRATEGIAS PARA LA CONSERVACIÓN, USO SOSTENIBLE DE LA BIODIVERSIDAD Y RESTAURACIÓN DE LOS SERVICIOS ECOSISTÉMICOS DEL COMPLEJO CENAGOSO DE ZAPATOSA, EN LOS MUNICIPIOS DE TAMALAMEQUE, CURUMANI Y CHIRIGUANA DEPARTAMENTO DEL CESAR”.</t>
  </si>
  <si>
    <t>Se apoyaron proyectos de negocios verdes, los cuales en su gran mayoría se desarrollaron en las vigencias 2020-2022. En el 2023 se ha apoyado 1 negocio verde.</t>
  </si>
  <si>
    <t>En las redes sociales institucionales se realizó una campaña para desincetivar el uso del plástico.</t>
  </si>
  <si>
    <t xml:space="preserve">Se ha participado activamente en los encuentros del NORECCI (Nodo Regional de Cambio Climático Caribe e Insular). El 30 de junio de 2023, se participó en el Encuentro Regional de Acción Climática, en el cual participarán los miembros del NORECCI.
</t>
  </si>
  <si>
    <t xml:space="preserve">Actualmente se encuentra en funcionamiento Link CORPOCESAR (Condiciones alertas ambientales, boletín especial sobre ciclones tropicales, variabilidad climática cambio climático, pronóstico del tiempo). Se publican y se envian a los municipios a los comités de GRD departamental y municipal y a los diferentes sectores, los boletines de condiciones hidrometereologicas y del ambiente y en la temporada de huracanes se emite boletin especial de ciclones tropicales. Através de la estrategia para la vinculación y suscripción de un acuerdo de voluntades con diferentes sectores en la implementación de medidas de mitigación y adaptación del cambio climático se contempla reglamentar un sistema de MRV de las acciones de mitigación a nivel departamental. 
</t>
  </si>
  <si>
    <t>Se elaboró un documento de aplicación de la metodologia EDANA para el caso de incendios en las cuencas de los ríos Garupal y Diluvio, la cual también se aplicó en la cuenca y se encuentra en operación</t>
  </si>
  <si>
    <t>Se contrataron proyectos de restauración de áreas en Cienaga de Zapatosa, Perijá de acuerdo a lo establecido en el POF. Los cuales no han iniciado ejecución. Su ejecución inicia en el segundo semestre.</t>
  </si>
  <si>
    <t>Dentro de los operativos se realizan reuniones para la promocióon y sensibilización de la cultura forestal y reducción de la deforestación como acciones para la articulación y armonización de acciones para la gestión de los bosques.</t>
  </si>
  <si>
    <t>Se avanzó en la fase de aprestamiento de la formulación del POMCA río Medio Cesar.</t>
  </si>
  <si>
    <t>Se adelantaron las siguientes acciones del PM Acuifero - Cesar: 25 de mayo de 2023. Reunión con Drummond Energy Inc, para conocimiento de la aprobación por parte de ANLA, de la propuesta de CORPOCESAR de construcción de la red de monitoreo de aguas subterráneas en el valle del río Cesar (cuencas Sicarare, Fernambuco, San Antonio), Se lleva a cabo la socialización de las Resoluciones mediante las cuales la Autoridad Nacional de Licencias Ambientales da aprobación al Plan de inversión del 1% del valor de los proyectos La Loma (la Resolución No. 00412 del 06 de marzo de 2023 - Bloque La Loma) para la “Construcción de una Red de monitoreo de aguas subterráneas para caracterizar la Unidad Hidrogeológica Aluvial de la Subcuenca Cesar en el sector de la cuenca hidrográfica del Río Sicarare y Fernambuco.”, y Área de Desarrollo Caporo Norte (ADCN) Resolución No. 00266 del 15 de febrero de 2023 (ADCN, a cargo de Drummond Energy, Inc. para la “Construcción de una red de monitoreo de aguas subterráneas para caracterizar la Unidad Hidrogeológica Aluvial como principal acuífero aprovechable de la Subcuenca Cesar en el sector de la cuenca hidrográfica del Rio San Antonio”.
El 23 de junio de 2023 se lleva a cabo reunión con Drummond Energy Inc. y la Oficina Jurídica de CORPOCESAR para acordar el procedimiento de establecimiento de servidumbre de terrenos para la construcción de la red de monitoreo de aguas subterráneas, a partir del concepto emitido por la Oficina Jurídica de la entidad. El proyecto aprobado contempla la Instrumentación y monitoreo del recurso hídrico, a ejecutarse en jurisdicción del Municipio de Agustín Codazzi, teniéndose como principales actividades la Perforación e instrumentación de hasta diez (10) multipiezómetros, y en jurisdicción de los Municipios de La Jagua de Ibirico, Chiriguaná y El Paso, teniéndose como principales actividades la Perforación e instrumentación de hasta siete (7) multipiezómetros, la Capacitación al personal de Corpocesar para operar la red y la Dotación del laboratorio de Corpocesar con los equipos para medición y análisis fisicoquímicos (Seguimiento y monitoreo).
Se revisa y ajusta el cronograma de ejecución del proyecto y el acta de compromiso para la ejecución del proyecto de red de monitoreo de aguas subterráneas. El acta es suscrita por el Director General de CORPOCESAR el 23 de junio de 2023.</t>
  </si>
  <si>
    <t xml:space="preserve">Se realizó  acompañamiento a la implementación del Plan de Educación Ambiental Municipal - PEAM de los CIDEA de González y La Jagua de Ibirico. Asesoría para terminación de construcción del PEAM de los CIDEA´s de Pailitas, Pelaya y Río de Oro y actualización del PEAD del Cesar. </t>
  </si>
  <si>
    <t>Se realizaron reuniones presenciales y virtuales con ACC;SED;SEMVPAR;CORPOCESAR) para avanzar en la solicitud de un proyecto de gestión de conocimiento en cambio climático a través de la  implementación de un curso virtual con actores de las Instituciones Academicas (Instituciones Educativas, Centros Educativos y estudiantes Licenciatura Ciencias Naturales yEducación Ambiental UPC y lideres ambientales)</t>
  </si>
  <si>
    <t>Se celebro orden de compra  Nª 108957 a traves de la TVEC de prestacion de servicio de aseo en el cual se compraron elemetos ambientalmente sostenibles, con lo cual se avanza en la estrategia de compras públicas al interior de la entidad.</t>
  </si>
  <si>
    <t>Se ha participado en reuniones convocadas por ASOCAR´s y MADS para la discución del componente ambiental del PND 2022-2026, en el cual se contempla la creación de fondos, como estrategia para la financiación de proyectos para prevenir la deforestación.</t>
  </si>
  <si>
    <t>19-6-0231-0-2022</t>
  </si>
  <si>
    <t>19-6-0144-0-2023                                19-6-0157-0-2023</t>
  </si>
  <si>
    <t>19-6-0250-0-2022</t>
  </si>
  <si>
    <t>19-6-0144-0-2023                        19-6-0157-0-2023</t>
  </si>
  <si>
    <t>19-6-0187-0-2022</t>
  </si>
  <si>
    <t>orden de compra  Nª 108957</t>
  </si>
  <si>
    <t>Se realiza con la participacion de funcionarios de planta</t>
  </si>
  <si>
    <t>Se realiza con funcionaria de planta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</si>
</sst>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 &quot;€&quot;_-;\-* #,##0.00\ &quot;€&quot;_-;_-* &quot;-&quot;??\ &quot;€&quot;_-;_-@_-"/>
    <numFmt numFmtId="165" formatCode="_-&quot;$&quot;\ * #,##0.00_-;\-&quot;$&quot;\ * #,##0.00_-;_-&quot;$&quot;\ * &quot;-&quot;??_-;_-@_-"/>
    <numFmt numFmtId="166" formatCode="0.0%"/>
    <numFmt numFmtId="167" formatCode="_-* #,##0_-;\-* #,##0_-;_-* &quot;-&quot;??_-;_-@"/>
    <numFmt numFmtId="168" formatCode="[$$-240A]\ #,##0"/>
    <numFmt numFmtId="169" formatCode="&quot;$&quot;\ #,##0.00"/>
    <numFmt numFmtId="170" formatCode="0.0"/>
    <numFmt numFmtId="171" formatCode="#,##0.00_);\-#,##0.00"/>
    <numFmt numFmtId="172" formatCode="#,##0.0"/>
    <numFmt numFmtId="173" formatCode="#,##0.000"/>
    <numFmt numFmtId="174" formatCode="_(* #,##0.00_);_(* \(#,##0.00\);_(* &quot;-&quot;??_);_(@_)"/>
    <numFmt numFmtId="175" formatCode="[$$-240A]\ #,##0.00"/>
    <numFmt numFmtId="176" formatCode="_(* #,##0.000_);_(* \(#,##0.000\);_(* &quot;-&quot;??_);_(@_)"/>
    <numFmt numFmtId="177" formatCode="_(* #,##0_);_(* \(#,##0\);_(* &quot;-&quot;??_);_(@_)"/>
    <numFmt numFmtId="178" formatCode="_-* #,##0_-;\-* #,##0_-;_-* &quot;-&quot;??_-;_-@_-"/>
    <numFmt numFmtId="179" formatCode="0.000"/>
    <numFmt numFmtId="180" formatCode="_-* #,##0.00\ _€_-;\-* #,##0.00\ _€_-;_-* &quot;-&quot;??\ _€_-;_-@_-"/>
    <numFmt numFmtId="181" formatCode="_-* #,##0.0_-;\-* #,##0.0_-;_-* &quot;-&quot;??_-;_-@_-"/>
    <numFmt numFmtId="182" formatCode="_(&quot;$&quot;* #,##0.00_);_(&quot;$&quot;* \(#,##0.00\);_(&quot;$&quot;* &quot;-&quot;??_);_(@_)"/>
    <numFmt numFmtId="183" formatCode="_ * #,##0.00_ ;_ * \-#,##0.00_ ;_ * &quot;-&quot;??_ ;_ @_ "/>
    <numFmt numFmtId="184" formatCode="_ &quot;$&quot;\ * #,##0.00_ ;_ &quot;$&quot;\ * \-#,##0.00_ ;_ &quot;$&quot;\ * &quot;-&quot;??_ ;_ @_ "/>
    <numFmt numFmtId="185" formatCode="_ * #,##0_ ;_ * \-#,##0_ ;_ * &quot;-&quot;??_ ;_ @_ "/>
    <numFmt numFmtId="186" formatCode="_(&quot;$&quot;* #,##0_);_(&quot;$&quot;* \(#,##0\);_(&quot;$&quot;* &quot;-&quot;??_);_(@_)"/>
    <numFmt numFmtId="187" formatCode="#,##0.00\ &quot;€&quot;"/>
  </numFmts>
  <fonts count="11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Narrow"/>
      <family val="2"/>
    </font>
    <font>
      <b/>
      <sz val="12"/>
      <color theme="1"/>
      <name val="Arial Narrow"/>
      <family val="2"/>
    </font>
    <font>
      <sz val="11"/>
      <name val="Calibri"/>
      <family val="2"/>
    </font>
    <font>
      <sz val="11"/>
      <color theme="1"/>
      <name val="Calibri"/>
      <family val="2"/>
    </font>
    <font>
      <b/>
      <sz val="11"/>
      <color theme="1"/>
      <name val="Calibri"/>
      <family val="2"/>
    </font>
    <font>
      <u/>
      <sz val="11"/>
      <color theme="10"/>
      <name val="Calibri"/>
      <family val="2"/>
    </font>
    <font>
      <sz val="11"/>
      <color rgb="FFFFFFFF"/>
      <name val="Arial"/>
      <family val="2"/>
    </font>
    <font>
      <sz val="11"/>
      <color theme="1"/>
      <name val="Calibri"/>
      <family val="2"/>
      <scheme val="minor"/>
    </font>
    <font>
      <u/>
      <sz val="10"/>
      <color rgb="FF0000FF"/>
      <name val="Arial Narrow"/>
      <family val="2"/>
    </font>
    <font>
      <b/>
      <sz val="10"/>
      <color theme="1"/>
      <name val="Arial Narrow"/>
      <family val="2"/>
    </font>
    <font>
      <b/>
      <sz val="10"/>
      <color rgb="FF000000"/>
      <name val="Arial Narrow"/>
      <family val="2"/>
    </font>
    <font>
      <b/>
      <sz val="10"/>
      <color rgb="FFFF0000"/>
      <name val="Arial Narrow"/>
      <family val="2"/>
    </font>
    <font>
      <sz val="10"/>
      <color rgb="FF000000"/>
      <name val="Arial Narrow"/>
      <family val="2"/>
    </font>
    <font>
      <sz val="10"/>
      <color theme="1"/>
      <name val="Arial"/>
      <family val="2"/>
    </font>
    <font>
      <sz val="11"/>
      <color theme="1"/>
      <name val="Arial"/>
      <family val="2"/>
    </font>
    <font>
      <sz val="10"/>
      <color theme="1"/>
      <name val="Calibri"/>
      <family val="2"/>
    </font>
    <font>
      <sz val="10"/>
      <color rgb="FFFF0000"/>
      <name val="Arial Narrow"/>
      <family val="2"/>
    </font>
    <font>
      <sz val="10"/>
      <color rgb="FF000000"/>
      <name val="Arial"/>
      <family val="2"/>
    </font>
    <font>
      <b/>
      <sz val="11"/>
      <color rgb="FF000000"/>
      <name val="Times New Roman"/>
      <family val="1"/>
    </font>
    <font>
      <b/>
      <sz val="10"/>
      <color theme="1"/>
      <name val="Arial"/>
      <family val="2"/>
    </font>
    <font>
      <b/>
      <sz val="11"/>
      <color theme="1"/>
      <name val="Arial"/>
      <family val="2"/>
    </font>
    <font>
      <sz val="9"/>
      <color theme="1"/>
      <name val="Verdana"/>
      <family val="2"/>
    </font>
    <font>
      <b/>
      <sz val="14"/>
      <color rgb="FFFF0000"/>
      <name val="Arial"/>
      <family val="2"/>
    </font>
    <font>
      <b/>
      <sz val="14"/>
      <color theme="1"/>
      <name val="Arial"/>
      <family val="2"/>
    </font>
    <font>
      <sz val="14"/>
      <color theme="1"/>
      <name val="Arial"/>
      <family val="2"/>
    </font>
    <font>
      <b/>
      <sz val="14"/>
      <color theme="1"/>
      <name val="Arial Narrow"/>
      <family val="2"/>
    </font>
    <font>
      <sz val="9"/>
      <color rgb="FF000000"/>
      <name val="Calibri"/>
      <family val="2"/>
    </font>
    <font>
      <b/>
      <i/>
      <sz val="9"/>
      <color rgb="FF000000"/>
      <name val="Calibri"/>
      <family val="2"/>
    </font>
    <font>
      <i/>
      <sz val="9"/>
      <color rgb="FF000000"/>
      <name val="Calibri"/>
      <family val="2"/>
    </font>
    <font>
      <sz val="9"/>
      <color theme="1"/>
      <name val="Calibri"/>
      <family val="2"/>
    </font>
    <font>
      <sz val="10"/>
      <color rgb="FF006100"/>
      <name val="Calibri"/>
      <family val="2"/>
    </font>
    <font>
      <u/>
      <sz val="11"/>
      <color theme="10"/>
      <name val="Calibri"/>
      <family val="2"/>
    </font>
    <font>
      <b/>
      <u/>
      <sz val="9"/>
      <color rgb="FF000000"/>
      <name val="Calibri"/>
      <family val="2"/>
    </font>
    <font>
      <sz val="8"/>
      <color rgb="FF000000"/>
      <name val="Calibri"/>
      <family val="2"/>
    </font>
    <font>
      <b/>
      <u/>
      <sz val="9"/>
      <color rgb="FF000000"/>
      <name val="Calibri"/>
      <family val="2"/>
    </font>
    <font>
      <b/>
      <u/>
      <sz val="9"/>
      <color rgb="FF000000"/>
      <name val="Calibri"/>
      <family val="2"/>
    </font>
    <font>
      <b/>
      <u/>
      <sz val="9"/>
      <color rgb="FF000000"/>
      <name val="Calibri"/>
      <family val="2"/>
    </font>
    <font>
      <b/>
      <sz val="9"/>
      <color rgb="FF000000"/>
      <name val="Calibri"/>
      <family val="2"/>
    </font>
    <font>
      <u/>
      <sz val="9"/>
      <color rgb="FF000000"/>
      <name val="Calibri"/>
      <family val="2"/>
    </font>
    <font>
      <sz val="7"/>
      <color rgb="FF000000"/>
      <name val="Times New Roman"/>
      <family val="1"/>
    </font>
    <font>
      <vertAlign val="subscript"/>
      <sz val="9"/>
      <color rgb="FF000000"/>
      <name val="Calibri"/>
      <family val="2"/>
    </font>
    <font>
      <sz val="10"/>
      <color theme="1"/>
      <name val="Arial Narrow"/>
      <family val="2"/>
    </font>
    <font>
      <sz val="10"/>
      <color theme="1"/>
      <name val="Arial"/>
      <family val="2"/>
    </font>
    <font>
      <sz val="11"/>
      <name val="Arial Narrow"/>
      <family val="2"/>
    </font>
    <font>
      <sz val="10"/>
      <color rgb="FF000000"/>
      <name val="Arial Narrow"/>
      <family val="2"/>
    </font>
    <font>
      <b/>
      <sz val="11"/>
      <color theme="1"/>
      <name val="Calibri"/>
      <family val="2"/>
      <scheme val="minor"/>
    </font>
    <font>
      <b/>
      <sz val="9"/>
      <name val="Verdana"/>
      <family val="2"/>
    </font>
    <font>
      <b/>
      <sz val="10"/>
      <name val="Arial Narrow"/>
      <family val="2"/>
    </font>
    <font>
      <sz val="9"/>
      <name val="Verdana"/>
      <family val="2"/>
    </font>
    <font>
      <sz val="10"/>
      <name val="Arial Narrow"/>
      <family val="2"/>
    </font>
    <font>
      <b/>
      <sz val="9"/>
      <color indexed="81"/>
      <name val="Tahoma"/>
      <family val="2"/>
    </font>
    <font>
      <sz val="9"/>
      <color indexed="81"/>
      <name val="Tahoma"/>
      <family val="2"/>
    </font>
    <font>
      <sz val="10"/>
      <name val="Arial"/>
      <family val="2"/>
    </font>
    <font>
      <b/>
      <sz val="10"/>
      <name val="Arial"/>
      <family val="2"/>
    </font>
    <font>
      <b/>
      <sz val="11"/>
      <color theme="1"/>
      <name val="Arial"/>
      <family val="2"/>
    </font>
    <font>
      <sz val="11"/>
      <color theme="1"/>
      <name val="Calibri"/>
      <family val="2"/>
    </font>
    <font>
      <b/>
      <sz val="11"/>
      <name val="Calibri"/>
      <family val="2"/>
      <scheme val="minor"/>
    </font>
    <font>
      <b/>
      <sz val="14"/>
      <color theme="1"/>
      <name val="Arial Narrow"/>
      <family val="2"/>
    </font>
    <font>
      <b/>
      <sz val="14"/>
      <color rgb="FFFF0000"/>
      <name val="Arial Narrow"/>
      <family val="2"/>
    </font>
    <font>
      <b/>
      <sz val="14"/>
      <name val="Arial Narrow"/>
      <family val="2"/>
    </font>
    <font>
      <sz val="14"/>
      <color theme="1"/>
      <name val="Arial Narrow"/>
      <family val="2"/>
    </font>
    <font>
      <sz val="14"/>
      <color rgb="FF000000"/>
      <name val="Arial Narrow"/>
      <family val="2"/>
    </font>
    <font>
      <b/>
      <sz val="14"/>
      <color rgb="FF000000"/>
      <name val="Arial Narrow"/>
      <family val="2"/>
    </font>
    <font>
      <sz val="14"/>
      <name val="Arial Narrow"/>
      <family val="2"/>
    </font>
    <font>
      <b/>
      <sz val="9"/>
      <color rgb="FF000000"/>
      <name val="Verdana"/>
      <family val="2"/>
    </font>
    <font>
      <sz val="9"/>
      <color rgb="FF000000"/>
      <name val="Verdana"/>
      <family val="2"/>
    </font>
    <font>
      <b/>
      <sz val="11"/>
      <color rgb="FF000000"/>
      <name val="Calibri"/>
      <family val="2"/>
    </font>
    <font>
      <sz val="11"/>
      <color rgb="FF000000"/>
      <name val="Calibri"/>
      <family val="2"/>
    </font>
    <font>
      <sz val="9"/>
      <color theme="1"/>
      <name val="Arial"/>
      <family val="2"/>
    </font>
    <font>
      <b/>
      <sz val="10"/>
      <color rgb="FFFFFFFF"/>
      <name val="Arial Narrow"/>
      <family val="2"/>
    </font>
    <font>
      <b/>
      <sz val="10"/>
      <color theme="1"/>
      <name val="Arial Narrow"/>
      <family val="2"/>
    </font>
    <font>
      <sz val="10"/>
      <color theme="1"/>
      <name val="Arial Narrow"/>
      <family val="2"/>
    </font>
    <font>
      <b/>
      <sz val="11"/>
      <name val="Calibri"/>
      <family val="2"/>
    </font>
    <font>
      <b/>
      <i/>
      <sz val="11"/>
      <color rgb="FF000000"/>
      <name val="Arial Narrow"/>
      <family val="2"/>
    </font>
    <font>
      <sz val="11"/>
      <color rgb="FFC00000"/>
      <name val="Arial Narrow"/>
      <family val="2"/>
    </font>
    <font>
      <b/>
      <sz val="11"/>
      <name val="Arial Narrow"/>
      <family val="2"/>
    </font>
    <font>
      <b/>
      <sz val="11"/>
      <color rgb="FF000000"/>
      <name val="Arial Narrow"/>
      <family val="2"/>
    </font>
    <font>
      <sz val="11"/>
      <color rgb="FF000000"/>
      <name val="Arial Narrow"/>
      <family val="2"/>
    </font>
    <font>
      <b/>
      <sz val="9"/>
      <color rgb="FF000000"/>
      <name val="Tahoma"/>
      <family val="2"/>
    </font>
    <font>
      <sz val="9"/>
      <color rgb="FF000000"/>
      <name val="Tahoma"/>
      <family val="2"/>
    </font>
    <font>
      <b/>
      <sz val="12"/>
      <color indexed="8"/>
      <name val="Times New Roman"/>
      <family val="1"/>
    </font>
    <font>
      <sz val="12"/>
      <color theme="1"/>
      <name val="Arial Narrow"/>
      <family val="2"/>
    </font>
    <font>
      <sz val="12"/>
      <color indexed="8"/>
      <name val="Times New Roman"/>
      <family val="1"/>
    </font>
    <font>
      <sz val="12"/>
      <color theme="1"/>
      <name val="Calibri"/>
      <family val="2"/>
      <scheme val="minor"/>
    </font>
    <font>
      <sz val="10"/>
      <color rgb="FFFF0000"/>
      <name val="Arial"/>
      <family val="2"/>
    </font>
    <font>
      <sz val="11"/>
      <color theme="1"/>
      <name val="Calibri"/>
      <family val="2"/>
      <scheme val="minor"/>
    </font>
    <font>
      <sz val="14"/>
      <name val="Arial"/>
      <family val="2"/>
    </font>
    <font>
      <sz val="11"/>
      <name val="Calibri"/>
      <family val="2"/>
      <scheme val="minor"/>
    </font>
    <font>
      <sz val="11"/>
      <color theme="1"/>
      <name val="Calibri"/>
      <family val="2"/>
    </font>
    <font>
      <sz val="9"/>
      <name val="Arial"/>
      <family val="2"/>
    </font>
    <font>
      <sz val="9"/>
      <color rgb="FF000000"/>
      <name val="Arial"/>
      <family val="2"/>
    </font>
    <font>
      <sz val="9"/>
      <color rgb="FFFFFFFF"/>
      <name val="Verdana"/>
      <family val="2"/>
    </font>
    <font>
      <b/>
      <sz val="9"/>
      <color rgb="FFFFFFFF"/>
      <name val="Verdana"/>
      <family val="2"/>
    </font>
    <font>
      <b/>
      <sz val="11"/>
      <color rgb="FFFFFFFF"/>
      <name val="Calibri"/>
      <family val="2"/>
    </font>
    <font>
      <sz val="6"/>
      <color indexed="8"/>
      <name val="Times New Roman"/>
      <family val="1"/>
    </font>
    <font>
      <sz val="10"/>
      <color theme="1"/>
      <name val="Calibri"/>
      <family val="2"/>
      <scheme val="minor"/>
    </font>
    <font>
      <sz val="6"/>
      <color indexed="8"/>
      <name val="Times New Roman"/>
      <family val="1"/>
    </font>
    <font>
      <b/>
      <sz val="18"/>
      <color theme="1"/>
      <name val="Algerian"/>
      <family val="5"/>
    </font>
    <font>
      <sz val="14"/>
      <color theme="1"/>
      <name val="Arial Black"/>
      <family val="2"/>
    </font>
    <font>
      <sz val="9"/>
      <color theme="1"/>
      <name val="Arial Black"/>
      <family val="2"/>
    </font>
    <font>
      <sz val="12"/>
      <color theme="1"/>
      <name val="Arial Black"/>
      <family val="2"/>
    </font>
    <font>
      <sz val="16"/>
      <color theme="1"/>
      <name val="Arial Black"/>
      <family val="2"/>
    </font>
    <font>
      <sz val="16"/>
      <color rgb="FFFF0000"/>
      <name val="Arial Black"/>
      <family val="2"/>
    </font>
    <font>
      <sz val="11"/>
      <color rgb="FFFF0000"/>
      <name val="Arial Narrow"/>
      <family val="2"/>
    </font>
    <font>
      <sz val="10"/>
      <color rgb="FF000000"/>
      <name val="Calibri"/>
      <family val="2"/>
    </font>
    <font>
      <sz val="11"/>
      <color rgb="FF0000FF"/>
      <name val="Arial Narrow"/>
      <family val="2"/>
    </font>
    <font>
      <sz val="11"/>
      <color theme="1"/>
      <name val="Arial Narrow"/>
      <family val="2"/>
    </font>
    <font>
      <sz val="10"/>
      <color indexed="8"/>
      <name val="Times New Roman"/>
      <family val="1"/>
    </font>
  </fonts>
  <fills count="113">
    <fill>
      <patternFill patternType="none"/>
    </fill>
    <fill>
      <patternFill patternType="gray125"/>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00FF00"/>
        <bgColor rgb="FF00FF00"/>
      </patternFill>
    </fill>
    <fill>
      <patternFill patternType="solid">
        <fgColor rgb="FFFFE598"/>
        <bgColor rgb="FFFFE598"/>
      </patternFill>
    </fill>
    <fill>
      <patternFill patternType="solid">
        <fgColor rgb="FFFFFF99"/>
        <bgColor rgb="FFFFFF99"/>
      </patternFill>
    </fill>
    <fill>
      <patternFill patternType="solid">
        <fgColor rgb="FFFFFF00"/>
        <bgColor rgb="FFFFFF00"/>
      </patternFill>
    </fill>
    <fill>
      <patternFill patternType="solid">
        <fgColor rgb="FFFF99CC"/>
        <bgColor rgb="FFFF99CC"/>
      </patternFill>
    </fill>
    <fill>
      <patternFill patternType="solid">
        <fgColor rgb="FFFF00FF"/>
        <bgColor rgb="FFFF00FF"/>
      </patternFill>
    </fill>
    <fill>
      <patternFill patternType="solid">
        <fgColor rgb="FF66FF66"/>
        <bgColor rgb="FF66FF66"/>
      </patternFill>
    </fill>
    <fill>
      <patternFill patternType="solid">
        <fgColor rgb="FF99FF99"/>
        <bgColor rgb="FF99FF99"/>
      </patternFill>
    </fill>
    <fill>
      <patternFill patternType="solid">
        <fgColor theme="0"/>
        <bgColor theme="0"/>
      </patternFill>
    </fill>
    <fill>
      <patternFill patternType="solid">
        <fgColor rgb="FF92D050"/>
        <bgColor rgb="FF92D050"/>
      </patternFill>
    </fill>
    <fill>
      <patternFill patternType="solid">
        <fgColor rgb="FF99FFCC"/>
        <bgColor rgb="FF99FFCC"/>
      </patternFill>
    </fill>
    <fill>
      <patternFill patternType="solid">
        <fgColor rgb="FFE1FFE1"/>
        <bgColor rgb="FFE1FFE1"/>
      </patternFill>
    </fill>
    <fill>
      <patternFill patternType="solid">
        <fgColor rgb="FFA8D08D"/>
        <bgColor rgb="FFA8D08D"/>
      </patternFill>
    </fill>
    <fill>
      <patternFill patternType="solid">
        <fgColor rgb="FFC5E0B3"/>
        <bgColor rgb="FFC5E0B3"/>
      </patternFill>
    </fill>
    <fill>
      <patternFill patternType="solid">
        <fgColor rgb="FFE2EFD9"/>
        <bgColor rgb="FFE2EFD9"/>
      </patternFill>
    </fill>
    <fill>
      <patternFill patternType="solid">
        <fgColor rgb="FFF7CAAC"/>
        <bgColor rgb="FFF7CAAC"/>
      </patternFill>
    </fill>
    <fill>
      <patternFill patternType="solid">
        <fgColor rgb="FFD8D8D8"/>
        <bgColor rgb="FFD8D8D8"/>
      </patternFill>
    </fill>
    <fill>
      <patternFill patternType="solid">
        <fgColor rgb="FFD9D9D9"/>
        <bgColor rgb="FFD9D9D9"/>
      </patternFill>
    </fill>
    <fill>
      <patternFill patternType="solid">
        <fgColor theme="0"/>
        <bgColor rgb="FFFF0000"/>
      </patternFill>
    </fill>
    <fill>
      <patternFill patternType="solid">
        <fgColor theme="0"/>
        <bgColor rgb="FF92D050"/>
      </patternFill>
    </fill>
    <fill>
      <patternFill patternType="solid">
        <fgColor theme="4" tint="0.59999389629810485"/>
        <bgColor rgb="FFCCFFCC"/>
      </patternFill>
    </fill>
    <fill>
      <patternFill patternType="solid">
        <fgColor theme="4" tint="0.59999389629810485"/>
        <bgColor rgb="FFE1FFE1"/>
      </patternFill>
    </fill>
    <fill>
      <patternFill patternType="solid">
        <fgColor theme="4" tint="0.59999389629810485"/>
        <bgColor indexed="64"/>
      </patternFill>
    </fill>
    <fill>
      <patternFill patternType="solid">
        <fgColor rgb="FFFFFF00"/>
        <bgColor rgb="FFA8D08D"/>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59999389629810485"/>
        <bgColor rgb="FFFF99CC"/>
      </patternFill>
    </fill>
    <fill>
      <patternFill patternType="solid">
        <fgColor theme="7" tint="0.59999389629810485"/>
        <bgColor rgb="FFFFFF00"/>
      </patternFill>
    </fill>
    <fill>
      <patternFill patternType="solid">
        <fgColor theme="9" tint="0.79998168889431442"/>
        <bgColor rgb="FFC5E0B3"/>
      </patternFill>
    </fill>
    <fill>
      <patternFill patternType="solid">
        <fgColor theme="9" tint="0.79998168889431442"/>
        <bgColor rgb="FFCCFFCC"/>
      </patternFill>
    </fill>
    <fill>
      <patternFill patternType="solid">
        <fgColor theme="9" tint="0.79998168889431442"/>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4.9989318521683403E-2"/>
        <bgColor rgb="FFE2EFD9"/>
      </patternFill>
    </fill>
    <fill>
      <patternFill patternType="solid">
        <fgColor theme="0" tint="-4.9989318521683403E-2"/>
        <bgColor indexed="64"/>
      </patternFill>
    </fill>
    <fill>
      <patternFill patternType="solid">
        <fgColor theme="9" tint="0.79998168889431442"/>
        <bgColor rgb="FFE2EFD9"/>
      </patternFill>
    </fill>
    <fill>
      <patternFill patternType="solid">
        <fgColor theme="8" tint="0.79998168889431442"/>
        <bgColor indexed="64"/>
      </patternFill>
    </fill>
    <fill>
      <patternFill patternType="solid">
        <fgColor theme="0"/>
        <bgColor rgb="FFCCFFCC"/>
      </patternFill>
    </fill>
    <fill>
      <patternFill patternType="solid">
        <fgColor theme="0"/>
        <bgColor rgb="FFE2EFD9"/>
      </patternFill>
    </fill>
    <fill>
      <patternFill patternType="solid">
        <fgColor theme="0"/>
        <bgColor rgb="FFA8D08D"/>
      </patternFill>
    </fill>
    <fill>
      <patternFill patternType="solid">
        <fgColor rgb="FF66FF66"/>
        <bgColor indexed="64"/>
      </patternFill>
    </fill>
    <fill>
      <patternFill patternType="solid">
        <fgColor rgb="FF66FF66"/>
        <bgColor rgb="FFA8D08D"/>
      </patternFill>
    </fill>
    <fill>
      <patternFill patternType="solid">
        <fgColor rgb="FFB4D79D"/>
        <bgColor rgb="FFA8D08D"/>
      </patternFill>
    </fill>
    <fill>
      <patternFill patternType="solid">
        <fgColor rgb="FFCCFFCC"/>
        <bgColor rgb="FFA8D08D"/>
      </patternFill>
    </fill>
    <fill>
      <patternFill patternType="solid">
        <fgColor rgb="FFE1FFE1"/>
        <bgColor indexed="64"/>
      </patternFill>
    </fill>
    <fill>
      <patternFill patternType="solid">
        <fgColor rgb="FF70AD47"/>
        <bgColor rgb="FF70AD47"/>
      </patternFill>
    </fill>
    <fill>
      <patternFill patternType="solid">
        <fgColor rgb="FFFFFFFF"/>
        <bgColor rgb="FFFFFF00"/>
      </patternFill>
    </fill>
    <fill>
      <patternFill patternType="solid">
        <fgColor rgb="FFFFFFFF"/>
        <bgColor indexed="64"/>
      </patternFill>
    </fill>
    <fill>
      <patternFill patternType="solid">
        <fgColor theme="9"/>
        <bgColor indexed="64"/>
      </patternFill>
    </fill>
    <fill>
      <patternFill patternType="solid">
        <fgColor theme="9"/>
        <bgColor rgb="FF92D050"/>
      </patternFill>
    </fill>
    <fill>
      <patternFill patternType="solid">
        <fgColor rgb="FF92D050"/>
        <bgColor indexed="64"/>
      </patternFill>
    </fill>
    <fill>
      <patternFill patternType="solid">
        <fgColor rgb="FF66FF33"/>
        <bgColor indexed="64"/>
      </patternFill>
    </fill>
    <fill>
      <patternFill patternType="solid">
        <fgColor rgb="FF66FF33"/>
        <bgColor rgb="FFA8D08D"/>
      </patternFill>
    </fill>
    <fill>
      <patternFill patternType="solid">
        <fgColor rgb="FF66FF33"/>
        <bgColor rgb="FFE2EFD9"/>
      </patternFill>
    </fill>
    <fill>
      <patternFill patternType="solid">
        <fgColor theme="0"/>
        <bgColor rgb="FFFFFF00"/>
      </patternFill>
    </fill>
    <fill>
      <patternFill patternType="solid">
        <fgColor rgb="FFFFFF00"/>
        <bgColor rgb="FF000000"/>
      </patternFill>
    </fill>
    <fill>
      <patternFill patternType="solid">
        <fgColor rgb="FF92D050"/>
        <bgColor rgb="FF000000"/>
      </patternFill>
    </fill>
    <fill>
      <patternFill patternType="solid">
        <fgColor rgb="FFFF0000"/>
        <bgColor rgb="FF000000"/>
      </patternFill>
    </fill>
    <fill>
      <patternFill patternType="solid">
        <fgColor rgb="FF00B0F0"/>
        <bgColor rgb="FF000000"/>
      </patternFill>
    </fill>
    <fill>
      <patternFill patternType="solid">
        <fgColor rgb="FFFFE699"/>
        <bgColor rgb="FF000000"/>
      </patternFill>
    </fill>
    <fill>
      <patternFill patternType="solid">
        <fgColor rgb="FFF8CBAD"/>
        <bgColor rgb="FF000000"/>
      </patternFill>
    </fill>
    <fill>
      <patternFill patternType="solid">
        <fgColor rgb="FFBDD7EE"/>
        <bgColor rgb="FF000000"/>
      </patternFill>
    </fill>
    <fill>
      <patternFill patternType="solid">
        <fgColor rgb="FFFFF2CC"/>
        <bgColor rgb="FF000000"/>
      </patternFill>
    </fill>
    <fill>
      <patternFill patternType="solid">
        <fgColor rgb="FFEDEDED"/>
        <bgColor rgb="FF000000"/>
      </patternFill>
    </fill>
    <fill>
      <patternFill patternType="solid">
        <fgColor rgb="FF00FFCC"/>
        <bgColor rgb="FF000000"/>
      </patternFill>
    </fill>
    <fill>
      <patternFill patternType="solid">
        <fgColor rgb="FFFFFFFF"/>
        <bgColor rgb="FF000000"/>
      </patternFill>
    </fill>
    <fill>
      <patternFill patternType="solid">
        <fgColor rgb="FFEAD1DC"/>
        <bgColor rgb="FF000000"/>
      </patternFill>
    </fill>
    <fill>
      <patternFill patternType="solid">
        <fgColor rgb="FFFCE4D6"/>
        <bgColor rgb="FF000000"/>
      </patternFill>
    </fill>
    <fill>
      <patternFill patternType="solid">
        <fgColor rgb="FFFFFFFF"/>
        <bgColor rgb="FFFFFFFF"/>
      </patternFill>
    </fill>
    <fill>
      <patternFill patternType="solid">
        <fgColor rgb="FFFFD966"/>
        <bgColor rgb="FF000000"/>
      </patternFill>
    </fill>
    <fill>
      <patternFill patternType="solid">
        <fgColor rgb="FFFFE599"/>
        <bgColor rgb="FF000000"/>
      </patternFill>
    </fill>
    <fill>
      <patternFill patternType="solid">
        <fgColor rgb="FFD9E6FC"/>
        <bgColor rgb="FF000000"/>
      </patternFill>
    </fill>
    <fill>
      <patternFill patternType="solid">
        <fgColor rgb="FFF5F9FD"/>
        <bgColor rgb="FF000000"/>
      </patternFill>
    </fill>
    <fill>
      <patternFill patternType="solid">
        <fgColor rgb="FFCCFFCC"/>
        <bgColor rgb="FF000000"/>
      </patternFill>
    </fill>
    <fill>
      <patternFill patternType="solid">
        <fgColor rgb="FF66FF33"/>
        <bgColor rgb="FF000000"/>
      </patternFill>
    </fill>
    <fill>
      <patternFill patternType="solid">
        <fgColor rgb="FF00FFCC"/>
        <bgColor indexed="64"/>
      </patternFill>
    </fill>
    <fill>
      <patternFill patternType="solid">
        <fgColor rgb="FFFFFF00"/>
        <bgColor rgb="FFFF0000"/>
      </patternFill>
    </fill>
    <fill>
      <patternFill patternType="solid">
        <fgColor rgb="FFCCFFCC"/>
        <bgColor rgb="FF99FF99"/>
      </patternFill>
    </fill>
    <fill>
      <patternFill patternType="solid">
        <fgColor rgb="FFFFFFFF"/>
        <bgColor rgb="FFE2EFD9"/>
      </patternFill>
    </fill>
    <fill>
      <patternFill patternType="solid">
        <fgColor rgb="FFFFFFFF"/>
        <bgColor rgb="FFA8D08D"/>
      </patternFill>
    </fill>
    <fill>
      <patternFill patternType="solid">
        <fgColor rgb="FFE1FFE1"/>
        <bgColor rgb="FF000000"/>
      </patternFill>
    </fill>
    <fill>
      <patternFill patternType="solid">
        <fgColor rgb="FF0070C0"/>
        <bgColor rgb="FF000000"/>
      </patternFill>
    </fill>
    <fill>
      <patternFill patternType="solid">
        <fgColor rgb="FF8EA9DB"/>
        <bgColor rgb="FF000000"/>
      </patternFill>
    </fill>
    <fill>
      <patternFill patternType="solid">
        <fgColor rgb="FFB4C6E7"/>
        <bgColor rgb="FF000000"/>
      </patternFill>
    </fill>
    <fill>
      <patternFill patternType="solid">
        <fgColor rgb="FFD9E1F2"/>
        <bgColor rgb="FF000000"/>
      </patternFill>
    </fill>
    <fill>
      <patternFill patternType="solid">
        <fgColor rgb="FFDDEBF7"/>
        <bgColor rgb="FF000000"/>
      </patternFill>
    </fill>
    <fill>
      <patternFill patternType="solid">
        <fgColor rgb="FF66FF33"/>
        <bgColor theme="0"/>
      </patternFill>
    </fill>
    <fill>
      <patternFill patternType="solid">
        <fgColor rgb="FFCCFFCC"/>
        <bgColor indexed="64"/>
      </patternFill>
    </fill>
    <fill>
      <patternFill patternType="solid">
        <fgColor rgb="FFED7D31"/>
        <bgColor rgb="FF000000"/>
      </patternFill>
    </fill>
    <fill>
      <patternFill patternType="solid">
        <fgColor rgb="FFF5E3EB"/>
        <bgColor rgb="FF000000"/>
      </patternFill>
    </fill>
    <fill>
      <patternFill patternType="solid">
        <fgColor rgb="FFE0FACD"/>
        <bgColor rgb="FF000000"/>
      </patternFill>
    </fill>
    <fill>
      <patternFill patternType="solid">
        <fgColor rgb="FFCCF1B0"/>
        <bgColor rgb="FF000000"/>
      </patternFill>
    </fill>
    <fill>
      <patternFill patternType="solid">
        <fgColor rgb="FFE7E6E6"/>
        <bgColor rgb="FF000000"/>
      </patternFill>
    </fill>
    <fill>
      <patternFill patternType="solid">
        <fgColor rgb="FFEDFFE0"/>
        <bgColor rgb="FF000000"/>
      </patternFill>
    </fill>
    <fill>
      <patternFill patternType="solid">
        <fgColor rgb="FFF191E4"/>
        <bgColor rgb="FF000000"/>
      </patternFill>
    </fill>
    <fill>
      <patternFill patternType="solid">
        <fgColor rgb="FFFAC7F3"/>
        <bgColor rgb="FF000000"/>
      </patternFill>
    </fill>
    <fill>
      <patternFill patternType="solid">
        <fgColor rgb="FFB3CEFA"/>
        <bgColor rgb="FF000000"/>
      </patternFill>
    </fill>
    <fill>
      <patternFill patternType="solid">
        <fgColor rgb="FFFFFFFF"/>
        <bgColor rgb="FFB3CEFA"/>
      </patternFill>
    </fill>
    <fill>
      <patternFill patternType="solid">
        <fgColor rgb="FFFFFF00"/>
        <bgColor theme="0"/>
      </patternFill>
    </fill>
    <fill>
      <patternFill patternType="solid">
        <fgColor rgb="FFCCFFCC"/>
        <bgColor rgb="FFFFFF00"/>
      </patternFill>
    </fill>
    <fill>
      <patternFill patternType="solid">
        <fgColor rgb="FFFFFF00"/>
        <bgColor rgb="FF66FF66"/>
      </patternFill>
    </fill>
    <fill>
      <patternFill patternType="solid">
        <fgColor rgb="FFFFFFFF"/>
        <bgColor theme="0"/>
      </patternFill>
    </fill>
    <fill>
      <patternFill patternType="solid">
        <fgColor rgb="FFFFFF00"/>
        <bgColor rgb="FFE1FFE1"/>
      </patternFill>
    </fill>
    <fill>
      <patternFill patternType="solid">
        <fgColor rgb="FFFFFF00"/>
        <bgColor rgb="FFCCFFCC"/>
      </patternFill>
    </fill>
    <fill>
      <patternFill patternType="solid">
        <fgColor rgb="FF66FFFF"/>
        <bgColor rgb="FFFF00FF"/>
      </patternFill>
    </fill>
    <fill>
      <patternFill patternType="solid">
        <fgColor rgb="FF66FFFF"/>
        <bgColor rgb="FFFFFF99"/>
      </patternFill>
    </fill>
  </fills>
  <borders count="8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style="medium">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medium">
        <color rgb="FF000000"/>
      </left>
      <right style="medium">
        <color rgb="FF000000"/>
      </right>
      <top style="double">
        <color rgb="FFFF8001"/>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bottom style="thin">
        <color rgb="FF000000"/>
      </bottom>
      <diagonal/>
    </border>
    <border>
      <left/>
      <right style="thin">
        <color rgb="FF000000"/>
      </right>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style="double">
        <color indexed="64"/>
      </left>
      <right/>
      <top/>
      <bottom style="thin">
        <color indexed="64"/>
      </bottom>
      <diagonal/>
    </border>
    <border>
      <left/>
      <right/>
      <top/>
      <bottom style="thin">
        <color indexed="64"/>
      </bottom>
      <diagonal/>
    </border>
    <border>
      <left style="double">
        <color indexed="64"/>
      </left>
      <right/>
      <top/>
      <bottom/>
      <diagonal/>
    </border>
    <border>
      <left style="thin">
        <color rgb="FF000000"/>
      </left>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right/>
      <top style="thin">
        <color rgb="FF000000"/>
      </top>
      <bottom/>
      <diagonal/>
    </border>
    <border>
      <left/>
      <right/>
      <top style="thin">
        <color indexed="64"/>
      </top>
      <bottom style="thin">
        <color indexed="64"/>
      </bottom>
      <diagonal/>
    </border>
  </borders>
  <cellStyleXfs count="16">
    <xf numFmtId="0" fontId="0" fillId="0" borderId="0"/>
    <xf numFmtId="9" fontId="15" fillId="0" borderId="0" applyFont="0" applyFill="0" applyBorder="0" applyAlignment="0" applyProtection="0"/>
    <xf numFmtId="43" fontId="15" fillId="0" borderId="0" applyFont="0" applyFill="0" applyBorder="0" applyAlignment="0" applyProtection="0"/>
    <xf numFmtId="0" fontId="60" fillId="0" borderId="19"/>
    <xf numFmtId="165" fontId="15" fillId="0" borderId="0" applyFont="0" applyFill="0" applyBorder="0" applyAlignment="0" applyProtection="0"/>
    <xf numFmtId="0" fontId="60" fillId="0" borderId="19"/>
    <xf numFmtId="0" fontId="4" fillId="0" borderId="19"/>
    <xf numFmtId="183" fontId="60" fillId="0" borderId="19" applyFont="0" applyFill="0" applyBorder="0" applyAlignment="0" applyProtection="0"/>
    <xf numFmtId="184" fontId="60" fillId="0" borderId="19" applyFont="0" applyFill="0" applyBorder="0" applyAlignment="0" applyProtection="0"/>
    <xf numFmtId="164" fontId="4" fillId="0" borderId="19" applyFont="0" applyFill="0" applyBorder="0" applyAlignment="0" applyProtection="0"/>
    <xf numFmtId="0" fontId="93" fillId="0" borderId="19"/>
    <xf numFmtId="43" fontId="3" fillId="0" borderId="19" applyFont="0" applyFill="0" applyBorder="0" applyAlignment="0" applyProtection="0"/>
    <xf numFmtId="9" fontId="3" fillId="0" borderId="19" applyFont="0" applyFill="0" applyBorder="0" applyAlignment="0" applyProtection="0"/>
    <xf numFmtId="0" fontId="93" fillId="0" borderId="19"/>
    <xf numFmtId="0" fontId="93" fillId="0" borderId="19"/>
    <xf numFmtId="0" fontId="1" fillId="0" borderId="19"/>
  </cellStyleXfs>
  <cellXfs count="1336">
    <xf numFmtId="0" fontId="0" fillId="0" borderId="0" xfId="0"/>
    <xf numFmtId="0" fontId="8" fillId="2" borderId="1" xfId="0" applyFont="1" applyFill="1" applyBorder="1" applyAlignment="1">
      <alignment vertical="center" wrapText="1"/>
    </xf>
    <xf numFmtId="0" fontId="8" fillId="2" borderId="2" xfId="0" applyFont="1" applyFill="1" applyBorder="1" applyAlignment="1">
      <alignment vertical="center" wrapText="1"/>
    </xf>
    <xf numFmtId="0" fontId="8" fillId="2" borderId="3" xfId="0" applyFont="1" applyFill="1" applyBorder="1" applyAlignment="1">
      <alignment vertical="center" wrapText="1"/>
    </xf>
    <xf numFmtId="0" fontId="8" fillId="0" borderId="0" xfId="0" applyFont="1" applyAlignment="1">
      <alignment vertical="center" wrapText="1"/>
    </xf>
    <xf numFmtId="0" fontId="8" fillId="0" borderId="0" xfId="0" applyFont="1" applyAlignment="1">
      <alignment vertical="center"/>
    </xf>
    <xf numFmtId="0" fontId="11" fillId="0" borderId="0" xfId="0" applyFont="1" applyAlignment="1">
      <alignment vertical="center"/>
    </xf>
    <xf numFmtId="0" fontId="15" fillId="0" borderId="0" xfId="0" applyFont="1"/>
    <xf numFmtId="0" fontId="11" fillId="0" borderId="0" xfId="0" applyFont="1"/>
    <xf numFmtId="0" fontId="8" fillId="0" borderId="0" xfId="0" applyFont="1"/>
    <xf numFmtId="0" fontId="16" fillId="0" borderId="7" xfId="0" applyFont="1" applyBorder="1" applyAlignment="1">
      <alignment horizontal="left" vertical="top"/>
    </xf>
    <xf numFmtId="0" fontId="17" fillId="4" borderId="7" xfId="0" applyFont="1" applyFill="1" applyBorder="1" applyAlignment="1">
      <alignment horizontal="center" vertical="center" wrapText="1"/>
    </xf>
    <xf numFmtId="9" fontId="17" fillId="9" borderId="7" xfId="0" applyNumberFormat="1" applyFont="1" applyFill="1" applyBorder="1" applyAlignment="1">
      <alignment horizontal="center" vertical="center" wrapText="1"/>
    </xf>
    <xf numFmtId="0" fontId="17" fillId="12" borderId="7" xfId="0" applyFont="1" applyFill="1" applyBorder="1" applyAlignment="1">
      <alignment vertical="center" wrapText="1"/>
    </xf>
    <xf numFmtId="3" fontId="17" fillId="12" borderId="7" xfId="0" applyNumberFormat="1" applyFont="1" applyFill="1" applyBorder="1" applyAlignment="1">
      <alignment vertical="center" wrapText="1"/>
    </xf>
    <xf numFmtId="1" fontId="17" fillId="12" borderId="7" xfId="0" applyNumberFormat="1" applyFont="1" applyFill="1" applyBorder="1" applyAlignment="1">
      <alignment horizontal="center" vertical="center" wrapText="1"/>
    </xf>
    <xf numFmtId="166" fontId="17" fillId="12" borderId="7" xfId="0" applyNumberFormat="1" applyFont="1" applyFill="1" applyBorder="1" applyAlignment="1">
      <alignment horizontal="center" vertical="center" wrapText="1"/>
    </xf>
    <xf numFmtId="0" fontId="17" fillId="12" borderId="7" xfId="0" applyFont="1" applyFill="1" applyBorder="1" applyAlignment="1">
      <alignment horizontal="center" vertical="center" wrapText="1"/>
    </xf>
    <xf numFmtId="10" fontId="17" fillId="12" borderId="7" xfId="0" applyNumberFormat="1" applyFont="1" applyFill="1" applyBorder="1" applyAlignment="1">
      <alignment horizontal="right" vertical="center" wrapText="1"/>
    </xf>
    <xf numFmtId="3" fontId="17" fillId="12" borderId="7" xfId="0" applyNumberFormat="1" applyFont="1" applyFill="1" applyBorder="1" applyAlignment="1">
      <alignment horizontal="center" vertical="center" wrapText="1"/>
    </xf>
    <xf numFmtId="9" fontId="17" fillId="12" borderId="7" xfId="0" applyNumberFormat="1" applyFont="1" applyFill="1" applyBorder="1" applyAlignment="1">
      <alignment horizontal="center" vertical="center" wrapText="1"/>
    </xf>
    <xf numFmtId="167" fontId="17" fillId="12" borderId="7" xfId="0" applyNumberFormat="1" applyFont="1" applyFill="1" applyBorder="1" applyAlignment="1">
      <alignment vertical="center" wrapText="1"/>
    </xf>
    <xf numFmtId="0" fontId="11" fillId="12" borderId="7" xfId="0" applyFont="1" applyFill="1" applyBorder="1" applyAlignment="1">
      <alignment horizontal="center" vertical="center" wrapText="1"/>
    </xf>
    <xf numFmtId="0" fontId="17" fillId="13" borderId="7" xfId="0" applyFont="1" applyFill="1" applyBorder="1" applyAlignment="1">
      <alignment vertical="center" wrapText="1"/>
    </xf>
    <xf numFmtId="3" fontId="8" fillId="13" borderId="7" xfId="0" applyNumberFormat="1" applyFont="1" applyFill="1" applyBorder="1" applyAlignment="1">
      <alignment vertical="center" wrapText="1"/>
    </xf>
    <xf numFmtId="1" fontId="8" fillId="13" borderId="7" xfId="0" applyNumberFormat="1" applyFont="1" applyFill="1" applyBorder="1" applyAlignment="1">
      <alignment horizontal="center" vertical="center" wrapText="1"/>
    </xf>
    <xf numFmtId="9" fontId="17" fillId="13" borderId="7" xfId="0" applyNumberFormat="1" applyFont="1" applyFill="1" applyBorder="1" applyAlignment="1">
      <alignment horizontal="center" vertical="center" wrapText="1"/>
    </xf>
    <xf numFmtId="3" fontId="8" fillId="13" borderId="7" xfId="0" applyNumberFormat="1" applyFont="1" applyFill="1" applyBorder="1" applyAlignment="1">
      <alignment horizontal="center" vertical="center" wrapText="1"/>
    </xf>
    <xf numFmtId="3" fontId="17" fillId="13" borderId="7" xfId="0" applyNumberFormat="1" applyFont="1" applyFill="1" applyBorder="1" applyAlignment="1">
      <alignment vertical="center" wrapText="1"/>
    </xf>
    <xf numFmtId="167" fontId="17" fillId="13" borderId="7" xfId="0" applyNumberFormat="1" applyFont="1" applyFill="1" applyBorder="1" applyAlignment="1">
      <alignment vertical="center" wrapText="1"/>
    </xf>
    <xf numFmtId="9" fontId="8" fillId="13" borderId="7" xfId="0" applyNumberFormat="1"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7" fillId="4" borderId="7" xfId="0" applyFont="1" applyFill="1" applyBorder="1" applyAlignment="1">
      <alignment vertical="center" wrapText="1"/>
    </xf>
    <xf numFmtId="3" fontId="17" fillId="4" borderId="7" xfId="0" applyNumberFormat="1" applyFont="1" applyFill="1" applyBorder="1" applyAlignment="1">
      <alignment vertical="center" wrapText="1"/>
    </xf>
    <xf numFmtId="1" fontId="17" fillId="4" borderId="7" xfId="0" applyNumberFormat="1" applyFont="1" applyFill="1" applyBorder="1" applyAlignment="1">
      <alignment horizontal="center" vertical="center" wrapText="1"/>
    </xf>
    <xf numFmtId="9" fontId="17" fillId="4" borderId="7" xfId="0" applyNumberFormat="1" applyFont="1" applyFill="1" applyBorder="1" applyAlignment="1">
      <alignment horizontal="center" vertical="center" wrapText="1"/>
    </xf>
    <xf numFmtId="3" fontId="17" fillId="4" borderId="7" xfId="0" applyNumberFormat="1" applyFont="1" applyFill="1" applyBorder="1" applyAlignment="1">
      <alignment horizontal="center" vertical="center" wrapText="1"/>
    </xf>
    <xf numFmtId="167" fontId="17" fillId="4" borderId="7" xfId="0" applyNumberFormat="1" applyFont="1" applyFill="1" applyBorder="1" applyAlignment="1">
      <alignment vertical="center" wrapText="1"/>
    </xf>
    <xf numFmtId="0" fontId="11" fillId="4" borderId="7" xfId="0" applyFont="1" applyFill="1" applyBorder="1" applyAlignment="1">
      <alignment horizontal="center" vertical="center" wrapText="1"/>
    </xf>
    <xf numFmtId="0" fontId="20" fillId="0" borderId="7" xfId="0" applyFont="1" applyBorder="1" applyAlignment="1">
      <alignment horizontal="left" vertical="center" wrapText="1"/>
    </xf>
    <xf numFmtId="0" fontId="8" fillId="0" borderId="7" xfId="0" applyFont="1" applyBorder="1" applyAlignment="1">
      <alignment horizontal="center" vertical="center" wrapText="1"/>
    </xf>
    <xf numFmtId="0" fontId="20" fillId="0" borderId="7" xfId="0" applyFont="1" applyBorder="1" applyAlignment="1">
      <alignment horizontal="center" vertical="center"/>
    </xf>
    <xf numFmtId="1" fontId="8" fillId="0" borderId="7" xfId="0" applyNumberFormat="1" applyFont="1" applyBorder="1" applyAlignment="1">
      <alignment horizontal="center" vertical="center" wrapText="1"/>
    </xf>
    <xf numFmtId="9" fontId="8" fillId="0" borderId="7" xfId="0" applyNumberFormat="1" applyFont="1" applyBorder="1" applyAlignment="1">
      <alignment horizontal="center" vertical="center" wrapText="1"/>
    </xf>
    <xf numFmtId="166" fontId="8" fillId="0" borderId="7" xfId="0" applyNumberFormat="1" applyFont="1" applyBorder="1" applyAlignment="1">
      <alignment horizontal="center" vertical="center" wrapText="1"/>
    </xf>
    <xf numFmtId="3" fontId="8" fillId="0" borderId="7" xfId="0" applyNumberFormat="1" applyFont="1" applyBorder="1" applyAlignment="1">
      <alignment vertical="center" wrapText="1"/>
    </xf>
    <xf numFmtId="0" fontId="1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9" fontId="8" fillId="0" borderId="7" xfId="0" applyNumberFormat="1" applyFont="1" applyBorder="1" applyAlignment="1">
      <alignment horizontal="center" vertical="center"/>
    </xf>
    <xf numFmtId="168" fontId="21" fillId="0" borderId="7" xfId="0" applyNumberFormat="1" applyFont="1" applyBorder="1" applyAlignment="1">
      <alignment horizontal="right" vertical="center"/>
    </xf>
    <xf numFmtId="3" fontId="17" fillId="0" borderId="7" xfId="0" applyNumberFormat="1" applyFont="1" applyBorder="1" applyAlignment="1">
      <alignment vertical="center" wrapText="1"/>
    </xf>
    <xf numFmtId="167" fontId="17" fillId="0" borderId="7" xfId="0" applyNumberFormat="1" applyFont="1" applyBorder="1" applyAlignment="1">
      <alignment vertical="center" wrapText="1"/>
    </xf>
    <xf numFmtId="9" fontId="17"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3" fontId="8" fillId="14" borderId="7" xfId="0" applyNumberFormat="1" applyFont="1" applyFill="1" applyBorder="1" applyAlignment="1">
      <alignment vertical="top" wrapText="1"/>
    </xf>
    <xf numFmtId="0" fontId="8" fillId="0" borderId="7" xfId="0" applyFont="1" applyBorder="1" applyAlignment="1">
      <alignment horizontal="left" vertical="center" wrapText="1"/>
    </xf>
    <xf numFmtId="1" fontId="8" fillId="14" borderId="7" xfId="0" applyNumberFormat="1" applyFont="1" applyFill="1" applyBorder="1" applyAlignment="1">
      <alignment horizontal="center" vertical="center" wrapText="1"/>
    </xf>
    <xf numFmtId="0" fontId="22" fillId="0" borderId="7" xfId="0" applyFont="1" applyBorder="1"/>
    <xf numFmtId="0" fontId="17" fillId="16" borderId="7" xfId="0" applyFont="1" applyFill="1" applyBorder="1" applyAlignment="1">
      <alignment vertical="center" wrapText="1"/>
    </xf>
    <xf numFmtId="3" fontId="17" fillId="16" borderId="7" xfId="0" applyNumberFormat="1" applyFont="1" applyFill="1" applyBorder="1" applyAlignment="1">
      <alignment vertical="center" wrapText="1"/>
    </xf>
    <xf numFmtId="1" fontId="17" fillId="16" borderId="7" xfId="0" applyNumberFormat="1" applyFont="1" applyFill="1" applyBorder="1" applyAlignment="1">
      <alignment horizontal="center" vertical="center" wrapText="1"/>
    </xf>
    <xf numFmtId="9" fontId="17" fillId="16" borderId="7" xfId="0" applyNumberFormat="1" applyFont="1" applyFill="1" applyBorder="1" applyAlignment="1">
      <alignment horizontal="center" vertical="center" wrapText="1"/>
    </xf>
    <xf numFmtId="3" fontId="17" fillId="16" borderId="7" xfId="0" applyNumberFormat="1" applyFont="1" applyFill="1" applyBorder="1" applyAlignment="1">
      <alignment horizontal="center" vertical="center" wrapText="1"/>
    </xf>
    <xf numFmtId="167" fontId="17" fillId="16" borderId="7" xfId="0" applyNumberFormat="1" applyFont="1" applyFill="1" applyBorder="1" applyAlignment="1">
      <alignment vertical="center" wrapText="1"/>
    </xf>
    <xf numFmtId="169" fontId="17" fillId="16" borderId="7" xfId="0" applyNumberFormat="1" applyFont="1" applyFill="1" applyBorder="1" applyAlignment="1">
      <alignment vertical="center" wrapText="1"/>
    </xf>
    <xf numFmtId="0" fontId="11" fillId="16" borderId="7" xfId="0" applyFont="1" applyFill="1" applyBorder="1" applyAlignment="1">
      <alignment horizontal="center" vertical="center" wrapText="1"/>
    </xf>
    <xf numFmtId="0" fontId="8" fillId="0" borderId="7" xfId="0" applyFont="1" applyBorder="1" applyAlignment="1">
      <alignment horizontal="center" vertical="center"/>
    </xf>
    <xf numFmtId="166" fontId="8" fillId="14" borderId="7" xfId="0" applyNumberFormat="1" applyFont="1" applyFill="1" applyBorder="1" applyAlignment="1">
      <alignment horizontal="center" vertical="center" wrapText="1"/>
    </xf>
    <xf numFmtId="0" fontId="8" fillId="14" borderId="7" xfId="0" applyFont="1" applyFill="1" applyBorder="1" applyAlignment="1">
      <alignment horizontal="center" vertical="center" wrapText="1"/>
    </xf>
    <xf numFmtId="9" fontId="8" fillId="14" borderId="7" xfId="0" applyNumberFormat="1" applyFont="1" applyFill="1" applyBorder="1" applyAlignment="1">
      <alignment horizontal="center" vertical="center" wrapText="1"/>
    </xf>
    <xf numFmtId="168" fontId="23" fillId="0" borderId="7" xfId="0" applyNumberFormat="1" applyFont="1" applyBorder="1" applyAlignment="1">
      <alignment vertical="center"/>
    </xf>
    <xf numFmtId="1" fontId="17" fillId="4" borderId="7" xfId="0" applyNumberFormat="1" applyFont="1" applyFill="1" applyBorder="1" applyAlignment="1">
      <alignment vertical="center" wrapText="1"/>
    </xf>
    <xf numFmtId="0" fontId="20" fillId="14" borderId="7" xfId="0" applyFont="1" applyFill="1" applyBorder="1" applyAlignment="1">
      <alignment horizontal="left" vertical="center" wrapText="1"/>
    </xf>
    <xf numFmtId="9" fontId="20" fillId="0" borderId="7" xfId="0" applyNumberFormat="1" applyFont="1" applyBorder="1" applyAlignment="1">
      <alignment horizontal="center" vertical="center"/>
    </xf>
    <xf numFmtId="1" fontId="8" fillId="0" borderId="7" xfId="0" applyNumberFormat="1" applyFont="1" applyBorder="1" applyAlignment="1">
      <alignment horizontal="center" vertical="center"/>
    </xf>
    <xf numFmtId="1" fontId="17" fillId="16" borderId="7" xfId="0" applyNumberFormat="1" applyFont="1" applyFill="1" applyBorder="1" applyAlignment="1">
      <alignment vertical="center" wrapText="1"/>
    </xf>
    <xf numFmtId="0" fontId="8" fillId="14" borderId="7" xfId="0" applyFont="1" applyFill="1" applyBorder="1" applyAlignment="1">
      <alignment horizontal="center" vertical="center"/>
    </xf>
    <xf numFmtId="0" fontId="8" fillId="14" borderId="7" xfId="0" applyFont="1" applyFill="1" applyBorder="1" applyAlignment="1">
      <alignment horizontal="left" vertical="center" wrapText="1"/>
    </xf>
    <xf numFmtId="1" fontId="11" fillId="14" borderId="7" xfId="0" applyNumberFormat="1" applyFont="1" applyFill="1" applyBorder="1" applyAlignment="1">
      <alignment horizontal="center" vertical="center" wrapText="1"/>
    </xf>
    <xf numFmtId="0" fontId="20" fillId="14" borderId="7" xfId="0" applyFont="1" applyFill="1" applyBorder="1" applyAlignment="1">
      <alignment vertical="center" wrapText="1"/>
    </xf>
    <xf numFmtId="170" fontId="11" fillId="14" borderId="7" xfId="0" applyNumberFormat="1" applyFont="1" applyFill="1" applyBorder="1" applyAlignment="1">
      <alignment horizontal="center" vertical="center" wrapText="1"/>
    </xf>
    <xf numFmtId="1" fontId="17" fillId="13" borderId="7" xfId="0" applyNumberFormat="1" applyFont="1" applyFill="1" applyBorder="1" applyAlignment="1">
      <alignment horizontal="center" vertical="center" wrapText="1"/>
    </xf>
    <xf numFmtId="1" fontId="17" fillId="13" borderId="7" xfId="0" applyNumberFormat="1" applyFont="1" applyFill="1" applyBorder="1" applyAlignment="1">
      <alignment vertical="center" wrapText="1"/>
    </xf>
    <xf numFmtId="3" fontId="17" fillId="13" borderId="7" xfId="0" applyNumberFormat="1" applyFont="1" applyFill="1" applyBorder="1" applyAlignment="1">
      <alignment horizontal="center" vertical="center" wrapText="1"/>
    </xf>
    <xf numFmtId="170" fontId="8" fillId="0" borderId="7" xfId="0" applyNumberFormat="1" applyFont="1" applyBorder="1" applyAlignment="1">
      <alignment horizontal="center" vertical="center" wrapText="1"/>
    </xf>
    <xf numFmtId="9" fontId="8" fillId="14" borderId="7" xfId="0" applyNumberFormat="1" applyFont="1" applyFill="1" applyBorder="1" applyAlignment="1">
      <alignment horizontal="center" vertical="center"/>
    </xf>
    <xf numFmtId="4" fontId="17" fillId="12" borderId="7" xfId="0" applyNumberFormat="1" applyFont="1" applyFill="1" applyBorder="1" applyAlignment="1">
      <alignment vertical="center" wrapText="1"/>
    </xf>
    <xf numFmtId="4" fontId="17" fillId="13" borderId="7" xfId="0" applyNumberFormat="1" applyFont="1" applyFill="1" applyBorder="1" applyAlignment="1">
      <alignment vertical="center" wrapText="1"/>
    </xf>
    <xf numFmtId="4" fontId="17" fillId="4" borderId="7" xfId="0" applyNumberFormat="1" applyFont="1" applyFill="1" applyBorder="1" applyAlignment="1">
      <alignment vertical="center" wrapText="1"/>
    </xf>
    <xf numFmtId="0" fontId="20" fillId="0" borderId="7" xfId="0" applyFont="1" applyBorder="1" applyAlignment="1">
      <alignment vertical="center" wrapText="1"/>
    </xf>
    <xf numFmtId="0" fontId="21" fillId="0" borderId="7" xfId="0" applyFont="1" applyBorder="1" applyAlignment="1">
      <alignment vertical="center" wrapText="1"/>
    </xf>
    <xf numFmtId="0" fontId="25" fillId="0" borderId="7" xfId="0" applyFont="1" applyBorder="1" applyAlignment="1">
      <alignment horizontal="center" vertical="center" wrapText="1"/>
    </xf>
    <xf numFmtId="10" fontId="8" fillId="0" borderId="7" xfId="0" applyNumberFormat="1" applyFont="1" applyBorder="1" applyAlignment="1">
      <alignment horizontal="center" vertical="center" wrapText="1"/>
    </xf>
    <xf numFmtId="170" fontId="8" fillId="14" borderId="7" xfId="0" applyNumberFormat="1" applyFont="1" applyFill="1" applyBorder="1" applyAlignment="1">
      <alignment horizontal="center" vertical="center" wrapText="1"/>
    </xf>
    <xf numFmtId="168" fontId="23" fillId="0" borderId="7" xfId="0" applyNumberFormat="1" applyFont="1" applyBorder="1" applyAlignment="1">
      <alignment horizontal="right" vertical="center"/>
    </xf>
    <xf numFmtId="0" fontId="25" fillId="0" borderId="7" xfId="0" applyFont="1" applyBorder="1" applyAlignment="1">
      <alignment vertical="center" wrapText="1"/>
    </xf>
    <xf numFmtId="0" fontId="25" fillId="14" borderId="7" xfId="0" applyFont="1" applyFill="1" applyBorder="1" applyAlignment="1">
      <alignment horizontal="left" vertical="center" wrapText="1"/>
    </xf>
    <xf numFmtId="0" fontId="21" fillId="14" borderId="7" xfId="0" applyFont="1" applyFill="1" applyBorder="1" applyAlignment="1">
      <alignment horizontal="center" vertical="center" wrapText="1"/>
    </xf>
    <xf numFmtId="1" fontId="11" fillId="0" borderId="7" xfId="0" applyNumberFormat="1" applyFont="1" applyBorder="1" applyAlignment="1">
      <alignment horizontal="center" vertical="center" wrapText="1"/>
    </xf>
    <xf numFmtId="171" fontId="26" fillId="4" borderId="7" xfId="0" applyNumberFormat="1" applyFont="1" applyFill="1" applyBorder="1" applyAlignment="1">
      <alignment horizontal="right" vertical="center"/>
    </xf>
    <xf numFmtId="9" fontId="24" fillId="0" borderId="7" xfId="0" applyNumberFormat="1" applyFont="1" applyBorder="1" applyAlignment="1">
      <alignment horizontal="center" vertical="center"/>
    </xf>
    <xf numFmtId="0" fontId="8" fillId="14" borderId="7" xfId="0" applyFont="1" applyFill="1" applyBorder="1" applyAlignment="1">
      <alignment vertical="top" wrapText="1"/>
    </xf>
    <xf numFmtId="2" fontId="8" fillId="0" borderId="7" xfId="0" applyNumberFormat="1" applyFont="1" applyBorder="1" applyAlignment="1">
      <alignment horizontal="center" vertical="center" wrapText="1"/>
    </xf>
    <xf numFmtId="0" fontId="8" fillId="0" borderId="7" xfId="0" applyFont="1" applyBorder="1" applyAlignment="1">
      <alignment vertical="center" wrapText="1"/>
    </xf>
    <xf numFmtId="0" fontId="17" fillId="13" borderId="7" xfId="0" applyFont="1" applyFill="1" applyBorder="1" applyAlignment="1">
      <alignment horizontal="center" vertical="center" wrapText="1"/>
    </xf>
    <xf numFmtId="3" fontId="8" fillId="12" borderId="7" xfId="0" applyNumberFormat="1" applyFont="1" applyFill="1" applyBorder="1" applyAlignment="1">
      <alignment vertical="center" wrapText="1"/>
    </xf>
    <xf numFmtId="1" fontId="8" fillId="12" borderId="7" xfId="0" applyNumberFormat="1" applyFont="1" applyFill="1" applyBorder="1" applyAlignment="1">
      <alignment horizontal="center" vertical="center" wrapText="1"/>
    </xf>
    <xf numFmtId="0" fontId="8" fillId="12" borderId="7" xfId="0" applyFont="1" applyFill="1" applyBorder="1" applyAlignment="1">
      <alignment vertical="center" wrapText="1"/>
    </xf>
    <xf numFmtId="0" fontId="8" fillId="12" borderId="7" xfId="0" applyFont="1" applyFill="1" applyBorder="1" applyAlignment="1">
      <alignment horizontal="center" vertical="center" wrapText="1"/>
    </xf>
    <xf numFmtId="3" fontId="8" fillId="12" borderId="7" xfId="0" applyNumberFormat="1" applyFont="1" applyFill="1" applyBorder="1" applyAlignment="1">
      <alignment horizontal="center" vertical="center" wrapText="1"/>
    </xf>
    <xf numFmtId="173" fontId="17" fillId="12" borderId="7" xfId="0" applyNumberFormat="1" applyFont="1" applyFill="1" applyBorder="1" applyAlignment="1">
      <alignment vertical="center" wrapText="1"/>
    </xf>
    <xf numFmtId="0" fontId="20" fillId="14" borderId="7" xfId="0" applyFont="1" applyFill="1" applyBorder="1" applyAlignment="1">
      <alignment horizontal="center" vertical="center"/>
    </xf>
    <xf numFmtId="0" fontId="8" fillId="14" borderId="7" xfId="0" applyFont="1" applyFill="1" applyBorder="1" applyAlignment="1">
      <alignment vertical="center" wrapText="1"/>
    </xf>
    <xf numFmtId="9" fontId="20" fillId="14" borderId="7" xfId="0" applyNumberFormat="1" applyFont="1" applyFill="1" applyBorder="1" applyAlignment="1">
      <alignment horizontal="center" vertical="center"/>
    </xf>
    <xf numFmtId="167" fontId="8" fillId="0" borderId="7" xfId="0" applyNumberFormat="1" applyFont="1" applyBorder="1" applyAlignment="1">
      <alignment vertical="center" wrapText="1"/>
    </xf>
    <xf numFmtId="0" fontId="27" fillId="0" borderId="7" xfId="0" applyFont="1" applyBorder="1" applyAlignment="1">
      <alignment horizontal="center" vertical="center" wrapText="1"/>
    </xf>
    <xf numFmtId="0" fontId="28" fillId="0" borderId="7" xfId="0" applyFont="1" applyBorder="1"/>
    <xf numFmtId="10" fontId="17" fillId="13" borderId="7" xfId="0" applyNumberFormat="1" applyFont="1" applyFill="1" applyBorder="1" applyAlignment="1">
      <alignment horizontal="center" vertical="center" wrapText="1"/>
    </xf>
    <xf numFmtId="0" fontId="30" fillId="4" borderId="7" xfId="0" applyFont="1" applyFill="1" applyBorder="1" applyAlignment="1">
      <alignment horizontal="center" vertical="center" wrapText="1"/>
    </xf>
    <xf numFmtId="166" fontId="30" fillId="4" borderId="7" xfId="0" applyNumberFormat="1" applyFont="1" applyFill="1" applyBorder="1" applyAlignment="1">
      <alignment horizontal="center" vertical="center" wrapText="1"/>
    </xf>
    <xf numFmtId="10" fontId="30" fillId="4" borderId="7" xfId="0" applyNumberFormat="1" applyFont="1" applyFill="1" applyBorder="1" applyAlignment="1">
      <alignment horizontal="center" vertical="center" wrapText="1"/>
    </xf>
    <xf numFmtId="9" fontId="30" fillId="9" borderId="7" xfId="0" applyNumberFormat="1" applyFont="1" applyFill="1" applyBorder="1" applyAlignment="1">
      <alignment horizontal="center" vertical="center" wrapText="1"/>
    </xf>
    <xf numFmtId="175" fontId="30" fillId="17" borderId="7" xfId="0" applyNumberFormat="1" applyFont="1" applyFill="1" applyBorder="1" applyAlignment="1">
      <alignment horizontal="center" vertical="center" wrapText="1"/>
    </xf>
    <xf numFmtId="175" fontId="30" fillId="4" borderId="7" xfId="0" applyNumberFormat="1" applyFont="1" applyFill="1" applyBorder="1" applyAlignment="1">
      <alignment horizontal="center" vertical="center" wrapText="1"/>
    </xf>
    <xf numFmtId="9" fontId="31" fillId="4" borderId="7" xfId="0" applyNumberFormat="1" applyFont="1" applyFill="1" applyBorder="1" applyAlignment="1">
      <alignment horizontal="center" vertical="center" wrapText="1"/>
    </xf>
    <xf numFmtId="10" fontId="31" fillId="4" borderId="7" xfId="0" applyNumberFormat="1" applyFont="1" applyFill="1" applyBorder="1" applyAlignment="1">
      <alignment vertical="center" wrapText="1"/>
    </xf>
    <xf numFmtId="3" fontId="31" fillId="4" borderId="7" xfId="0" applyNumberFormat="1" applyFont="1" applyFill="1" applyBorder="1" applyAlignment="1">
      <alignment vertical="center" wrapText="1"/>
    </xf>
    <xf numFmtId="0" fontId="32" fillId="4" borderId="7" xfId="0" applyFont="1" applyFill="1" applyBorder="1" applyAlignment="1">
      <alignment vertical="center" wrapText="1"/>
    </xf>
    <xf numFmtId="0" fontId="8" fillId="0" borderId="0" xfId="0" applyFont="1" applyAlignment="1">
      <alignment horizontal="center" vertical="center" wrapText="1"/>
    </xf>
    <xf numFmtId="0" fontId="8" fillId="0" borderId="0" xfId="0" applyFont="1" applyAlignment="1">
      <alignment horizontal="right" vertical="center" wrapText="1"/>
    </xf>
    <xf numFmtId="0" fontId="17" fillId="0" borderId="0" xfId="0" applyFont="1" applyAlignment="1">
      <alignment horizontal="center" vertical="center" wrapText="1"/>
    </xf>
    <xf numFmtId="0" fontId="9" fillId="3" borderId="2" xfId="0" applyFont="1" applyFill="1" applyBorder="1" applyAlignment="1">
      <alignment vertical="center" wrapText="1"/>
    </xf>
    <xf numFmtId="0" fontId="9" fillId="3" borderId="3" xfId="0" applyFont="1" applyFill="1" applyBorder="1" applyAlignment="1">
      <alignment vertical="center" wrapText="1"/>
    </xf>
    <xf numFmtId="0" fontId="34" fillId="0" borderId="0" xfId="0" applyFont="1" applyAlignment="1">
      <alignment vertical="top"/>
    </xf>
    <xf numFmtId="0" fontId="34" fillId="0" borderId="0" xfId="0" applyFont="1" applyAlignment="1">
      <alignment horizontal="center" vertical="top"/>
    </xf>
    <xf numFmtId="0" fontId="11" fillId="0" borderId="0" xfId="0" applyFont="1" applyAlignment="1">
      <alignment vertical="top"/>
    </xf>
    <xf numFmtId="0" fontId="11" fillId="9" borderId="7" xfId="0" applyFont="1" applyFill="1" applyBorder="1" applyAlignment="1">
      <alignment vertical="top"/>
    </xf>
    <xf numFmtId="0" fontId="35" fillId="0" borderId="0" xfId="0" applyFont="1" applyAlignment="1">
      <alignment vertical="top"/>
    </xf>
    <xf numFmtId="0" fontId="36" fillId="0" borderId="0" xfId="0" applyFont="1" applyAlignment="1">
      <alignment horizontal="center" vertical="top" wrapText="1"/>
    </xf>
    <xf numFmtId="0" fontId="11" fillId="21" borderId="7" xfId="0" applyFont="1" applyFill="1" applyBorder="1" applyAlignment="1">
      <alignment vertical="top"/>
    </xf>
    <xf numFmtId="0" fontId="37" fillId="0" borderId="0" xfId="0" applyFont="1" applyAlignment="1">
      <alignment horizontal="right" vertical="top"/>
    </xf>
    <xf numFmtId="0" fontId="38" fillId="22" borderId="27" xfId="0" applyFont="1" applyFill="1" applyBorder="1" applyAlignment="1">
      <alignment vertical="top"/>
    </xf>
    <xf numFmtId="9" fontId="11" fillId="22" borderId="21" xfId="0" applyNumberFormat="1" applyFont="1" applyFill="1" applyBorder="1" applyAlignment="1">
      <alignment horizontal="center" vertical="top"/>
    </xf>
    <xf numFmtId="0" fontId="11" fillId="22" borderId="28" xfId="0" applyFont="1" applyFill="1" applyBorder="1" applyAlignment="1">
      <alignment vertical="top"/>
    </xf>
    <xf numFmtId="0" fontId="39" fillId="0" borderId="0" xfId="0" applyFont="1"/>
    <xf numFmtId="0" fontId="11" fillId="0" borderId="0" xfId="0" applyFont="1" applyAlignment="1">
      <alignment horizontal="center" vertical="top"/>
    </xf>
    <xf numFmtId="0" fontId="34" fillId="9" borderId="7" xfId="0" applyFont="1" applyFill="1" applyBorder="1" applyAlignment="1">
      <alignment horizontal="center" vertical="top" wrapText="1"/>
    </xf>
    <xf numFmtId="0" fontId="37" fillId="0" borderId="0" xfId="0" applyFont="1" applyAlignment="1">
      <alignment horizontal="center" vertical="top"/>
    </xf>
    <xf numFmtId="0" fontId="34" fillId="0" borderId="0" xfId="0" applyFont="1" applyAlignment="1">
      <alignment horizontal="right" vertical="top"/>
    </xf>
    <xf numFmtId="0" fontId="37" fillId="9" borderId="30" xfId="0" applyFont="1" applyFill="1" applyBorder="1" applyAlignment="1">
      <alignment horizontal="center" vertical="top"/>
    </xf>
    <xf numFmtId="0" fontId="34" fillId="0" borderId="32" xfId="0" applyFont="1" applyBorder="1" applyAlignment="1">
      <alignment horizontal="center" vertical="top" wrapText="1"/>
    </xf>
    <xf numFmtId="0" fontId="34" fillId="0" borderId="36" xfId="0" applyFont="1" applyBorder="1" applyAlignment="1">
      <alignment horizontal="center" vertical="top" wrapText="1"/>
    </xf>
    <xf numFmtId="0" fontId="34" fillId="0" borderId="6" xfId="0" applyFont="1" applyBorder="1" applyAlignment="1">
      <alignment horizontal="center" vertical="top"/>
    </xf>
    <xf numFmtId="0" fontId="34" fillId="0" borderId="6" xfId="0" applyFont="1" applyBorder="1" applyAlignment="1">
      <alignment vertical="top"/>
    </xf>
    <xf numFmtId="0" fontId="11" fillId="0" borderId="37" xfId="0" applyFont="1" applyBorder="1" applyAlignment="1">
      <alignment vertical="top"/>
    </xf>
    <xf numFmtId="0" fontId="34" fillId="0" borderId="24" xfId="0" applyFont="1" applyBorder="1" applyAlignment="1">
      <alignment horizontal="center" vertical="top"/>
    </xf>
    <xf numFmtId="0" fontId="34" fillId="0" borderId="24" xfId="0" applyFont="1" applyBorder="1" applyAlignment="1">
      <alignment vertical="top" wrapText="1"/>
    </xf>
    <xf numFmtId="0" fontId="34" fillId="9" borderId="3" xfId="0" applyFont="1" applyFill="1" applyBorder="1" applyAlignment="1">
      <alignment horizontal="center" vertical="top" wrapText="1"/>
    </xf>
    <xf numFmtId="0" fontId="34" fillId="23" borderId="22" xfId="0" applyFont="1" applyFill="1" applyBorder="1" applyAlignment="1">
      <alignment vertical="top"/>
    </xf>
    <xf numFmtId="0" fontId="34" fillId="0" borderId="35" xfId="0" applyFont="1" applyBorder="1" applyAlignment="1">
      <alignment vertical="top" wrapText="1"/>
    </xf>
    <xf numFmtId="0" fontId="34" fillId="0" borderId="34" xfId="0" applyFont="1" applyBorder="1" applyAlignment="1">
      <alignment horizontal="center" vertical="top" wrapText="1"/>
    </xf>
    <xf numFmtId="0" fontId="11" fillId="0" borderId="25" xfId="0" applyFont="1" applyBorder="1" applyAlignment="1">
      <alignment vertical="top"/>
    </xf>
    <xf numFmtId="0" fontId="41" fillId="0" borderId="24" xfId="0" applyFont="1" applyBorder="1" applyAlignment="1">
      <alignment vertical="top" wrapText="1"/>
    </xf>
    <xf numFmtId="0" fontId="11" fillId="0" borderId="35" xfId="0" applyFont="1" applyBorder="1" applyAlignment="1">
      <alignment vertical="top"/>
    </xf>
    <xf numFmtId="0" fontId="34" fillId="9" borderId="22" xfId="0" applyFont="1" applyFill="1" applyBorder="1" applyAlignment="1">
      <alignment vertical="top"/>
    </xf>
    <xf numFmtId="0" fontId="34" fillId="9" borderId="22" xfId="0" applyFont="1" applyFill="1" applyBorder="1" applyAlignment="1">
      <alignment horizontal="left" vertical="top" wrapText="1"/>
    </xf>
    <xf numFmtId="9" fontId="34" fillId="9" borderId="22" xfId="0" applyNumberFormat="1" applyFont="1" applyFill="1" applyBorder="1" applyAlignment="1">
      <alignment vertical="top"/>
    </xf>
    <xf numFmtId="9" fontId="34" fillId="23" borderId="21" xfId="0" applyNumberFormat="1" applyFont="1" applyFill="1" applyBorder="1" applyAlignment="1">
      <alignment vertical="top" wrapText="1"/>
    </xf>
    <xf numFmtId="0" fontId="34" fillId="9" borderId="21" xfId="0" applyFont="1" applyFill="1" applyBorder="1" applyAlignment="1">
      <alignment vertical="top" wrapText="1"/>
    </xf>
    <xf numFmtId="0" fontId="34" fillId="9" borderId="22" xfId="0" applyFont="1" applyFill="1" applyBorder="1" applyAlignment="1">
      <alignment horizontal="center" vertical="top"/>
    </xf>
    <xf numFmtId="0" fontId="34" fillId="9" borderId="22" xfId="0" applyFont="1" applyFill="1" applyBorder="1" applyAlignment="1">
      <alignment vertical="top" wrapText="1"/>
    </xf>
    <xf numFmtId="0" fontId="34" fillId="0" borderId="24" xfId="0" applyFont="1" applyBorder="1" applyAlignment="1">
      <alignment vertical="top"/>
    </xf>
    <xf numFmtId="9" fontId="34" fillId="23" borderId="1" xfId="0" applyNumberFormat="1" applyFont="1" applyFill="1" applyBorder="1" applyAlignment="1">
      <alignment horizontal="right" vertical="top"/>
    </xf>
    <xf numFmtId="0" fontId="11" fillId="0" borderId="23" xfId="0" applyFont="1" applyBorder="1" applyAlignment="1">
      <alignment vertical="top"/>
    </xf>
    <xf numFmtId="0" fontId="34" fillId="0" borderId="23" xfId="0" applyFont="1" applyBorder="1" applyAlignment="1">
      <alignment vertical="top" wrapText="1"/>
    </xf>
    <xf numFmtId="0" fontId="34" fillId="0" borderId="38" xfId="0" applyFont="1" applyBorder="1" applyAlignment="1">
      <alignment horizontal="center" vertical="top" wrapText="1"/>
    </xf>
    <xf numFmtId="0" fontId="42" fillId="0" borderId="4" xfId="0" applyFont="1" applyBorder="1" applyAlignment="1">
      <alignment vertical="top" wrapText="1"/>
    </xf>
    <xf numFmtId="0" fontId="34" fillId="0" borderId="37" xfId="0" applyFont="1" applyBorder="1" applyAlignment="1">
      <alignment horizontal="center" vertical="top" wrapText="1"/>
    </xf>
    <xf numFmtId="0" fontId="35" fillId="0" borderId="24" xfId="0" applyFont="1" applyBorder="1" applyAlignment="1">
      <alignment vertical="top" wrapText="1"/>
    </xf>
    <xf numFmtId="0" fontId="34" fillId="0" borderId="24" xfId="0" applyFont="1" applyBorder="1" applyAlignment="1">
      <alignment horizontal="center" vertical="top" wrapText="1"/>
    </xf>
    <xf numFmtId="0" fontId="34" fillId="0" borderId="4" xfId="0" applyFont="1" applyBorder="1" applyAlignment="1">
      <alignment vertical="top"/>
    </xf>
    <xf numFmtId="0" fontId="34" fillId="21" borderId="22" xfId="0" applyFont="1" applyFill="1" applyBorder="1" applyAlignment="1">
      <alignment vertical="top"/>
    </xf>
    <xf numFmtId="0" fontId="43" fillId="0" borderId="5" xfId="0" applyFont="1" applyBorder="1" applyAlignment="1">
      <alignment vertical="top" wrapText="1"/>
    </xf>
    <xf numFmtId="0" fontId="44" fillId="0" borderId="6" xfId="0" applyFont="1" applyBorder="1" applyAlignment="1">
      <alignment vertical="top" wrapText="1"/>
    </xf>
    <xf numFmtId="17" fontId="34" fillId="0" borderId="23" xfId="0" applyNumberFormat="1" applyFont="1" applyBorder="1" applyAlignment="1">
      <alignment vertical="top" wrapText="1"/>
    </xf>
    <xf numFmtId="0" fontId="45" fillId="0" borderId="25" xfId="0" applyFont="1" applyBorder="1" applyAlignment="1">
      <alignment vertical="top" wrapText="1"/>
    </xf>
    <xf numFmtId="0" fontId="45" fillId="0" borderId="0" xfId="0" applyFont="1" applyAlignment="1">
      <alignment horizontal="center" vertical="top" wrapText="1"/>
    </xf>
    <xf numFmtId="0" fontId="45" fillId="0" borderId="37" xfId="0" applyFont="1" applyBorder="1" applyAlignment="1">
      <alignment vertical="top" wrapText="1"/>
    </xf>
    <xf numFmtId="0" fontId="34" fillId="0" borderId="37" xfId="0" applyFont="1" applyBorder="1" applyAlignment="1">
      <alignment vertical="top" wrapText="1"/>
    </xf>
    <xf numFmtId="0" fontId="45" fillId="0" borderId="24" xfId="0" applyFont="1" applyBorder="1" applyAlignment="1">
      <alignment vertical="top" wrapText="1"/>
    </xf>
    <xf numFmtId="0" fontId="34" fillId="0" borderId="25" xfId="0" applyFont="1" applyBorder="1" applyAlignment="1">
      <alignment horizontal="center" vertical="top" wrapText="1"/>
    </xf>
    <xf numFmtId="0" fontId="34" fillId="0" borderId="23" xfId="0" applyFont="1" applyBorder="1" applyAlignment="1">
      <alignment horizontal="center" vertical="top" wrapText="1"/>
    </xf>
    <xf numFmtId="0" fontId="37" fillId="0" borderId="0" xfId="0" applyFont="1" applyAlignment="1">
      <alignment vertical="top"/>
    </xf>
    <xf numFmtId="0" fontId="34" fillId="0" borderId="34" xfId="0" applyFont="1" applyBorder="1" applyAlignment="1">
      <alignment vertical="top" wrapText="1"/>
    </xf>
    <xf numFmtId="0" fontId="11" fillId="0" borderId="37" xfId="0" applyFont="1" applyBorder="1" applyAlignment="1">
      <alignment vertical="top" wrapText="1"/>
    </xf>
    <xf numFmtId="0" fontId="46" fillId="0" borderId="24" xfId="0" applyFont="1" applyBorder="1" applyAlignment="1">
      <alignment vertical="top" wrapText="1"/>
    </xf>
    <xf numFmtId="3" fontId="8" fillId="25" borderId="7" xfId="0" applyNumberFormat="1" applyFont="1" applyFill="1" applyBorder="1" applyAlignment="1">
      <alignment vertical="top" wrapText="1"/>
    </xf>
    <xf numFmtId="9" fontId="8" fillId="24" borderId="7" xfId="0" applyNumberFormat="1" applyFont="1" applyFill="1" applyBorder="1" applyAlignment="1">
      <alignment horizontal="center" vertical="center" wrapText="1"/>
    </xf>
    <xf numFmtId="1" fontId="8" fillId="24" borderId="7" xfId="0" applyNumberFormat="1" applyFont="1" applyFill="1" applyBorder="1" applyAlignment="1">
      <alignment horizontal="center" vertical="center" wrapText="1"/>
    </xf>
    <xf numFmtId="0" fontId="17" fillId="26" borderId="7" xfId="0" applyFont="1" applyFill="1" applyBorder="1" applyAlignment="1">
      <alignment vertical="center" wrapText="1"/>
    </xf>
    <xf numFmtId="3" fontId="17" fillId="26" borderId="7" xfId="0" applyNumberFormat="1" applyFont="1" applyFill="1" applyBorder="1" applyAlignment="1">
      <alignment vertical="center" wrapText="1"/>
    </xf>
    <xf numFmtId="1" fontId="17" fillId="26" borderId="7" xfId="0" applyNumberFormat="1" applyFont="1" applyFill="1" applyBorder="1" applyAlignment="1">
      <alignment horizontal="center" vertical="center" wrapText="1"/>
    </xf>
    <xf numFmtId="170" fontId="11" fillId="27" borderId="7" xfId="0" applyNumberFormat="1" applyFont="1" applyFill="1" applyBorder="1" applyAlignment="1">
      <alignment horizontal="center" vertical="center" wrapText="1"/>
    </xf>
    <xf numFmtId="9" fontId="17" fillId="26" borderId="7" xfId="0" applyNumberFormat="1" applyFont="1" applyFill="1" applyBorder="1" applyAlignment="1">
      <alignment horizontal="center" vertical="center" wrapText="1"/>
    </xf>
    <xf numFmtId="0" fontId="17" fillId="26" borderId="7" xfId="0" applyFont="1" applyFill="1" applyBorder="1" applyAlignment="1">
      <alignment horizontal="center" vertical="center" wrapText="1"/>
    </xf>
    <xf numFmtId="3" fontId="17" fillId="26" borderId="7" xfId="0" applyNumberFormat="1" applyFont="1" applyFill="1" applyBorder="1" applyAlignment="1">
      <alignment horizontal="center" vertical="center" wrapText="1"/>
    </xf>
    <xf numFmtId="167" fontId="17" fillId="26" borderId="7" xfId="0" applyNumberFormat="1" applyFont="1" applyFill="1" applyBorder="1" applyAlignment="1">
      <alignment vertical="center" wrapText="1"/>
    </xf>
    <xf numFmtId="0" fontId="0" fillId="28" borderId="0" xfId="0" applyFill="1"/>
    <xf numFmtId="0" fontId="49" fillId="14" borderId="7" xfId="0" applyFont="1" applyFill="1" applyBorder="1" applyAlignment="1">
      <alignment horizontal="left" vertical="center" wrapText="1"/>
    </xf>
    <xf numFmtId="0" fontId="52" fillId="0" borderId="7" xfId="0" applyFont="1" applyBorder="1" applyAlignment="1">
      <alignment horizontal="left" vertical="center" wrapText="1"/>
    </xf>
    <xf numFmtId="0" fontId="49" fillId="0" borderId="7" xfId="0" applyFont="1" applyBorder="1" applyAlignment="1">
      <alignment vertical="center" wrapText="1"/>
    </xf>
    <xf numFmtId="0" fontId="50" fillId="0" borderId="7" xfId="0" applyFont="1" applyBorder="1" applyAlignment="1">
      <alignment horizontal="center" vertical="center" wrapText="1"/>
    </xf>
    <xf numFmtId="176" fontId="57" fillId="0" borderId="40" xfId="2" applyNumberFormat="1" applyFont="1" applyBorder="1" applyAlignment="1">
      <alignment horizontal="center"/>
    </xf>
    <xf numFmtId="176" fontId="57" fillId="0" borderId="40" xfId="2" applyNumberFormat="1" applyFont="1" applyFill="1" applyBorder="1" applyAlignment="1">
      <alignment horizontal="center"/>
    </xf>
    <xf numFmtId="174" fontId="55" fillId="0" borderId="40" xfId="2" applyNumberFormat="1" applyFont="1" applyFill="1" applyBorder="1" applyAlignment="1">
      <alignment horizontal="center"/>
    </xf>
    <xf numFmtId="176" fontId="57" fillId="0" borderId="40" xfId="2" applyNumberFormat="1" applyFont="1" applyBorder="1"/>
    <xf numFmtId="0" fontId="55" fillId="29" borderId="47" xfId="0" applyFont="1" applyFill="1" applyBorder="1" applyAlignment="1">
      <alignment vertical="center" wrapText="1"/>
    </xf>
    <xf numFmtId="0" fontId="57" fillId="0" borderId="40" xfId="0" quotePrefix="1" applyFont="1" applyBorder="1" applyAlignment="1">
      <alignment horizontal="left"/>
    </xf>
    <xf numFmtId="0" fontId="57" fillId="0" borderId="40" xfId="0" quotePrefix="1" applyFont="1" applyBorder="1" applyAlignment="1">
      <alignment horizontal="center"/>
    </xf>
    <xf numFmtId="43" fontId="57" fillId="0" borderId="40" xfId="2" quotePrefix="1" applyFont="1" applyFill="1" applyBorder="1" applyAlignment="1">
      <alignment horizontal="left"/>
    </xf>
    <xf numFmtId="0" fontId="57" fillId="29" borderId="47" xfId="0" applyFont="1" applyFill="1" applyBorder="1" applyAlignment="1">
      <alignment vertical="center" wrapText="1"/>
    </xf>
    <xf numFmtId="0" fontId="57" fillId="0" borderId="47" xfId="0" applyFont="1" applyBorder="1" applyAlignment="1">
      <alignment vertical="center" wrapText="1"/>
    </xf>
    <xf numFmtId="0" fontId="57" fillId="0" borderId="47" xfId="0" applyFont="1" applyBorder="1" applyAlignment="1">
      <alignment vertical="top" wrapText="1"/>
    </xf>
    <xf numFmtId="0" fontId="53" fillId="0" borderId="0" xfId="0" applyFont="1"/>
    <xf numFmtId="0" fontId="11" fillId="0" borderId="0" xfId="0" applyFont="1" applyAlignment="1">
      <alignment horizontal="center" vertical="center"/>
    </xf>
    <xf numFmtId="0" fontId="0" fillId="0" borderId="0" xfId="0" applyAlignment="1">
      <alignment horizontal="center" vertical="center"/>
    </xf>
    <xf numFmtId="0" fontId="17" fillId="36" borderId="7" xfId="0" applyFont="1" applyFill="1" applyBorder="1" applyAlignment="1">
      <alignment vertical="center" wrapText="1"/>
    </xf>
    <xf numFmtId="3" fontId="17" fillId="36" borderId="7" xfId="0" applyNumberFormat="1" applyFont="1" applyFill="1" applyBorder="1" applyAlignment="1">
      <alignment vertical="center" wrapText="1"/>
    </xf>
    <xf numFmtId="1" fontId="17" fillId="36" borderId="7" xfId="0" applyNumberFormat="1" applyFont="1" applyFill="1" applyBorder="1" applyAlignment="1">
      <alignment horizontal="center" vertical="center" wrapText="1"/>
    </xf>
    <xf numFmtId="9" fontId="17" fillId="36" borderId="7" xfId="0" applyNumberFormat="1" applyFont="1" applyFill="1" applyBorder="1" applyAlignment="1">
      <alignment horizontal="center" vertical="center" wrapText="1"/>
    </xf>
    <xf numFmtId="3" fontId="17" fillId="36" borderId="7" xfId="0" applyNumberFormat="1" applyFont="1" applyFill="1" applyBorder="1" applyAlignment="1">
      <alignment horizontal="center" vertical="center" wrapText="1"/>
    </xf>
    <xf numFmtId="9" fontId="17" fillId="37" borderId="7" xfId="0" applyNumberFormat="1" applyFont="1" applyFill="1" applyBorder="1" applyAlignment="1">
      <alignment horizontal="center" vertical="center" wrapText="1"/>
    </xf>
    <xf numFmtId="167" fontId="17" fillId="36" borderId="7" xfId="0" applyNumberFormat="1" applyFont="1" applyFill="1" applyBorder="1" applyAlignment="1">
      <alignment vertical="center" wrapText="1"/>
    </xf>
    <xf numFmtId="0" fontId="0" fillId="38" borderId="0" xfId="0" applyFill="1"/>
    <xf numFmtId="14" fontId="49" fillId="0" borderId="7" xfId="0" applyNumberFormat="1" applyFont="1" applyBorder="1" applyAlignment="1">
      <alignment vertical="center" wrapText="1"/>
    </xf>
    <xf numFmtId="0" fontId="8" fillId="13" borderId="7" xfId="0" applyFont="1" applyFill="1" applyBorder="1" applyAlignment="1">
      <alignment vertical="center" wrapText="1"/>
    </xf>
    <xf numFmtId="14" fontId="8" fillId="0" borderId="7" xfId="0" applyNumberFormat="1" applyFont="1" applyBorder="1" applyAlignment="1">
      <alignment vertical="center" wrapText="1"/>
    </xf>
    <xf numFmtId="14" fontId="8" fillId="39" borderId="7" xfId="0" applyNumberFormat="1" applyFont="1" applyFill="1" applyBorder="1" applyAlignment="1">
      <alignment vertical="center" wrapText="1"/>
    </xf>
    <xf numFmtId="165" fontId="17" fillId="12" borderId="7" xfId="4" applyFont="1" applyFill="1" applyBorder="1" applyAlignment="1">
      <alignment horizontal="right" vertical="center" wrapText="1"/>
    </xf>
    <xf numFmtId="165" fontId="17" fillId="36" borderId="7" xfId="4" applyFont="1" applyFill="1" applyBorder="1" applyAlignment="1">
      <alignment vertical="center" wrapText="1"/>
    </xf>
    <xf numFmtId="165" fontId="8" fillId="0" borderId="7" xfId="4" applyFont="1" applyBorder="1" applyAlignment="1">
      <alignment vertical="center" wrapText="1"/>
    </xf>
    <xf numFmtId="165" fontId="17" fillId="16" borderId="7" xfId="4" applyFont="1" applyFill="1" applyBorder="1" applyAlignment="1">
      <alignment vertical="center" wrapText="1"/>
    </xf>
    <xf numFmtId="165" fontId="17" fillId="4" borderId="7" xfId="4" applyFont="1" applyFill="1" applyBorder="1" applyAlignment="1">
      <alignment vertical="center" wrapText="1"/>
    </xf>
    <xf numFmtId="165" fontId="17" fillId="13" borderId="7" xfId="4" applyFont="1" applyFill="1" applyBorder="1" applyAlignment="1">
      <alignment vertical="center" wrapText="1"/>
    </xf>
    <xf numFmtId="165" fontId="17" fillId="12" borderId="7" xfId="4" applyFont="1" applyFill="1" applyBorder="1" applyAlignment="1">
      <alignment vertical="center" wrapText="1"/>
    </xf>
    <xf numFmtId="165" fontId="17" fillId="26" borderId="7" xfId="4" applyFont="1" applyFill="1" applyBorder="1" applyAlignment="1">
      <alignment vertical="center" wrapText="1"/>
    </xf>
    <xf numFmtId="165" fontId="8" fillId="0" borderId="0" xfId="4" applyFont="1" applyAlignment="1">
      <alignment vertical="center" wrapText="1"/>
    </xf>
    <xf numFmtId="165" fontId="0" fillId="0" borderId="0" xfId="4" applyFont="1" applyAlignment="1"/>
    <xf numFmtId="10" fontId="17" fillId="12" borderId="7" xfId="0" applyNumberFormat="1" applyFont="1" applyFill="1" applyBorder="1" applyAlignment="1">
      <alignment horizontal="center" vertical="center" wrapText="1"/>
    </xf>
    <xf numFmtId="10" fontId="8" fillId="0" borderId="0" xfId="0" applyNumberFormat="1" applyFont="1" applyAlignment="1">
      <alignment horizontal="center" vertical="center" wrapText="1"/>
    </xf>
    <xf numFmtId="10" fontId="0" fillId="0" borderId="0" xfId="0" applyNumberFormat="1"/>
    <xf numFmtId="0" fontId="28" fillId="18" borderId="63" xfId="0" applyFont="1" applyFill="1" applyBorder="1" applyAlignment="1">
      <alignment horizontal="center" vertical="center" wrapText="1"/>
    </xf>
    <xf numFmtId="0" fontId="62" fillId="18" borderId="63" xfId="0" applyFont="1" applyFill="1" applyBorder="1" applyAlignment="1">
      <alignment horizontal="center" vertical="center" wrapText="1"/>
    </xf>
    <xf numFmtId="0" fontId="28" fillId="19" borderId="63" xfId="0" applyFont="1" applyFill="1" applyBorder="1" applyAlignment="1">
      <alignment horizontal="left" vertical="center" wrapText="1"/>
    </xf>
    <xf numFmtId="10" fontId="28" fillId="19" borderId="63" xfId="0" applyNumberFormat="1" applyFont="1" applyFill="1" applyBorder="1" applyAlignment="1">
      <alignment horizontal="center" vertical="center" wrapText="1"/>
    </xf>
    <xf numFmtId="0" fontId="28" fillId="20" borderId="63" xfId="0" applyFont="1" applyFill="1" applyBorder="1" applyAlignment="1">
      <alignment horizontal="left" vertical="center" wrapText="1"/>
    </xf>
    <xf numFmtId="10" fontId="28" fillId="20" borderId="63" xfId="0" applyNumberFormat="1" applyFont="1" applyFill="1" applyBorder="1" applyAlignment="1">
      <alignment horizontal="center" vertical="center" wrapText="1"/>
    </xf>
    <xf numFmtId="0" fontId="22" fillId="0" borderId="63" xfId="0" applyFont="1" applyBorder="1" applyAlignment="1">
      <alignment horizontal="left" vertical="center" wrapText="1"/>
    </xf>
    <xf numFmtId="10" fontId="22" fillId="0" borderId="63" xfId="0" applyNumberFormat="1" applyFont="1" applyBorder="1" applyAlignment="1">
      <alignment horizontal="center" vertical="center" wrapText="1"/>
    </xf>
    <xf numFmtId="10" fontId="11" fillId="0" borderId="63" xfId="0" applyNumberFormat="1" applyFont="1" applyBorder="1" applyAlignment="1">
      <alignment horizontal="center" vertical="center"/>
    </xf>
    <xf numFmtId="0" fontId="28" fillId="40" borderId="63" xfId="0" applyFont="1" applyFill="1" applyBorder="1" applyAlignment="1">
      <alignment horizontal="left" vertical="center" wrapText="1"/>
    </xf>
    <xf numFmtId="166" fontId="28" fillId="40" borderId="63" xfId="0" applyNumberFormat="1" applyFont="1" applyFill="1" applyBorder="1" applyAlignment="1">
      <alignment horizontal="center" vertical="center" wrapText="1"/>
    </xf>
    <xf numFmtId="10" fontId="28" fillId="40" borderId="63" xfId="0" applyNumberFormat="1" applyFont="1" applyFill="1" applyBorder="1" applyAlignment="1">
      <alignment horizontal="center" vertical="center" wrapText="1"/>
    </xf>
    <xf numFmtId="10" fontId="11" fillId="41" borderId="63" xfId="0" applyNumberFormat="1" applyFont="1" applyFill="1" applyBorder="1" applyAlignment="1">
      <alignment horizontal="center" vertical="center"/>
    </xf>
    <xf numFmtId="9" fontId="22" fillId="0" borderId="63" xfId="0" applyNumberFormat="1" applyFont="1" applyBorder="1" applyAlignment="1">
      <alignment horizontal="center" vertical="center" wrapText="1"/>
    </xf>
    <xf numFmtId="166" fontId="22" fillId="0" borderId="63" xfId="0" applyNumberFormat="1" applyFont="1" applyBorder="1" applyAlignment="1">
      <alignment horizontal="center" vertical="center" wrapText="1"/>
    </xf>
    <xf numFmtId="166" fontId="28" fillId="20" borderId="63" xfId="0" applyNumberFormat="1" applyFont="1" applyFill="1" applyBorder="1" applyAlignment="1">
      <alignment horizontal="center" vertical="center" wrapText="1"/>
    </xf>
    <xf numFmtId="166" fontId="28" fillId="19" borderId="63" xfId="0" applyNumberFormat="1" applyFont="1" applyFill="1" applyBorder="1" applyAlignment="1">
      <alignment horizontal="center" vertical="center" wrapText="1"/>
    </xf>
    <xf numFmtId="166" fontId="22" fillId="19" borderId="63" xfId="0" applyNumberFormat="1" applyFont="1" applyFill="1" applyBorder="1" applyAlignment="1">
      <alignment horizontal="center" vertical="center" wrapText="1"/>
    </xf>
    <xf numFmtId="166" fontId="22" fillId="20" borderId="63" xfId="0" applyNumberFormat="1" applyFont="1" applyFill="1" applyBorder="1" applyAlignment="1">
      <alignment horizontal="center" vertical="center" wrapText="1"/>
    </xf>
    <xf numFmtId="10" fontId="22" fillId="20" borderId="63" xfId="0" applyNumberFormat="1" applyFont="1" applyFill="1" applyBorder="1" applyAlignment="1">
      <alignment horizontal="center" vertical="center" wrapText="1"/>
    </xf>
    <xf numFmtId="0" fontId="28" fillId="19" borderId="63" xfId="0" applyFont="1" applyFill="1" applyBorder="1" applyAlignment="1">
      <alignment horizontal="center" vertical="center" wrapText="1"/>
    </xf>
    <xf numFmtId="10" fontId="11" fillId="38" borderId="63" xfId="0" applyNumberFormat="1" applyFont="1" applyFill="1" applyBorder="1" applyAlignment="1">
      <alignment horizontal="center" vertical="center"/>
    </xf>
    <xf numFmtId="10" fontId="11" fillId="39" borderId="63" xfId="0" applyNumberFormat="1" applyFont="1" applyFill="1" applyBorder="1" applyAlignment="1">
      <alignment horizontal="center" vertical="center"/>
    </xf>
    <xf numFmtId="166" fontId="22" fillId="30" borderId="63" xfId="0" applyNumberFormat="1" applyFont="1" applyFill="1" applyBorder="1" applyAlignment="1">
      <alignment horizontal="center" vertical="center" wrapText="1"/>
    </xf>
    <xf numFmtId="166" fontId="28" fillId="42" borderId="63" xfId="0" applyNumberFormat="1" applyFont="1" applyFill="1" applyBorder="1" applyAlignment="1">
      <alignment horizontal="center" vertical="center" wrapText="1"/>
    </xf>
    <xf numFmtId="165" fontId="17" fillId="0" borderId="7" xfId="4" applyFont="1" applyBorder="1" applyAlignment="1">
      <alignment vertical="center" wrapText="1"/>
    </xf>
    <xf numFmtId="167" fontId="17" fillId="0" borderId="28" xfId="0" applyNumberFormat="1" applyFont="1" applyBorder="1" applyAlignment="1">
      <alignment vertical="center" wrapText="1"/>
    </xf>
    <xf numFmtId="168" fontId="21" fillId="0" borderId="30" xfId="0" applyNumberFormat="1" applyFont="1" applyBorder="1" applyAlignment="1">
      <alignment horizontal="right" vertical="center"/>
    </xf>
    <xf numFmtId="3" fontId="17" fillId="0" borderId="30" xfId="0" applyNumberFormat="1" applyFont="1" applyBorder="1" applyAlignment="1">
      <alignment vertical="center" wrapText="1"/>
    </xf>
    <xf numFmtId="165" fontId="17" fillId="0" borderId="30" xfId="4" applyFont="1" applyBorder="1" applyAlignment="1">
      <alignment vertical="center" wrapText="1"/>
    </xf>
    <xf numFmtId="3" fontId="17" fillId="4" borderId="20" xfId="0" applyNumberFormat="1" applyFont="1" applyFill="1" applyBorder="1" applyAlignment="1">
      <alignment vertical="center" wrapText="1"/>
    </xf>
    <xf numFmtId="165" fontId="17" fillId="4" borderId="20" xfId="4" applyFont="1" applyFill="1" applyBorder="1" applyAlignment="1">
      <alignment vertical="center" wrapText="1"/>
    </xf>
    <xf numFmtId="3" fontId="8" fillId="0" borderId="27" xfId="0" applyNumberFormat="1" applyFont="1" applyBorder="1" applyAlignment="1">
      <alignment vertical="center" wrapText="1"/>
    </xf>
    <xf numFmtId="0" fontId="0" fillId="0" borderId="0" xfId="0" applyAlignment="1">
      <alignment wrapText="1"/>
    </xf>
    <xf numFmtId="3" fontId="8" fillId="38" borderId="7" xfId="0" applyNumberFormat="1" applyFont="1" applyFill="1" applyBorder="1" applyAlignment="1">
      <alignment vertical="center" wrapText="1"/>
    </xf>
    <xf numFmtId="3" fontId="8" fillId="43" borderId="7" xfId="0" applyNumberFormat="1" applyFont="1" applyFill="1" applyBorder="1" applyAlignment="1">
      <alignment vertical="center" wrapText="1"/>
    </xf>
    <xf numFmtId="0" fontId="64" fillId="32" borderId="63" xfId="3" applyFont="1" applyFill="1" applyBorder="1" applyAlignment="1">
      <alignment horizontal="center" vertical="center" wrapText="1"/>
    </xf>
    <xf numFmtId="0" fontId="64" fillId="32" borderId="64" xfId="3" applyFont="1" applyFill="1" applyBorder="1" applyAlignment="1">
      <alignment horizontal="center" vertical="center" wrapText="1"/>
    </xf>
    <xf numFmtId="0" fontId="63" fillId="0" borderId="19" xfId="3" applyFont="1"/>
    <xf numFmtId="0" fontId="49" fillId="0" borderId="7" xfId="0" applyFont="1" applyBorder="1" applyAlignment="1">
      <alignment horizontal="center" vertical="center" wrapText="1"/>
    </xf>
    <xf numFmtId="1" fontId="8" fillId="30" borderId="7" xfId="0" applyNumberFormat="1" applyFont="1" applyFill="1" applyBorder="1" applyAlignment="1">
      <alignment horizontal="center" vertical="center" wrapText="1"/>
    </xf>
    <xf numFmtId="166" fontId="8" fillId="0" borderId="27" xfId="0" applyNumberFormat="1" applyFont="1" applyBorder="1" applyAlignment="1">
      <alignment horizontal="center" vertical="center" wrapText="1"/>
    </xf>
    <xf numFmtId="3" fontId="8" fillId="30" borderId="7" xfId="0" applyNumberFormat="1" applyFont="1" applyFill="1" applyBorder="1" applyAlignment="1">
      <alignment vertical="top" wrapText="1"/>
    </xf>
    <xf numFmtId="3" fontId="8" fillId="24" borderId="7" xfId="0" applyNumberFormat="1" applyFont="1" applyFill="1" applyBorder="1" applyAlignment="1">
      <alignment vertical="top" wrapText="1"/>
    </xf>
    <xf numFmtId="0" fontId="20" fillId="14" borderId="19" xfId="0" applyFont="1" applyFill="1" applyBorder="1" applyAlignment="1">
      <alignment horizontal="left" vertical="top" wrapText="1"/>
    </xf>
    <xf numFmtId="0" fontId="8" fillId="30" borderId="7" xfId="0" applyFont="1" applyFill="1" applyBorder="1" applyAlignment="1">
      <alignment vertical="top" wrapText="1"/>
    </xf>
    <xf numFmtId="0" fontId="30" fillId="44" borderId="7" xfId="0" applyFont="1" applyFill="1" applyBorder="1" applyAlignment="1">
      <alignment horizontal="center" vertical="top" wrapText="1"/>
    </xf>
    <xf numFmtId="0" fontId="8" fillId="30" borderId="0" xfId="0" applyFont="1" applyFill="1" applyAlignment="1">
      <alignment vertical="top" wrapText="1"/>
    </xf>
    <xf numFmtId="0" fontId="0" fillId="30" borderId="0" xfId="0" applyFill="1"/>
    <xf numFmtId="3" fontId="8" fillId="14" borderId="30" xfId="0" applyNumberFormat="1" applyFont="1" applyFill="1" applyBorder="1" applyAlignment="1">
      <alignment vertical="top" wrapText="1"/>
    </xf>
    <xf numFmtId="0" fontId="8" fillId="14" borderId="20" xfId="0" applyFont="1" applyFill="1" applyBorder="1" applyAlignment="1">
      <alignment vertical="top" wrapText="1"/>
    </xf>
    <xf numFmtId="9" fontId="8" fillId="30" borderId="7" xfId="0" applyNumberFormat="1" applyFont="1" applyFill="1" applyBorder="1" applyAlignment="1">
      <alignment horizontal="center" vertical="center" wrapText="1"/>
    </xf>
    <xf numFmtId="166" fontId="8" fillId="24" borderId="7" xfId="0" applyNumberFormat="1" applyFont="1" applyFill="1" applyBorder="1" applyAlignment="1">
      <alignment horizontal="center" vertical="center" wrapText="1"/>
    </xf>
    <xf numFmtId="0" fontId="65" fillId="4" borderId="7" xfId="0" applyFont="1" applyFill="1" applyBorder="1" applyAlignment="1">
      <alignment horizontal="center" vertical="center" wrapText="1"/>
    </xf>
    <xf numFmtId="0" fontId="66" fillId="8" borderId="7" xfId="0" applyFont="1" applyFill="1" applyBorder="1" applyAlignment="1">
      <alignment horizontal="center" vertical="center" wrapText="1"/>
    </xf>
    <xf numFmtId="0" fontId="67" fillId="8" borderId="11" xfId="0" applyFont="1" applyFill="1" applyBorder="1" applyAlignment="1">
      <alignment horizontal="center" vertical="center" wrapText="1"/>
    </xf>
    <xf numFmtId="0" fontId="67" fillId="8" borderId="27" xfId="0" applyFont="1" applyFill="1" applyBorder="1" applyAlignment="1">
      <alignment horizontal="center" vertical="center" wrapText="1"/>
    </xf>
    <xf numFmtId="0" fontId="65" fillId="7" borderId="63" xfId="0" applyFont="1" applyFill="1" applyBorder="1" applyAlignment="1">
      <alignment horizontal="center" vertical="center" wrapText="1"/>
    </xf>
    <xf numFmtId="0" fontId="68" fillId="0" borderId="0" xfId="0" applyFont="1" applyAlignment="1">
      <alignment horizontal="center" vertical="center"/>
    </xf>
    <xf numFmtId="0" fontId="65" fillId="12" borderId="7" xfId="0" applyFont="1" applyFill="1" applyBorder="1" applyAlignment="1">
      <alignment vertical="center" wrapText="1"/>
    </xf>
    <xf numFmtId="3" fontId="65" fillId="12" borderId="7" xfId="0" applyNumberFormat="1" applyFont="1" applyFill="1" applyBorder="1" applyAlignment="1">
      <alignment horizontal="center" vertical="center" wrapText="1"/>
    </xf>
    <xf numFmtId="1" fontId="65" fillId="12" borderId="7" xfId="0" applyNumberFormat="1" applyFont="1" applyFill="1" applyBorder="1" applyAlignment="1">
      <alignment horizontal="center" vertical="center" wrapText="1"/>
    </xf>
    <xf numFmtId="166" fontId="65" fillId="12" borderId="7" xfId="0" applyNumberFormat="1" applyFont="1" applyFill="1" applyBorder="1" applyAlignment="1">
      <alignment horizontal="center" vertical="center" wrapText="1"/>
    </xf>
    <xf numFmtId="166" fontId="67" fillId="12" borderId="7" xfId="0" applyNumberFormat="1" applyFont="1" applyFill="1" applyBorder="1" applyAlignment="1">
      <alignment horizontal="left" vertical="top" wrapText="1"/>
    </xf>
    <xf numFmtId="9" fontId="65" fillId="12" borderId="27" xfId="0" applyNumberFormat="1" applyFont="1" applyFill="1" applyBorder="1" applyAlignment="1">
      <alignment horizontal="center" vertical="center" wrapText="1"/>
    </xf>
    <xf numFmtId="0" fontId="68" fillId="12" borderId="63" xfId="0" applyFont="1" applyFill="1" applyBorder="1" applyAlignment="1">
      <alignment horizontal="center" vertical="center" wrapText="1"/>
    </xf>
    <xf numFmtId="0" fontId="68" fillId="0" borderId="0" xfId="0" applyFont="1" applyAlignment="1">
      <alignment vertical="top"/>
    </xf>
    <xf numFmtId="0" fontId="65" fillId="13" borderId="7" xfId="0" applyFont="1" applyFill="1" applyBorder="1" applyAlignment="1">
      <alignment vertical="center" wrapText="1"/>
    </xf>
    <xf numFmtId="3" fontId="68" fillId="13" borderId="7" xfId="0" applyNumberFormat="1" applyFont="1" applyFill="1" applyBorder="1" applyAlignment="1">
      <alignment horizontal="center" vertical="center" wrapText="1"/>
    </xf>
    <xf numFmtId="1" fontId="65" fillId="13" borderId="7" xfId="0" applyNumberFormat="1" applyFont="1" applyFill="1" applyBorder="1" applyAlignment="1">
      <alignment horizontal="center" vertical="center" wrapText="1"/>
    </xf>
    <xf numFmtId="9" fontId="65" fillId="13" borderId="7" xfId="0" applyNumberFormat="1" applyFont="1" applyFill="1" applyBorder="1" applyAlignment="1">
      <alignment horizontal="center" vertical="center" wrapText="1"/>
    </xf>
    <xf numFmtId="9" fontId="67" fillId="13" borderId="7" xfId="0" applyNumberFormat="1" applyFont="1" applyFill="1" applyBorder="1" applyAlignment="1">
      <alignment horizontal="left" vertical="top" wrapText="1"/>
    </xf>
    <xf numFmtId="9" fontId="65" fillId="13" borderId="27" xfId="0" applyNumberFormat="1" applyFont="1" applyFill="1" applyBorder="1" applyAlignment="1">
      <alignment horizontal="center" vertical="center" wrapText="1"/>
    </xf>
    <xf numFmtId="0" fontId="68" fillId="13" borderId="63" xfId="0" applyFont="1" applyFill="1" applyBorder="1" applyAlignment="1">
      <alignment horizontal="center" vertical="center" wrapText="1"/>
    </xf>
    <xf numFmtId="0" fontId="65" fillId="36" borderId="7" xfId="0" applyFont="1" applyFill="1" applyBorder="1" applyAlignment="1">
      <alignment vertical="center" wrapText="1"/>
    </xf>
    <xf numFmtId="3" fontId="65" fillId="36" borderId="7" xfId="0" applyNumberFormat="1" applyFont="1" applyFill="1" applyBorder="1" applyAlignment="1">
      <alignment horizontal="center" vertical="center" wrapText="1"/>
    </xf>
    <xf numFmtId="1" fontId="65" fillId="36" borderId="7" xfId="0" applyNumberFormat="1" applyFont="1" applyFill="1" applyBorder="1" applyAlignment="1">
      <alignment horizontal="center" vertical="center" wrapText="1"/>
    </xf>
    <xf numFmtId="9" fontId="65" fillId="36" borderId="7" xfId="0" applyNumberFormat="1" applyFont="1" applyFill="1" applyBorder="1" applyAlignment="1">
      <alignment horizontal="center" vertical="center" wrapText="1"/>
    </xf>
    <xf numFmtId="166" fontId="67" fillId="36" borderId="7" xfId="0" applyNumberFormat="1" applyFont="1" applyFill="1" applyBorder="1" applyAlignment="1">
      <alignment horizontal="left" vertical="top" wrapText="1"/>
    </xf>
    <xf numFmtId="9" fontId="65" fillId="36" borderId="27" xfId="0" applyNumberFormat="1" applyFont="1" applyFill="1" applyBorder="1" applyAlignment="1">
      <alignment horizontal="center" vertical="center" wrapText="1"/>
    </xf>
    <xf numFmtId="0" fontId="68" fillId="36" borderId="63" xfId="0" applyFont="1" applyFill="1" applyBorder="1" applyAlignment="1">
      <alignment horizontal="center" vertical="center" wrapText="1"/>
    </xf>
    <xf numFmtId="0" fontId="69" fillId="0" borderId="7" xfId="0" applyFont="1" applyBorder="1" applyAlignment="1">
      <alignment vertical="center" wrapText="1"/>
    </xf>
    <xf numFmtId="0" fontId="68" fillId="0" borderId="7" xfId="0" applyFont="1" applyBorder="1" applyAlignment="1">
      <alignment horizontal="center" vertical="center" wrapText="1"/>
    </xf>
    <xf numFmtId="0" fontId="70" fillId="0" borderId="7" xfId="0" applyFont="1" applyBorder="1" applyAlignment="1">
      <alignment horizontal="center" vertical="center"/>
    </xf>
    <xf numFmtId="1" fontId="65" fillId="0" borderId="7" xfId="0" applyNumberFormat="1" applyFont="1" applyBorder="1" applyAlignment="1">
      <alignment horizontal="center" vertical="center" wrapText="1"/>
    </xf>
    <xf numFmtId="166" fontId="65" fillId="0" borderId="7" xfId="0" applyNumberFormat="1" applyFont="1" applyBorder="1" applyAlignment="1">
      <alignment horizontal="center" vertical="center" wrapText="1"/>
    </xf>
    <xf numFmtId="9" fontId="71" fillId="0" borderId="7" xfId="0" applyNumberFormat="1" applyFont="1" applyBorder="1" applyAlignment="1">
      <alignment horizontal="left" vertical="top" wrapText="1"/>
    </xf>
    <xf numFmtId="9" fontId="68" fillId="0" borderId="27" xfId="0" applyNumberFormat="1" applyFont="1" applyBorder="1" applyAlignment="1">
      <alignment horizontal="center" vertical="center" wrapText="1"/>
    </xf>
    <xf numFmtId="9" fontId="71" fillId="0" borderId="7" xfId="0" applyNumberFormat="1" applyFont="1" applyBorder="1" applyAlignment="1">
      <alignment horizontal="left" vertical="center" wrapText="1"/>
    </xf>
    <xf numFmtId="0" fontId="68" fillId="0" borderId="7" xfId="0" applyFont="1" applyBorder="1" applyAlignment="1">
      <alignment vertical="center" wrapText="1"/>
    </xf>
    <xf numFmtId="1" fontId="65" fillId="14" borderId="7" xfId="0" applyNumberFormat="1" applyFont="1" applyFill="1" applyBorder="1" applyAlignment="1">
      <alignment horizontal="center" vertical="center" wrapText="1"/>
    </xf>
    <xf numFmtId="166" fontId="71" fillId="0" borderId="7" xfId="0" applyNumberFormat="1" applyFont="1" applyBorder="1" applyAlignment="1">
      <alignment horizontal="left" vertical="top" wrapText="1"/>
    </xf>
    <xf numFmtId="1" fontId="65" fillId="30" borderId="7" xfId="0" applyNumberFormat="1" applyFont="1" applyFill="1" applyBorder="1" applyAlignment="1">
      <alignment horizontal="center" vertical="center" wrapText="1"/>
    </xf>
    <xf numFmtId="0" fontId="65" fillId="16" borderId="7" xfId="0" applyFont="1" applyFill="1" applyBorder="1" applyAlignment="1">
      <alignment vertical="center" wrapText="1"/>
    </xf>
    <xf numFmtId="3" fontId="65" fillId="16" borderId="7" xfId="0" applyNumberFormat="1" applyFont="1" applyFill="1" applyBorder="1" applyAlignment="1">
      <alignment horizontal="center" vertical="center" wrapText="1"/>
    </xf>
    <xf numFmtId="1" fontId="65" fillId="16" borderId="7" xfId="0" applyNumberFormat="1" applyFont="1" applyFill="1" applyBorder="1" applyAlignment="1">
      <alignment horizontal="center" vertical="center" wrapText="1"/>
    </xf>
    <xf numFmtId="9" fontId="65" fillId="16" borderId="7" xfId="0" applyNumberFormat="1" applyFont="1" applyFill="1" applyBorder="1" applyAlignment="1">
      <alignment horizontal="center" vertical="center" wrapText="1"/>
    </xf>
    <xf numFmtId="9" fontId="67" fillId="16" borderId="7" xfId="0" applyNumberFormat="1" applyFont="1" applyFill="1" applyBorder="1" applyAlignment="1">
      <alignment horizontal="left" vertical="top" wrapText="1"/>
    </xf>
    <xf numFmtId="9" fontId="65" fillId="16" borderId="27" xfId="0" applyNumberFormat="1" applyFont="1" applyFill="1" applyBorder="1" applyAlignment="1">
      <alignment horizontal="center" vertical="center" wrapText="1"/>
    </xf>
    <xf numFmtId="0" fontId="68" fillId="16" borderId="63" xfId="0" applyFont="1" applyFill="1" applyBorder="1" applyAlignment="1">
      <alignment horizontal="center" vertical="center" wrapText="1"/>
    </xf>
    <xf numFmtId="9" fontId="65" fillId="0" borderId="7" xfId="0" applyNumberFormat="1" applyFont="1" applyBorder="1" applyAlignment="1">
      <alignment horizontal="center" vertical="center"/>
    </xf>
    <xf numFmtId="9" fontId="65" fillId="0" borderId="7" xfId="0" applyNumberFormat="1" applyFont="1" applyBorder="1" applyAlignment="1">
      <alignment horizontal="center" vertical="center" wrapText="1"/>
    </xf>
    <xf numFmtId="0" fontId="65" fillId="0" borderId="7" xfId="0" applyFont="1" applyBorder="1" applyAlignment="1">
      <alignment horizontal="center" vertical="center"/>
    </xf>
    <xf numFmtId="0" fontId="65" fillId="4" borderId="7" xfId="0" applyFont="1" applyFill="1" applyBorder="1" applyAlignment="1">
      <alignment vertical="center" wrapText="1"/>
    </xf>
    <xf numFmtId="3" fontId="65" fillId="4" borderId="7" xfId="0" applyNumberFormat="1" applyFont="1" applyFill="1" applyBorder="1" applyAlignment="1">
      <alignment horizontal="center" vertical="center" wrapText="1"/>
    </xf>
    <xf numFmtId="1" fontId="65" fillId="4" borderId="7" xfId="0" applyNumberFormat="1" applyFont="1" applyFill="1" applyBorder="1" applyAlignment="1">
      <alignment horizontal="center" vertical="center" wrapText="1"/>
    </xf>
    <xf numFmtId="9" fontId="65" fillId="4" borderId="7" xfId="0" applyNumberFormat="1" applyFont="1" applyFill="1" applyBorder="1" applyAlignment="1">
      <alignment horizontal="center" vertical="center" wrapText="1"/>
    </xf>
    <xf numFmtId="9" fontId="67" fillId="4" borderId="7" xfId="0" applyNumberFormat="1" applyFont="1" applyFill="1" applyBorder="1" applyAlignment="1">
      <alignment horizontal="left" vertical="top" wrapText="1"/>
    </xf>
    <xf numFmtId="9" fontId="65" fillId="4" borderId="27" xfId="0" applyNumberFormat="1" applyFont="1" applyFill="1" applyBorder="1" applyAlignment="1">
      <alignment horizontal="center" vertical="center" wrapText="1"/>
    </xf>
    <xf numFmtId="0" fontId="68" fillId="4" borderId="63" xfId="0" applyFont="1" applyFill="1" applyBorder="1" applyAlignment="1">
      <alignment horizontal="center" vertical="center" wrapText="1"/>
    </xf>
    <xf numFmtId="0" fontId="65" fillId="0" borderId="7" xfId="0" applyFont="1" applyBorder="1" applyAlignment="1">
      <alignment horizontal="center" vertical="center" wrapText="1"/>
    </xf>
    <xf numFmtId="166" fontId="71" fillId="14" borderId="7" xfId="0" applyNumberFormat="1" applyFont="1" applyFill="1" applyBorder="1" applyAlignment="1">
      <alignment horizontal="left" vertical="top" wrapText="1"/>
    </xf>
    <xf numFmtId="0" fontId="68" fillId="14" borderId="7" xfId="0" applyFont="1" applyFill="1" applyBorder="1" applyAlignment="1">
      <alignment horizontal="center" vertical="center" wrapText="1"/>
    </xf>
    <xf numFmtId="9" fontId="65" fillId="14" borderId="7" xfId="0" applyNumberFormat="1" applyFont="1" applyFill="1" applyBorder="1" applyAlignment="1">
      <alignment horizontal="center" vertical="center" wrapText="1"/>
    </xf>
    <xf numFmtId="166" fontId="65" fillId="0" borderId="27" xfId="0" applyNumberFormat="1" applyFont="1" applyBorder="1" applyAlignment="1">
      <alignment horizontal="center" vertical="center" wrapText="1"/>
    </xf>
    <xf numFmtId="0" fontId="68" fillId="14" borderId="63" xfId="0" applyFont="1" applyFill="1" applyBorder="1" applyAlignment="1">
      <alignment horizontal="center" vertical="center" wrapText="1"/>
    </xf>
    <xf numFmtId="0" fontId="69" fillId="14" borderId="7" xfId="0" applyFont="1" applyFill="1" applyBorder="1" applyAlignment="1">
      <alignment vertical="center" wrapText="1"/>
    </xf>
    <xf numFmtId="1" fontId="65" fillId="0" borderId="7" xfId="0" applyNumberFormat="1" applyFont="1" applyBorder="1" applyAlignment="1">
      <alignment horizontal="center" vertical="center"/>
    </xf>
    <xf numFmtId="166" fontId="67" fillId="16" borderId="7" xfId="0" applyNumberFormat="1" applyFont="1" applyFill="1" applyBorder="1" applyAlignment="1">
      <alignment horizontal="left" vertical="top" wrapText="1"/>
    </xf>
    <xf numFmtId="0" fontId="68" fillId="14" borderId="7" xfId="0" applyFont="1" applyFill="1" applyBorder="1" applyAlignment="1">
      <alignment vertical="center" wrapText="1"/>
    </xf>
    <xf numFmtId="170" fontId="65" fillId="14" borderId="7" xfId="0" applyNumberFormat="1" applyFont="1" applyFill="1" applyBorder="1" applyAlignment="1">
      <alignment horizontal="center" vertical="center" wrapText="1"/>
    </xf>
    <xf numFmtId="3" fontId="65" fillId="13" borderId="7" xfId="0" applyNumberFormat="1" applyFont="1" applyFill="1" applyBorder="1" applyAlignment="1">
      <alignment horizontal="center" vertical="center" wrapText="1"/>
    </xf>
    <xf numFmtId="166" fontId="65" fillId="13" borderId="7" xfId="0" applyNumberFormat="1" applyFont="1" applyFill="1" applyBorder="1" applyAlignment="1">
      <alignment horizontal="center" vertical="center" wrapText="1"/>
    </xf>
    <xf numFmtId="9" fontId="70" fillId="0" borderId="7" xfId="0" applyNumberFormat="1" applyFont="1" applyBorder="1" applyAlignment="1">
      <alignment horizontal="center" vertical="center"/>
    </xf>
    <xf numFmtId="170" fontId="65" fillId="0" borderId="7" xfId="0" applyNumberFormat="1" applyFont="1" applyBorder="1" applyAlignment="1">
      <alignment horizontal="center" vertical="center" wrapText="1"/>
    </xf>
    <xf numFmtId="0" fontId="65" fillId="14" borderId="7" xfId="0" applyFont="1" applyFill="1" applyBorder="1" applyAlignment="1">
      <alignment horizontal="center" vertical="center"/>
    </xf>
    <xf numFmtId="9" fontId="65" fillId="14" borderId="7" xfId="0" applyNumberFormat="1" applyFont="1" applyFill="1" applyBorder="1" applyAlignment="1">
      <alignment horizontal="center" vertical="center"/>
    </xf>
    <xf numFmtId="179" fontId="65" fillId="14" borderId="7" xfId="0" applyNumberFormat="1" applyFont="1" applyFill="1" applyBorder="1" applyAlignment="1">
      <alignment horizontal="center" vertical="center" wrapText="1"/>
    </xf>
    <xf numFmtId="0" fontId="69" fillId="0" borderId="7" xfId="0" applyFont="1" applyBorder="1" applyAlignment="1">
      <alignment horizontal="center" vertical="center" wrapText="1"/>
    </xf>
    <xf numFmtId="10" fontId="65" fillId="0" borderId="7" xfId="0" applyNumberFormat="1" applyFont="1" applyBorder="1" applyAlignment="1">
      <alignment horizontal="center" vertical="center" wrapText="1"/>
    </xf>
    <xf numFmtId="1" fontId="65" fillId="24" borderId="7" xfId="0" applyNumberFormat="1" applyFont="1" applyFill="1" applyBorder="1" applyAlignment="1">
      <alignment horizontal="center" vertical="center" wrapText="1"/>
    </xf>
    <xf numFmtId="2" fontId="65" fillId="14" borderId="7" xfId="0" applyNumberFormat="1" applyFont="1" applyFill="1" applyBorder="1" applyAlignment="1">
      <alignment horizontal="center" vertical="center" wrapText="1"/>
    </xf>
    <xf numFmtId="9" fontId="68" fillId="30" borderId="27" xfId="0" applyNumberFormat="1" applyFont="1" applyFill="1" applyBorder="1" applyAlignment="1">
      <alignment horizontal="center" vertical="center" wrapText="1"/>
    </xf>
    <xf numFmtId="0" fontId="69" fillId="14" borderId="7" xfId="0" applyFont="1" applyFill="1" applyBorder="1" applyAlignment="1">
      <alignment horizontal="center" vertical="center" wrapText="1"/>
    </xf>
    <xf numFmtId="9" fontId="68" fillId="31" borderId="27" xfId="0" applyNumberFormat="1" applyFont="1" applyFill="1" applyBorder="1" applyAlignment="1">
      <alignment horizontal="center" vertical="center" wrapText="1"/>
    </xf>
    <xf numFmtId="0" fontId="68" fillId="4" borderId="7" xfId="0" applyFont="1" applyFill="1" applyBorder="1" applyAlignment="1">
      <alignment vertical="center" wrapText="1"/>
    </xf>
    <xf numFmtId="3" fontId="68" fillId="4" borderId="7" xfId="0" applyNumberFormat="1" applyFont="1" applyFill="1" applyBorder="1" applyAlignment="1">
      <alignment horizontal="center" vertical="center" wrapText="1"/>
    </xf>
    <xf numFmtId="166" fontId="65" fillId="4" borderId="7" xfId="0" applyNumberFormat="1" applyFont="1" applyFill="1" applyBorder="1" applyAlignment="1">
      <alignment horizontal="center" vertical="center" wrapText="1"/>
    </xf>
    <xf numFmtId="9" fontId="68" fillId="4" borderId="27" xfId="0" applyNumberFormat="1" applyFont="1" applyFill="1" applyBorder="1" applyAlignment="1">
      <alignment horizontal="center" vertical="center" wrapText="1"/>
    </xf>
    <xf numFmtId="0" fontId="65" fillId="14" borderId="7" xfId="1" applyNumberFormat="1" applyFont="1" applyFill="1" applyBorder="1" applyAlignment="1">
      <alignment horizontal="center" vertical="center"/>
    </xf>
    <xf numFmtId="2" fontId="65" fillId="0" borderId="7" xfId="0" applyNumberFormat="1" applyFont="1" applyBorder="1" applyAlignment="1">
      <alignment horizontal="center" vertical="center" wrapText="1"/>
    </xf>
    <xf numFmtId="3" fontId="68" fillId="12" borderId="7" xfId="0" applyNumberFormat="1" applyFont="1" applyFill="1" applyBorder="1" applyAlignment="1">
      <alignment horizontal="center" vertical="center" wrapText="1"/>
    </xf>
    <xf numFmtId="166" fontId="65" fillId="24" borderId="7" xfId="0" applyNumberFormat="1" applyFont="1" applyFill="1" applyBorder="1" applyAlignment="1">
      <alignment horizontal="center" vertical="center" wrapText="1"/>
    </xf>
    <xf numFmtId="166" fontId="65" fillId="30" borderId="7" xfId="0" applyNumberFormat="1" applyFont="1" applyFill="1" applyBorder="1" applyAlignment="1">
      <alignment horizontal="center" vertical="center" wrapText="1"/>
    </xf>
    <xf numFmtId="0" fontId="70" fillId="14" borderId="7" xfId="0" applyFont="1" applyFill="1" applyBorder="1" applyAlignment="1">
      <alignment horizontal="center" vertical="center"/>
    </xf>
    <xf numFmtId="170" fontId="65" fillId="9" borderId="7" xfId="0" applyNumberFormat="1" applyFont="1" applyFill="1" applyBorder="1" applyAlignment="1">
      <alignment horizontal="center" vertical="center" wrapText="1"/>
    </xf>
    <xf numFmtId="9" fontId="68" fillId="9" borderId="27" xfId="0" applyNumberFormat="1" applyFont="1" applyFill="1" applyBorder="1" applyAlignment="1">
      <alignment horizontal="center" vertical="center" wrapText="1"/>
    </xf>
    <xf numFmtId="166" fontId="65" fillId="14" borderId="7" xfId="0" applyNumberFormat="1" applyFont="1" applyFill="1" applyBorder="1" applyAlignment="1">
      <alignment horizontal="center" vertical="center" wrapText="1"/>
    </xf>
    <xf numFmtId="0" fontId="68" fillId="0" borderId="63" xfId="0" applyFont="1" applyBorder="1" applyAlignment="1">
      <alignment horizontal="center" vertical="center" wrapText="1"/>
    </xf>
    <xf numFmtId="9" fontId="70" fillId="14" borderId="7" xfId="0" applyNumberFormat="1" applyFont="1" applyFill="1" applyBorder="1" applyAlignment="1">
      <alignment horizontal="center" vertical="center"/>
    </xf>
    <xf numFmtId="9" fontId="65" fillId="30" borderId="7" xfId="0" applyNumberFormat="1" applyFont="1" applyFill="1" applyBorder="1" applyAlignment="1">
      <alignment horizontal="center" vertical="center" wrapText="1"/>
    </xf>
    <xf numFmtId="9" fontId="65" fillId="24" borderId="7" xfId="0" applyNumberFormat="1" applyFont="1" applyFill="1" applyBorder="1" applyAlignment="1">
      <alignment horizontal="center" vertical="center" wrapText="1"/>
    </xf>
    <xf numFmtId="9" fontId="67" fillId="4" borderId="7" xfId="0" applyNumberFormat="1" applyFont="1" applyFill="1" applyBorder="1" applyAlignment="1">
      <alignment horizontal="center" vertical="top" wrapText="1"/>
    </xf>
    <xf numFmtId="0" fontId="68" fillId="0" borderId="0" xfId="0" applyFont="1" applyAlignment="1">
      <alignment horizontal="center" vertical="top"/>
    </xf>
    <xf numFmtId="9" fontId="71" fillId="4" borderId="7" xfId="0" applyNumberFormat="1" applyFont="1" applyFill="1" applyBorder="1" applyAlignment="1">
      <alignment horizontal="left" vertical="top" wrapText="1"/>
    </xf>
    <xf numFmtId="0" fontId="65" fillId="26" borderId="7" xfId="0" applyFont="1" applyFill="1" applyBorder="1" applyAlignment="1">
      <alignment vertical="center" wrapText="1"/>
    </xf>
    <xf numFmtId="3" fontId="65" fillId="26" borderId="7" xfId="0" applyNumberFormat="1" applyFont="1" applyFill="1" applyBorder="1" applyAlignment="1">
      <alignment horizontal="center" vertical="center" wrapText="1"/>
    </xf>
    <xf numFmtId="1" fontId="65" fillId="26" borderId="7" xfId="0" applyNumberFormat="1" applyFont="1" applyFill="1" applyBorder="1" applyAlignment="1">
      <alignment horizontal="center" vertical="center" wrapText="1"/>
    </xf>
    <xf numFmtId="170" fontId="65" fillId="27" borderId="7" xfId="0" applyNumberFormat="1" applyFont="1" applyFill="1" applyBorder="1" applyAlignment="1">
      <alignment horizontal="center" vertical="center" wrapText="1"/>
    </xf>
    <xf numFmtId="166" fontId="65" fillId="26" borderId="7" xfId="0" applyNumberFormat="1" applyFont="1" applyFill="1" applyBorder="1" applyAlignment="1">
      <alignment horizontal="center" vertical="center" wrapText="1"/>
    </xf>
    <xf numFmtId="9" fontId="67" fillId="26" borderId="7" xfId="0" applyNumberFormat="1" applyFont="1" applyFill="1" applyBorder="1" applyAlignment="1">
      <alignment horizontal="left" vertical="top" wrapText="1"/>
    </xf>
    <xf numFmtId="9" fontId="65" fillId="26" borderId="27" xfId="0" applyNumberFormat="1" applyFont="1" applyFill="1" applyBorder="1" applyAlignment="1">
      <alignment horizontal="center" vertical="center" wrapText="1"/>
    </xf>
    <xf numFmtId="0" fontId="68" fillId="26" borderId="63" xfId="0" applyFont="1" applyFill="1" applyBorder="1" applyAlignment="1">
      <alignment horizontal="center" vertical="center" wrapText="1"/>
    </xf>
    <xf numFmtId="0" fontId="66" fillId="4" borderId="7" xfId="0" applyFont="1" applyFill="1" applyBorder="1" applyAlignment="1">
      <alignment horizontal="center" vertical="center" wrapText="1"/>
    </xf>
    <xf numFmtId="166" fontId="66" fillId="4" borderId="7" xfId="0" applyNumberFormat="1" applyFont="1" applyFill="1" applyBorder="1" applyAlignment="1">
      <alignment horizontal="center" vertical="center" wrapText="1"/>
    </xf>
    <xf numFmtId="166" fontId="67" fillId="4" borderId="7" xfId="0" applyNumberFormat="1" applyFont="1" applyFill="1" applyBorder="1" applyAlignment="1">
      <alignment horizontal="left" vertical="top" wrapText="1"/>
    </xf>
    <xf numFmtId="10" fontId="66" fillId="4" borderId="27" xfId="0" applyNumberFormat="1" applyFont="1" applyFill="1" applyBorder="1" applyAlignment="1">
      <alignment horizontal="center" vertical="center" wrapText="1"/>
    </xf>
    <xf numFmtId="0" fontId="68" fillId="0" borderId="0" xfId="0" applyFont="1" applyAlignment="1">
      <alignment vertical="center"/>
    </xf>
    <xf numFmtId="0" fontId="65" fillId="0" borderId="0" xfId="0" applyFont="1" applyAlignment="1">
      <alignment vertical="center"/>
    </xf>
    <xf numFmtId="0" fontId="68" fillId="0" borderId="19" xfId="0" applyFont="1" applyBorder="1" applyAlignment="1">
      <alignment vertical="center"/>
    </xf>
    <xf numFmtId="0" fontId="68" fillId="0" borderId="63" xfId="0" applyFont="1" applyBorder="1" applyAlignment="1">
      <alignment horizontal="center" vertical="center"/>
    </xf>
    <xf numFmtId="3" fontId="57" fillId="14" borderId="7" xfId="0" applyNumberFormat="1" applyFont="1" applyFill="1" applyBorder="1" applyAlignment="1">
      <alignment vertical="top" wrapText="1"/>
    </xf>
    <xf numFmtId="0" fontId="8" fillId="14" borderId="7" xfId="0" applyFont="1" applyFill="1" applyBorder="1" applyAlignment="1">
      <alignment horizontal="left" vertical="top" wrapText="1"/>
    </xf>
    <xf numFmtId="0" fontId="20" fillId="30" borderId="0" xfId="0" applyFont="1" applyFill="1" applyAlignment="1">
      <alignment vertical="top" wrapText="1"/>
    </xf>
    <xf numFmtId="0" fontId="8" fillId="30" borderId="0" xfId="0" applyFont="1" applyFill="1" applyAlignment="1">
      <alignment horizontal="left" vertical="top" wrapText="1"/>
    </xf>
    <xf numFmtId="0" fontId="57" fillId="14" borderId="7" xfId="0" applyFont="1" applyFill="1" applyBorder="1" applyAlignment="1">
      <alignment vertical="top" wrapText="1"/>
    </xf>
    <xf numFmtId="0" fontId="8" fillId="30" borderId="63" xfId="0" applyFont="1" applyFill="1" applyBorder="1" applyAlignment="1">
      <alignment vertical="top" wrapText="1"/>
    </xf>
    <xf numFmtId="174" fontId="0" fillId="0" borderId="0" xfId="0" applyNumberFormat="1"/>
    <xf numFmtId="0" fontId="54" fillId="0" borderId="44" xfId="0" applyFont="1" applyBorder="1" applyAlignment="1">
      <alignment horizontal="center" vertical="center"/>
    </xf>
    <xf numFmtId="49" fontId="72" fillId="15" borderId="41" xfId="0" applyNumberFormat="1" applyFont="1" applyFill="1" applyBorder="1" applyAlignment="1">
      <alignment horizontal="center" vertical="center" wrapText="1"/>
    </xf>
    <xf numFmtId="49" fontId="72" fillId="20" borderId="40" xfId="0" applyNumberFormat="1" applyFont="1" applyFill="1" applyBorder="1" applyAlignment="1">
      <alignment horizontal="center" vertical="center"/>
    </xf>
    <xf numFmtId="0" fontId="55" fillId="20" borderId="40" xfId="0" applyFont="1" applyFill="1" applyBorder="1"/>
    <xf numFmtId="174" fontId="17" fillId="0" borderId="40" xfId="2" applyNumberFormat="1" applyFont="1" applyFill="1" applyBorder="1" applyAlignment="1">
      <alignment horizontal="center"/>
    </xf>
    <xf numFmtId="174" fontId="17" fillId="20" borderId="40" xfId="2" applyNumberFormat="1" applyFont="1" applyFill="1" applyBorder="1" applyAlignment="1">
      <alignment horizontal="center"/>
    </xf>
    <xf numFmtId="174" fontId="17" fillId="45" borderId="40" xfId="2" applyNumberFormat="1" applyFont="1" applyFill="1" applyBorder="1" applyAlignment="1">
      <alignment horizontal="center"/>
    </xf>
    <xf numFmtId="0" fontId="56" fillId="0" borderId="44" xfId="0" applyFont="1" applyBorder="1" applyAlignment="1">
      <alignment horizontal="left" vertical="center"/>
    </xf>
    <xf numFmtId="49" fontId="72" fillId="18" borderId="40" xfId="0" applyNumberFormat="1" applyFont="1" applyFill="1" applyBorder="1" applyAlignment="1">
      <alignment horizontal="center" vertical="center"/>
    </xf>
    <xf numFmtId="0" fontId="55" fillId="18" borderId="40" xfId="0" applyFont="1" applyFill="1" applyBorder="1"/>
    <xf numFmtId="174" fontId="17" fillId="18" borderId="40" xfId="2" applyNumberFormat="1" applyFont="1" applyFill="1" applyBorder="1" applyAlignment="1">
      <alignment horizontal="center"/>
    </xf>
    <xf numFmtId="43" fontId="8" fillId="0" borderId="40" xfId="2" applyFont="1" applyBorder="1" applyAlignment="1">
      <alignment horizontal="center"/>
    </xf>
    <xf numFmtId="174" fontId="17" fillId="46" borderId="40" xfId="2" applyNumberFormat="1" applyFont="1" applyFill="1" applyBorder="1" applyAlignment="1">
      <alignment horizontal="center"/>
    </xf>
    <xf numFmtId="0" fontId="72" fillId="18" borderId="40" xfId="0" applyFont="1" applyFill="1" applyBorder="1" applyAlignment="1">
      <alignment horizontal="center" vertical="center"/>
    </xf>
    <xf numFmtId="174" fontId="55" fillId="18" borderId="40" xfId="2" applyNumberFormat="1" applyFont="1" applyFill="1" applyBorder="1" applyAlignment="1">
      <alignment horizontal="center"/>
    </xf>
    <xf numFmtId="0" fontId="73" fillId="0" borderId="40" xfId="0" applyFont="1" applyBorder="1" applyAlignment="1">
      <alignment horizontal="center" vertical="center"/>
    </xf>
    <xf numFmtId="49" fontId="73" fillId="0" borderId="40" xfId="0" applyNumberFormat="1" applyFont="1" applyBorder="1" applyAlignment="1">
      <alignment horizontal="center" vertical="center"/>
    </xf>
    <xf numFmtId="49" fontId="72" fillId="0" borderId="40" xfId="0" applyNumberFormat="1" applyFont="1" applyBorder="1" applyAlignment="1">
      <alignment horizontal="center" vertical="center"/>
    </xf>
    <xf numFmtId="0" fontId="57" fillId="0" borderId="40" xfId="0" applyFont="1" applyBorder="1"/>
    <xf numFmtId="174" fontId="8" fillId="0" borderId="40" xfId="2" applyNumberFormat="1" applyFont="1" applyFill="1" applyBorder="1" applyAlignment="1">
      <alignment horizontal="center"/>
    </xf>
    <xf numFmtId="176" fontId="8" fillId="0" borderId="40" xfId="2" applyNumberFormat="1" applyFont="1" applyBorder="1" applyAlignment="1">
      <alignment horizontal="center"/>
    </xf>
    <xf numFmtId="4" fontId="8" fillId="0" borderId="40" xfId="2" applyNumberFormat="1" applyFont="1" applyBorder="1" applyAlignment="1">
      <alignment horizontal="right"/>
    </xf>
    <xf numFmtId="4" fontId="57" fillId="0" borderId="40" xfId="2" applyNumberFormat="1" applyFont="1" applyBorder="1" applyAlignment="1">
      <alignment horizontal="right"/>
    </xf>
    <xf numFmtId="4" fontId="17" fillId="18" borderId="40" xfId="2" applyNumberFormat="1" applyFont="1" applyFill="1" applyBorder="1" applyAlignment="1">
      <alignment horizontal="right"/>
    </xf>
    <xf numFmtId="4" fontId="55" fillId="18" borderId="40" xfId="2" applyNumberFormat="1" applyFont="1" applyFill="1" applyBorder="1" applyAlignment="1">
      <alignment horizontal="right"/>
    </xf>
    <xf numFmtId="0" fontId="74" fillId="0" borderId="0" xfId="0" applyFont="1"/>
    <xf numFmtId="0" fontId="72" fillId="19" borderId="40" xfId="0" applyFont="1" applyFill="1" applyBorder="1" applyAlignment="1">
      <alignment horizontal="center" vertical="center"/>
    </xf>
    <xf numFmtId="49" fontId="72" fillId="19" borderId="40" xfId="0" applyNumberFormat="1" applyFont="1" applyFill="1" applyBorder="1" applyAlignment="1">
      <alignment horizontal="center" vertical="center"/>
    </xf>
    <xf numFmtId="0" fontId="55" fillId="19" borderId="40" xfId="0" applyFont="1" applyFill="1" applyBorder="1"/>
    <xf numFmtId="176" fontId="17" fillId="19" borderId="40" xfId="2" applyNumberFormat="1" applyFont="1" applyFill="1" applyBorder="1" applyAlignment="1">
      <alignment horizontal="center"/>
    </xf>
    <xf numFmtId="4" fontId="17" fillId="19" borderId="40" xfId="2" applyNumberFormat="1" applyFont="1" applyFill="1" applyBorder="1" applyAlignment="1">
      <alignment horizontal="right"/>
    </xf>
    <xf numFmtId="4" fontId="55" fillId="19" borderId="40" xfId="2" applyNumberFormat="1" applyFont="1" applyFill="1" applyBorder="1" applyAlignment="1">
      <alignment horizontal="right"/>
    </xf>
    <xf numFmtId="176" fontId="8" fillId="0" borderId="40" xfId="2" applyNumberFormat="1" applyFont="1" applyFill="1" applyBorder="1" applyAlignment="1">
      <alignment horizontal="center"/>
    </xf>
    <xf numFmtId="4" fontId="8" fillId="0" borderId="40" xfId="2" applyNumberFormat="1" applyFont="1" applyFill="1" applyBorder="1" applyAlignment="1">
      <alignment horizontal="right"/>
    </xf>
    <xf numFmtId="4" fontId="57" fillId="0" borderId="40" xfId="2" applyNumberFormat="1" applyFont="1" applyFill="1" applyBorder="1" applyAlignment="1">
      <alignment horizontal="right"/>
    </xf>
    <xf numFmtId="0" fontId="75" fillId="0" borderId="0" xfId="0" applyFont="1"/>
    <xf numFmtId="176" fontId="55" fillId="19" borderId="40" xfId="2" applyNumberFormat="1" applyFont="1" applyFill="1" applyBorder="1" applyAlignment="1">
      <alignment horizontal="center"/>
    </xf>
    <xf numFmtId="174" fontId="17" fillId="19" borderId="40" xfId="2" applyNumberFormat="1" applyFont="1" applyFill="1" applyBorder="1" applyAlignment="1">
      <alignment horizontal="center"/>
    </xf>
    <xf numFmtId="174" fontId="55" fillId="19" borderId="40" xfId="2" applyNumberFormat="1" applyFont="1" applyFill="1" applyBorder="1" applyAlignment="1">
      <alignment horizontal="center"/>
    </xf>
    <xf numFmtId="176" fontId="17" fillId="18" borderId="40" xfId="2" applyNumberFormat="1" applyFont="1" applyFill="1" applyBorder="1" applyAlignment="1">
      <alignment horizontal="center"/>
    </xf>
    <xf numFmtId="0" fontId="72" fillId="0" borderId="40" xfId="0" applyFont="1" applyBorder="1" applyAlignment="1">
      <alignment horizontal="center" vertical="center"/>
    </xf>
    <xf numFmtId="0" fontId="55" fillId="0" borderId="40" xfId="0" applyFont="1" applyBorder="1"/>
    <xf numFmtId="43" fontId="8" fillId="0" borderId="40" xfId="2" applyFont="1" applyFill="1" applyBorder="1" applyAlignment="1">
      <alignment horizontal="center"/>
    </xf>
    <xf numFmtId="0" fontId="73" fillId="19" borderId="40" xfId="0" applyFont="1" applyFill="1" applyBorder="1" applyAlignment="1">
      <alignment horizontal="center" vertical="center"/>
    </xf>
    <xf numFmtId="49" fontId="73" fillId="19" borderId="40" xfId="0" applyNumberFormat="1" applyFont="1" applyFill="1" applyBorder="1" applyAlignment="1">
      <alignment horizontal="center" vertical="center"/>
    </xf>
    <xf numFmtId="176" fontId="8" fillId="19" borderId="40" xfId="2" applyNumberFormat="1" applyFont="1" applyFill="1" applyBorder="1" applyAlignment="1">
      <alignment horizontal="center"/>
    </xf>
    <xf numFmtId="176" fontId="57" fillId="19" borderId="40" xfId="2" applyNumberFormat="1" applyFont="1" applyFill="1" applyBorder="1" applyAlignment="1">
      <alignment horizontal="center"/>
    </xf>
    <xf numFmtId="174" fontId="17" fillId="0" borderId="40" xfId="2" applyNumberFormat="1" applyFont="1" applyFill="1" applyBorder="1"/>
    <xf numFmtId="176" fontId="17" fillId="18" borderId="40" xfId="2" applyNumberFormat="1" applyFont="1" applyFill="1" applyBorder="1"/>
    <xf numFmtId="176" fontId="55" fillId="18" borderId="40" xfId="2" applyNumberFormat="1" applyFont="1" applyFill="1" applyBorder="1"/>
    <xf numFmtId="176" fontId="17" fillId="19" borderId="40" xfId="2" applyNumberFormat="1" applyFont="1" applyFill="1" applyBorder="1"/>
    <xf numFmtId="176" fontId="55" fillId="19" borderId="40" xfId="2" applyNumberFormat="1" applyFont="1" applyFill="1" applyBorder="1"/>
    <xf numFmtId="174" fontId="8" fillId="0" borderId="40" xfId="2" applyNumberFormat="1" applyFont="1" applyFill="1" applyBorder="1"/>
    <xf numFmtId="176" fontId="8" fillId="0" borderId="40" xfId="2" applyNumberFormat="1" applyFont="1" applyBorder="1"/>
    <xf numFmtId="4" fontId="17" fillId="47" borderId="40" xfId="2" applyNumberFormat="1" applyFont="1" applyFill="1" applyBorder="1" applyAlignment="1">
      <alignment horizontal="right"/>
    </xf>
    <xf numFmtId="0" fontId="73" fillId="18" borderId="40" xfId="0" applyFont="1" applyFill="1" applyBorder="1" applyAlignment="1">
      <alignment horizontal="center" vertical="center"/>
    </xf>
    <xf numFmtId="0" fontId="55" fillId="48" borderId="46" xfId="0" applyFont="1" applyFill="1" applyBorder="1" applyAlignment="1">
      <alignment vertical="center" wrapText="1"/>
    </xf>
    <xf numFmtId="174" fontId="8" fillId="18" borderId="40" xfId="2" applyNumberFormat="1" applyFont="1" applyFill="1" applyBorder="1" applyAlignment="1">
      <alignment horizontal="center"/>
    </xf>
    <xf numFmtId="4" fontId="8" fillId="18" borderId="40" xfId="2" applyNumberFormat="1" applyFont="1" applyFill="1" applyBorder="1" applyAlignment="1">
      <alignment horizontal="right"/>
    </xf>
    <xf numFmtId="4" fontId="57" fillId="18" borderId="40" xfId="2" applyNumberFormat="1" applyFont="1" applyFill="1" applyBorder="1" applyAlignment="1">
      <alignment horizontal="right"/>
    </xf>
    <xf numFmtId="49" fontId="72" fillId="49" borderId="40" xfId="0" applyNumberFormat="1" applyFont="1" applyFill="1" applyBorder="1" applyAlignment="1">
      <alignment horizontal="center" vertical="center"/>
    </xf>
    <xf numFmtId="0" fontId="73" fillId="49" borderId="40" xfId="0" applyFont="1" applyFill="1" applyBorder="1" applyAlignment="1">
      <alignment horizontal="center" vertical="center"/>
    </xf>
    <xf numFmtId="0" fontId="24" fillId="50" borderId="47" xfId="0" applyFont="1" applyFill="1" applyBorder="1" applyAlignment="1">
      <alignment vertical="center" wrapText="1"/>
    </xf>
    <xf numFmtId="174" fontId="8" fillId="19" borderId="40" xfId="2" applyNumberFormat="1" applyFont="1" applyFill="1" applyBorder="1" applyAlignment="1">
      <alignment horizontal="center"/>
    </xf>
    <xf numFmtId="4" fontId="8" fillId="19" borderId="40" xfId="2" applyNumberFormat="1" applyFont="1" applyFill="1" applyBorder="1" applyAlignment="1">
      <alignment horizontal="right"/>
    </xf>
    <xf numFmtId="4" fontId="57" fillId="19" borderId="40" xfId="2" applyNumberFormat="1" applyFont="1" applyFill="1" applyBorder="1" applyAlignment="1">
      <alignment horizontal="right"/>
    </xf>
    <xf numFmtId="0" fontId="24" fillId="19" borderId="40" xfId="0" quotePrefix="1" applyFont="1" applyFill="1" applyBorder="1" applyAlignment="1">
      <alignment horizontal="left"/>
    </xf>
    <xf numFmtId="0" fontId="24" fillId="0" borderId="40" xfId="0" quotePrefix="1" applyFont="1" applyBorder="1" applyAlignment="1">
      <alignment horizontal="left"/>
    </xf>
    <xf numFmtId="174" fontId="8" fillId="0" borderId="40" xfId="2" applyNumberFormat="1" applyFont="1" applyBorder="1" applyAlignment="1">
      <alignment horizontal="center"/>
    </xf>
    <xf numFmtId="0" fontId="57" fillId="50" borderId="47" xfId="0" applyFont="1" applyFill="1" applyBorder="1" applyAlignment="1">
      <alignment vertical="center" wrapText="1"/>
    </xf>
    <xf numFmtId="0" fontId="57" fillId="19" borderId="40" xfId="0" quotePrefix="1" applyFont="1" applyFill="1" applyBorder="1" applyAlignment="1">
      <alignment horizontal="left"/>
    </xf>
    <xf numFmtId="174" fontId="76" fillId="0" borderId="40" xfId="2" applyNumberFormat="1" applyFont="1" applyFill="1" applyBorder="1" applyAlignment="1">
      <alignment horizontal="center" vertical="center"/>
    </xf>
    <xf numFmtId="174" fontId="29" fillId="18" borderId="40" xfId="2" applyNumberFormat="1" applyFont="1" applyFill="1" applyBorder="1" applyAlignment="1">
      <alignment horizontal="center" vertical="center"/>
    </xf>
    <xf numFmtId="4" fontId="8" fillId="18" borderId="40" xfId="2" applyNumberFormat="1" applyFont="1" applyFill="1" applyBorder="1" applyAlignment="1">
      <alignment horizontal="right" vertical="center"/>
    </xf>
    <xf numFmtId="174" fontId="8" fillId="49" borderId="40" xfId="2" applyNumberFormat="1" applyFont="1" applyFill="1" applyBorder="1" applyAlignment="1">
      <alignment horizontal="center"/>
    </xf>
    <xf numFmtId="4" fontId="8" fillId="49" borderId="40" xfId="2" applyNumberFormat="1" applyFont="1" applyFill="1" applyBorder="1" applyAlignment="1">
      <alignment horizontal="right"/>
    </xf>
    <xf numFmtId="0" fontId="57" fillId="51" borderId="47" xfId="0" applyFont="1" applyFill="1" applyBorder="1" applyAlignment="1">
      <alignment vertical="center" wrapText="1"/>
    </xf>
    <xf numFmtId="0" fontId="8" fillId="51" borderId="47" xfId="0" applyFont="1" applyFill="1" applyBorder="1" applyAlignment="1">
      <alignment vertical="center" wrapText="1"/>
    </xf>
    <xf numFmtId="0" fontId="8" fillId="0" borderId="40" xfId="0" quotePrefix="1" applyFont="1" applyBorder="1" applyAlignment="1">
      <alignment horizontal="left"/>
    </xf>
    <xf numFmtId="174" fontId="29" fillId="0" borderId="40" xfId="2" applyNumberFormat="1" applyFont="1" applyFill="1" applyBorder="1" applyAlignment="1">
      <alignment horizontal="center" vertical="center"/>
    </xf>
    <xf numFmtId="174" fontId="8" fillId="0" borderId="40" xfId="2" quotePrefix="1" applyNumberFormat="1" applyFont="1" applyFill="1" applyBorder="1" applyAlignment="1">
      <alignment horizontal="left"/>
    </xf>
    <xf numFmtId="4" fontId="8" fillId="0" borderId="40" xfId="2" quotePrefix="1" applyNumberFormat="1" applyFont="1" applyFill="1" applyBorder="1" applyAlignment="1">
      <alignment horizontal="right"/>
    </xf>
    <xf numFmtId="4" fontId="57" fillId="0" borderId="40" xfId="2" quotePrefix="1" applyNumberFormat="1" applyFont="1" applyFill="1" applyBorder="1" applyAlignment="1">
      <alignment horizontal="right"/>
    </xf>
    <xf numFmtId="0" fontId="57" fillId="19" borderId="40" xfId="0" quotePrefix="1" applyFont="1" applyFill="1" applyBorder="1" applyAlignment="1">
      <alignment horizontal="center"/>
    </xf>
    <xf numFmtId="0" fontId="57" fillId="29" borderId="47" xfId="0" applyFont="1" applyFill="1" applyBorder="1" applyAlignment="1">
      <alignment vertical="center"/>
    </xf>
    <xf numFmtId="4" fontId="8" fillId="0" borderId="40" xfId="2" quotePrefix="1" applyNumberFormat="1" applyFont="1" applyFill="1" applyBorder="1" applyAlignment="1"/>
    <xf numFmtId="4" fontId="57" fillId="0" borderId="40" xfId="2" quotePrefix="1" applyNumberFormat="1" applyFont="1" applyFill="1" applyBorder="1" applyAlignment="1"/>
    <xf numFmtId="4" fontId="8" fillId="19" borderId="40" xfId="2" applyNumberFormat="1" applyFont="1" applyFill="1" applyBorder="1" applyAlignment="1"/>
    <xf numFmtId="4" fontId="57" fillId="19" borderId="40" xfId="2" applyNumberFormat="1" applyFont="1" applyFill="1" applyBorder="1" applyAlignment="1"/>
    <xf numFmtId="4" fontId="8" fillId="0" borderId="40" xfId="2" applyNumberFormat="1" applyFont="1" applyBorder="1" applyAlignment="1"/>
    <xf numFmtId="4" fontId="57" fillId="0" borderId="40" xfId="2" applyNumberFormat="1" applyFont="1" applyBorder="1" applyAlignment="1"/>
    <xf numFmtId="43" fontId="8" fillId="0" borderId="40" xfId="2" quotePrefix="1" applyFont="1" applyFill="1" applyBorder="1" applyAlignment="1">
      <alignment horizontal="left"/>
    </xf>
    <xf numFmtId="49" fontId="72" fillId="52" borderId="40" xfId="0" applyNumberFormat="1" applyFont="1" applyFill="1" applyBorder="1" applyAlignment="1">
      <alignment horizontal="center" vertical="center"/>
    </xf>
    <xf numFmtId="0" fontId="73" fillId="52" borderId="40" xfId="0" applyFont="1" applyFill="1" applyBorder="1" applyAlignment="1">
      <alignment horizontal="center" vertical="center"/>
    </xf>
    <xf numFmtId="0" fontId="18" fillId="52" borderId="40" xfId="0" applyFont="1" applyFill="1" applyBorder="1" applyAlignment="1">
      <alignment vertical="center" wrapText="1"/>
    </xf>
    <xf numFmtId="174" fontId="77" fillId="52" borderId="40" xfId="2" applyNumberFormat="1" applyFont="1" applyFill="1" applyBorder="1" applyAlignment="1">
      <alignment vertical="center" wrapText="1"/>
    </xf>
    <xf numFmtId="168" fontId="21" fillId="30" borderId="7" xfId="0" applyNumberFormat="1" applyFont="1" applyFill="1" applyBorder="1" applyAlignment="1">
      <alignment horizontal="right" vertical="center"/>
    </xf>
    <xf numFmtId="3" fontId="17" fillId="30" borderId="7" xfId="0" applyNumberFormat="1" applyFont="1" applyFill="1" applyBorder="1" applyAlignment="1">
      <alignment vertical="center" wrapText="1"/>
    </xf>
    <xf numFmtId="165" fontId="17" fillId="30" borderId="7" xfId="4" applyFont="1" applyFill="1" applyBorder="1" applyAlignment="1">
      <alignment vertical="center" wrapText="1"/>
    </xf>
    <xf numFmtId="0" fontId="0" fillId="30" borderId="63" xfId="0" applyFill="1" applyBorder="1"/>
    <xf numFmtId="165" fontId="17" fillId="36" borderId="7" xfId="4" applyFont="1" applyFill="1" applyBorder="1" applyAlignment="1">
      <alignment horizontal="center" vertical="center" wrapText="1"/>
    </xf>
    <xf numFmtId="165" fontId="17" fillId="35" borderId="63" xfId="4" applyFont="1" applyFill="1" applyBorder="1" applyAlignment="1">
      <alignment horizontal="center" vertical="center"/>
    </xf>
    <xf numFmtId="9" fontId="8" fillId="0" borderId="27" xfId="0" applyNumberFormat="1" applyFont="1" applyBorder="1" applyAlignment="1">
      <alignment horizontal="center" vertical="center" wrapText="1"/>
    </xf>
    <xf numFmtId="0" fontId="8" fillId="14" borderId="30" xfId="0" applyFont="1" applyFill="1" applyBorder="1" applyAlignment="1">
      <alignment vertical="top" wrapText="1"/>
    </xf>
    <xf numFmtId="0" fontId="20" fillId="30" borderId="63" xfId="0" applyFont="1" applyFill="1" applyBorder="1" applyAlignment="1">
      <alignment vertical="top" wrapText="1"/>
    </xf>
    <xf numFmtId="43" fontId="0" fillId="0" borderId="0" xfId="0" applyNumberFormat="1"/>
    <xf numFmtId="43" fontId="0" fillId="0" borderId="0" xfId="2" applyFont="1"/>
    <xf numFmtId="174" fontId="8" fillId="30" borderId="40" xfId="2" quotePrefix="1" applyNumberFormat="1" applyFont="1" applyFill="1" applyBorder="1" applyAlignment="1">
      <alignment horizontal="left"/>
    </xf>
    <xf numFmtId="174" fontId="8" fillId="30" borderId="40" xfId="2" applyNumberFormat="1" applyFont="1" applyFill="1" applyBorder="1" applyAlignment="1">
      <alignment horizontal="center"/>
    </xf>
    <xf numFmtId="0" fontId="7" fillId="0" borderId="0" xfId="0" applyFont="1"/>
    <xf numFmtId="4" fontId="0" fillId="0" borderId="0" xfId="0" applyNumberFormat="1"/>
    <xf numFmtId="0" fontId="7" fillId="0" borderId="19" xfId="0" applyFont="1" applyBorder="1"/>
    <xf numFmtId="165" fontId="21" fillId="30" borderId="63" xfId="4" applyFont="1" applyFill="1" applyBorder="1" applyAlignment="1"/>
    <xf numFmtId="165" fontId="21" fillId="0" borderId="63" xfId="4" applyFont="1" applyBorder="1" applyAlignment="1"/>
    <xf numFmtId="0" fontId="78" fillId="0" borderId="7" xfId="0" applyFont="1" applyBorder="1" applyAlignment="1">
      <alignment horizontal="center" vertical="center" wrapText="1"/>
    </xf>
    <xf numFmtId="0" fontId="79" fillId="0" borderId="7" xfId="0" applyFont="1" applyBorder="1" applyAlignment="1">
      <alignment horizontal="center" vertical="center" wrapText="1"/>
    </xf>
    <xf numFmtId="3" fontId="79" fillId="0" borderId="7" xfId="0" applyNumberFormat="1" applyFont="1" applyBorder="1" applyAlignment="1">
      <alignment vertical="center" wrapText="1"/>
    </xf>
    <xf numFmtId="3" fontId="79" fillId="0" borderId="7" xfId="0" applyNumberFormat="1" applyFont="1" applyBorder="1" applyAlignment="1">
      <alignment wrapText="1"/>
    </xf>
    <xf numFmtId="3" fontId="79" fillId="0" borderId="7" xfId="0" applyNumberFormat="1" applyFont="1" applyBorder="1" applyAlignment="1">
      <alignment horizontal="center" vertical="center" wrapText="1"/>
    </xf>
    <xf numFmtId="0" fontId="6" fillId="0" borderId="0" xfId="0" applyFont="1" applyAlignment="1">
      <alignment vertical="center" wrapText="1"/>
    </xf>
    <xf numFmtId="0" fontId="8" fillId="0" borderId="27" xfId="0" applyFont="1" applyBorder="1" applyAlignment="1">
      <alignment horizontal="center" vertical="center" wrapText="1"/>
    </xf>
    <xf numFmtId="3" fontId="79" fillId="0" borderId="7" xfId="0" applyNumberFormat="1" applyFont="1" applyBorder="1" applyAlignment="1">
      <alignment horizontal="center" wrapText="1"/>
    </xf>
    <xf numFmtId="0" fontId="6" fillId="0" borderId="0" xfId="0" applyFont="1" applyAlignment="1">
      <alignment horizontal="center" vertical="center"/>
    </xf>
    <xf numFmtId="3" fontId="8" fillId="0" borderId="7" xfId="0" applyNumberFormat="1" applyFont="1" applyBorder="1" applyAlignment="1">
      <alignment wrapText="1"/>
    </xf>
    <xf numFmtId="0" fontId="79" fillId="0" borderId="7" xfId="0" applyFont="1" applyBorder="1" applyAlignment="1">
      <alignment wrapText="1"/>
    </xf>
    <xf numFmtId="0" fontId="8" fillId="0" borderId="7" xfId="0" applyFont="1" applyBorder="1" applyAlignment="1">
      <alignment wrapText="1"/>
    </xf>
    <xf numFmtId="0" fontId="79" fillId="0" borderId="7" xfId="0" applyFont="1" applyBorder="1" applyAlignment="1">
      <alignment vertical="center" wrapText="1"/>
    </xf>
    <xf numFmtId="9" fontId="5" fillId="0" borderId="0" xfId="1" applyFont="1" applyAlignment="1"/>
    <xf numFmtId="9" fontId="0" fillId="0" borderId="0" xfId="1" applyFont="1" applyAlignment="1"/>
    <xf numFmtId="49" fontId="72" fillId="56" borderId="63" xfId="0" applyNumberFormat="1" applyFont="1" applyFill="1" applyBorder="1" applyAlignment="1">
      <alignment horizontal="center" vertical="center" wrapText="1"/>
    </xf>
    <xf numFmtId="4" fontId="17" fillId="57" borderId="40" xfId="2" applyNumberFormat="1" applyFont="1" applyFill="1" applyBorder="1" applyAlignment="1">
      <alignment horizontal="right"/>
    </xf>
    <xf numFmtId="9" fontId="0" fillId="57" borderId="63" xfId="1" applyFont="1" applyFill="1" applyBorder="1" applyAlignment="1"/>
    <xf numFmtId="174" fontId="8" fillId="58" borderId="40" xfId="2" applyNumberFormat="1" applyFont="1" applyFill="1" applyBorder="1" applyAlignment="1">
      <alignment horizontal="center"/>
    </xf>
    <xf numFmtId="174" fontId="29" fillId="58" borderId="40" xfId="2" applyNumberFormat="1" applyFont="1" applyFill="1" applyBorder="1" applyAlignment="1">
      <alignment horizontal="center" vertical="center"/>
    </xf>
    <xf numFmtId="174" fontId="29" fillId="59" borderId="40" xfId="2" applyNumberFormat="1" applyFont="1" applyFill="1" applyBorder="1" applyAlignment="1">
      <alignment horizontal="center" vertical="center"/>
    </xf>
    <xf numFmtId="174" fontId="8" fillId="59" borderId="40" xfId="2" applyNumberFormat="1" applyFont="1" applyFill="1" applyBorder="1" applyAlignment="1">
      <alignment horizontal="center"/>
    </xf>
    <xf numFmtId="43" fontId="8" fillId="0" borderId="40" xfId="2" applyFont="1" applyBorder="1" applyAlignment="1">
      <alignment horizontal="right"/>
    </xf>
    <xf numFmtId="43" fontId="8" fillId="0" borderId="40" xfId="2" applyFont="1" applyFill="1" applyBorder="1" applyAlignment="1">
      <alignment horizontal="right"/>
    </xf>
    <xf numFmtId="0" fontId="17" fillId="0" borderId="0" xfId="0" applyFont="1" applyAlignment="1">
      <alignment vertical="center" wrapText="1"/>
    </xf>
    <xf numFmtId="4" fontId="75" fillId="0" borderId="0" xfId="0" applyNumberFormat="1" applyFont="1"/>
    <xf numFmtId="4" fontId="8" fillId="58" borderId="40" xfId="2" applyNumberFormat="1" applyFont="1" applyFill="1" applyBorder="1" applyAlignment="1">
      <alignment horizontal="right"/>
    </xf>
    <xf numFmtId="180" fontId="0" fillId="0" borderId="0" xfId="0" applyNumberFormat="1"/>
    <xf numFmtId="174" fontId="17" fillId="60" borderId="40" xfId="2" applyNumberFormat="1" applyFont="1" applyFill="1" applyBorder="1" applyAlignment="1">
      <alignment horizontal="center"/>
    </xf>
    <xf numFmtId="43" fontId="0" fillId="30" borderId="0" xfId="0" applyNumberFormat="1" applyFill="1"/>
    <xf numFmtId="3" fontId="8" fillId="30" borderId="7" xfId="0" applyNumberFormat="1" applyFont="1" applyFill="1" applyBorder="1" applyAlignment="1">
      <alignment vertical="center" wrapText="1"/>
    </xf>
    <xf numFmtId="3" fontId="79" fillId="30" borderId="7" xfId="0" applyNumberFormat="1" applyFont="1" applyFill="1" applyBorder="1" applyAlignment="1">
      <alignment horizontal="center" vertical="center" wrapText="1"/>
    </xf>
    <xf numFmtId="9" fontId="8" fillId="0" borderId="7" xfId="1" applyFont="1" applyBorder="1" applyAlignment="1">
      <alignment horizontal="center" vertical="center" wrapText="1"/>
    </xf>
    <xf numFmtId="9" fontId="8" fillId="14" borderId="7" xfId="1" applyFont="1" applyFill="1" applyBorder="1" applyAlignment="1">
      <alignment horizontal="center" vertical="center" wrapText="1"/>
    </xf>
    <xf numFmtId="9" fontId="25" fillId="0" borderId="7" xfId="1" applyFont="1" applyBorder="1" applyAlignment="1">
      <alignment horizontal="center" vertical="center" wrapText="1"/>
    </xf>
    <xf numFmtId="9" fontId="21" fillId="0" borderId="7" xfId="1" applyFont="1" applyBorder="1" applyAlignment="1">
      <alignment horizontal="center" vertical="center" wrapText="1"/>
    </xf>
    <xf numFmtId="9" fontId="8" fillId="14" borderId="7" xfId="1" applyFont="1" applyFill="1" applyBorder="1" applyAlignment="1">
      <alignment horizontal="center" vertical="center"/>
    </xf>
    <xf numFmtId="178" fontId="21" fillId="0" borderId="7" xfId="2" applyNumberFormat="1" applyFont="1" applyBorder="1" applyAlignment="1">
      <alignment horizontal="center" vertical="center" wrapText="1"/>
    </xf>
    <xf numFmtId="172" fontId="8" fillId="0" borderId="7" xfId="0" applyNumberFormat="1" applyFont="1" applyBorder="1" applyAlignment="1">
      <alignment horizontal="center" vertical="center" wrapText="1"/>
    </xf>
    <xf numFmtId="0" fontId="20" fillId="24" borderId="19" xfId="0" applyFont="1" applyFill="1" applyBorder="1" applyAlignment="1">
      <alignment vertical="top" wrapText="1"/>
    </xf>
    <xf numFmtId="14" fontId="49" fillId="0" borderId="30" xfId="0" applyNumberFormat="1" applyFont="1" applyBorder="1" applyAlignment="1">
      <alignment vertical="center" wrapText="1"/>
    </xf>
    <xf numFmtId="0" fontId="79" fillId="0" borderId="30" xfId="0" applyFont="1" applyBorder="1" applyAlignment="1">
      <alignment horizontal="center" vertical="center" wrapText="1"/>
    </xf>
    <xf numFmtId="165" fontId="8" fillId="0" borderId="30" xfId="4" applyFont="1" applyBorder="1" applyAlignment="1">
      <alignment vertical="center" wrapText="1"/>
    </xf>
    <xf numFmtId="0" fontId="17" fillId="4" borderId="20" xfId="0" applyFont="1" applyFill="1" applyBorder="1" applyAlignment="1">
      <alignment vertical="center" wrapText="1"/>
    </xf>
    <xf numFmtId="3" fontId="17" fillId="4" borderId="20" xfId="0" applyNumberFormat="1" applyFont="1" applyFill="1" applyBorder="1" applyAlignment="1">
      <alignment horizontal="center" vertical="center" wrapText="1"/>
    </xf>
    <xf numFmtId="14" fontId="49" fillId="0" borderId="63" xfId="0" applyNumberFormat="1" applyFont="1" applyBorder="1" applyAlignment="1">
      <alignment vertical="center" wrapText="1"/>
    </xf>
    <xf numFmtId="0" fontId="51" fillId="0" borderId="63" xfId="0" applyFont="1" applyBorder="1" applyAlignment="1">
      <alignment wrapText="1"/>
    </xf>
    <xf numFmtId="9" fontId="20" fillId="0" borderId="7" xfId="1" applyFont="1" applyBorder="1" applyAlignment="1">
      <alignment horizontal="center" vertical="center"/>
    </xf>
    <xf numFmtId="43" fontId="8" fillId="0" borderId="7" xfId="2" applyFont="1" applyBorder="1" applyAlignment="1">
      <alignment horizontal="center" vertical="center" wrapText="1"/>
    </xf>
    <xf numFmtId="178" fontId="8" fillId="0" borderId="7" xfId="2"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1" fontId="17" fillId="30" borderId="7" xfId="0" applyNumberFormat="1" applyFont="1" applyFill="1" applyBorder="1" applyAlignment="1">
      <alignment horizontal="center" vertical="center" wrapText="1"/>
    </xf>
    <xf numFmtId="9" fontId="17" fillId="14" borderId="7" xfId="0" applyNumberFormat="1" applyFont="1" applyFill="1" applyBorder="1" applyAlignment="1">
      <alignment horizontal="center" vertical="center" wrapText="1"/>
    </xf>
    <xf numFmtId="170" fontId="17" fillId="0" borderId="7" xfId="0" applyNumberFormat="1" applyFont="1" applyBorder="1" applyAlignment="1">
      <alignment horizontal="center" vertical="center" wrapText="1"/>
    </xf>
    <xf numFmtId="170" fontId="17" fillId="14" borderId="7" xfId="0" applyNumberFormat="1" applyFont="1" applyFill="1" applyBorder="1" applyAlignment="1">
      <alignment horizontal="center" vertical="center" wrapText="1"/>
    </xf>
    <xf numFmtId="9" fontId="17" fillId="30" borderId="7" xfId="0" applyNumberFormat="1" applyFont="1" applyFill="1" applyBorder="1" applyAlignment="1">
      <alignment horizontal="center" vertical="center" wrapText="1"/>
    </xf>
    <xf numFmtId="170" fontId="12" fillId="27" borderId="7" xfId="0" applyNumberFormat="1" applyFont="1" applyFill="1" applyBorder="1" applyAlignment="1">
      <alignment horizontal="center" vertical="center" wrapText="1"/>
    </xf>
    <xf numFmtId="1" fontId="8" fillId="0" borderId="7" xfId="2" applyNumberFormat="1" applyFont="1" applyBorder="1" applyAlignment="1">
      <alignment horizontal="center" vertical="center" wrapText="1"/>
    </xf>
    <xf numFmtId="1" fontId="8" fillId="0" borderId="7" xfId="2" applyNumberFormat="1" applyFont="1" applyBorder="1" applyAlignment="1">
      <alignment horizontal="center" vertical="center"/>
    </xf>
    <xf numFmtId="1" fontId="8" fillId="54" borderId="7" xfId="2" applyNumberFormat="1" applyFont="1" applyFill="1" applyBorder="1" applyAlignment="1">
      <alignment horizontal="center" vertical="center" wrapText="1"/>
    </xf>
    <xf numFmtId="0" fontId="8" fillId="30" borderId="7" xfId="0" applyFont="1" applyFill="1" applyBorder="1" applyAlignment="1">
      <alignment horizontal="center" vertical="center" wrapText="1"/>
    </xf>
    <xf numFmtId="0" fontId="8" fillId="30" borderId="7" xfId="0" applyFont="1" applyFill="1" applyBorder="1" applyAlignment="1">
      <alignment horizontal="center" vertical="center"/>
    </xf>
    <xf numFmtId="9" fontId="8" fillId="61" borderId="7" xfId="0" applyNumberFormat="1" applyFont="1" applyFill="1" applyBorder="1" applyAlignment="1">
      <alignment horizontal="center" vertical="center" wrapText="1"/>
    </xf>
    <xf numFmtId="9" fontId="17" fillId="0" borderId="7" xfId="1" applyFont="1" applyBorder="1" applyAlignment="1">
      <alignment horizontal="center" vertical="center" wrapText="1"/>
    </xf>
    <xf numFmtId="9" fontId="17" fillId="4" borderId="7" xfId="1" applyFont="1" applyFill="1" applyBorder="1" applyAlignment="1">
      <alignment horizontal="center" vertical="center" wrapText="1"/>
    </xf>
    <xf numFmtId="9" fontId="17" fillId="4" borderId="20" xfId="1" applyFont="1" applyFill="1" applyBorder="1" applyAlignment="1">
      <alignment horizontal="center" vertical="center" wrapText="1"/>
    </xf>
    <xf numFmtId="9" fontId="17" fillId="13" borderId="7" xfId="1" applyFont="1" applyFill="1" applyBorder="1" applyAlignment="1">
      <alignment horizontal="center" vertical="center" wrapText="1"/>
    </xf>
    <xf numFmtId="181" fontId="8" fillId="0" borderId="7" xfId="2" applyNumberFormat="1" applyFont="1" applyBorder="1" applyAlignment="1">
      <alignment horizontal="center" vertical="center" wrapText="1"/>
    </xf>
    <xf numFmtId="0" fontId="8" fillId="14" borderId="7" xfId="2" applyNumberFormat="1" applyFont="1" applyFill="1" applyBorder="1" applyAlignment="1">
      <alignment horizontal="center" vertical="center"/>
    </xf>
    <xf numFmtId="170" fontId="8" fillId="14" borderId="7" xfId="0" applyNumberFormat="1" applyFont="1" applyFill="1" applyBorder="1" applyAlignment="1">
      <alignment horizontal="center" vertical="center"/>
    </xf>
    <xf numFmtId="170" fontId="8" fillId="53" borderId="7" xfId="0" applyNumberFormat="1" applyFont="1" applyFill="1" applyBorder="1" applyAlignment="1">
      <alignment horizontal="center" vertical="center" wrapText="1"/>
    </xf>
    <xf numFmtId="0" fontId="12" fillId="12" borderId="20"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12" fillId="36" borderId="7"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28" fillId="14" borderId="7" xfId="0" applyFont="1" applyFill="1" applyBorder="1" applyAlignment="1">
      <alignment horizontal="center" vertical="center" wrapText="1"/>
    </xf>
    <xf numFmtId="0" fontId="28" fillId="14" borderId="20" xfId="0" applyFont="1" applyFill="1" applyBorder="1" applyAlignment="1">
      <alignment horizontal="center" vertical="center" wrapText="1"/>
    </xf>
    <xf numFmtId="0" fontId="12" fillId="16" borderId="7" xfId="0" applyFont="1" applyFill="1" applyBorder="1" applyAlignment="1">
      <alignment vertical="center" wrapText="1"/>
    </xf>
    <xf numFmtId="0" fontId="28" fillId="14" borderId="7" xfId="0" applyFont="1" applyFill="1" applyBorder="1" applyAlignment="1">
      <alignment vertical="center" wrapText="1"/>
    </xf>
    <xf numFmtId="0" fontId="28" fillId="14" borderId="7" xfId="0" applyFont="1" applyFill="1" applyBorder="1" applyAlignment="1">
      <alignment horizontal="left" vertical="center" wrapText="1"/>
    </xf>
    <xf numFmtId="0" fontId="12" fillId="14" borderId="7" xfId="0" applyFont="1" applyFill="1" applyBorder="1" applyAlignment="1">
      <alignment horizontal="left" vertical="center" wrapText="1"/>
    </xf>
    <xf numFmtId="0" fontId="12" fillId="26" borderId="7" xfId="0" applyFont="1" applyFill="1" applyBorder="1" applyAlignment="1">
      <alignment horizontal="center" vertical="center" wrapText="1"/>
    </xf>
    <xf numFmtId="0" fontId="57" fillId="30" borderId="7" xfId="0" applyFont="1" applyFill="1" applyBorder="1" applyAlignment="1">
      <alignment horizontal="center" vertical="center"/>
    </xf>
    <xf numFmtId="9" fontId="12" fillId="4" borderId="7" xfId="1" applyFont="1" applyFill="1" applyBorder="1" applyAlignment="1">
      <alignment horizontal="center" vertical="center" wrapText="1"/>
    </xf>
    <xf numFmtId="0" fontId="51" fillId="62" borderId="66" xfId="5" applyFont="1" applyFill="1" applyBorder="1" applyAlignment="1">
      <alignment horizontal="center" vertical="center" wrapText="1"/>
    </xf>
    <xf numFmtId="0" fontId="51" fillId="63" borderId="66" xfId="5" applyFont="1" applyFill="1" applyBorder="1" applyAlignment="1">
      <alignment horizontal="center" vertical="center" wrapText="1"/>
    </xf>
    <xf numFmtId="0" fontId="51" fillId="64" borderId="66" xfId="5" applyFont="1" applyFill="1" applyBorder="1" applyAlignment="1">
      <alignment horizontal="center" vertical="center" wrapText="1"/>
    </xf>
    <xf numFmtId="0" fontId="51" fillId="65" borderId="66" xfId="5" applyFont="1" applyFill="1" applyBorder="1" applyAlignment="1">
      <alignment horizontal="center" vertical="center" wrapText="1"/>
    </xf>
    <xf numFmtId="0" fontId="51" fillId="66" borderId="66" xfId="5" applyFont="1" applyFill="1" applyBorder="1" applyAlignment="1">
      <alignment horizontal="center" vertical="center" wrapText="1"/>
    </xf>
    <xf numFmtId="0" fontId="51" fillId="67" borderId="66" xfId="5" applyFont="1" applyFill="1" applyBorder="1" applyAlignment="1">
      <alignment horizontal="center" vertical="center" wrapText="1"/>
    </xf>
    <xf numFmtId="0" fontId="51" fillId="68" borderId="66" xfId="5" applyFont="1" applyFill="1" applyBorder="1" applyAlignment="1">
      <alignment horizontal="center" vertical="center" wrapText="1"/>
    </xf>
    <xf numFmtId="0" fontId="51" fillId="69" borderId="66" xfId="5" applyFont="1" applyFill="1" applyBorder="1" applyAlignment="1">
      <alignment horizontal="center" vertical="center" wrapText="1"/>
    </xf>
    <xf numFmtId="43" fontId="51" fillId="0" borderId="19" xfId="2" applyFont="1" applyFill="1" applyBorder="1" applyAlignment="1">
      <alignment vertical="center"/>
    </xf>
    <xf numFmtId="175" fontId="51" fillId="72" borderId="63" xfId="6" applyNumberFormat="1" applyFont="1" applyFill="1" applyBorder="1" applyAlignment="1">
      <alignment horizontal="right" vertical="center" wrapText="1"/>
    </xf>
    <xf numFmtId="183" fontId="85" fillId="0" borderId="63" xfId="7" applyFont="1" applyFill="1" applyBorder="1" applyAlignment="1">
      <alignment vertical="center"/>
    </xf>
    <xf numFmtId="175" fontId="51" fillId="69" borderId="63" xfId="5" applyNumberFormat="1" applyFont="1" applyFill="1" applyBorder="1" applyAlignment="1">
      <alignment horizontal="center" vertical="center"/>
    </xf>
    <xf numFmtId="183" fontId="51" fillId="69" borderId="63" xfId="5" applyNumberFormat="1" applyFont="1" applyFill="1" applyBorder="1" applyAlignment="1">
      <alignment vertical="center"/>
    </xf>
    <xf numFmtId="43" fontId="51" fillId="69" borderId="63" xfId="2" applyFont="1" applyFill="1" applyBorder="1" applyAlignment="1">
      <alignment vertical="center"/>
    </xf>
    <xf numFmtId="0" fontId="84" fillId="71" borderId="68" xfId="6" applyFont="1" applyFill="1" applyBorder="1" applyAlignment="1">
      <alignment vertical="center" wrapText="1"/>
    </xf>
    <xf numFmtId="175" fontId="83" fillId="71" borderId="63" xfId="6" applyNumberFormat="1" applyFont="1" applyFill="1" applyBorder="1" applyAlignment="1">
      <alignment horizontal="right" vertical="center" wrapText="1"/>
    </xf>
    <xf numFmtId="43" fontId="51" fillId="0" borderId="63" xfId="2" applyFont="1" applyFill="1" applyBorder="1" applyAlignment="1">
      <alignment vertical="center"/>
    </xf>
    <xf numFmtId="0" fontId="85" fillId="73" borderId="68" xfId="6" applyFont="1" applyFill="1" applyBorder="1" applyAlignment="1">
      <alignment vertical="center" wrapText="1"/>
    </xf>
    <xf numFmtId="175" fontId="51" fillId="73" borderId="63" xfId="6" applyNumberFormat="1" applyFont="1" applyFill="1" applyBorder="1" applyAlignment="1">
      <alignment horizontal="right" vertical="center" wrapText="1"/>
    </xf>
    <xf numFmtId="184" fontId="85" fillId="0" borderId="63" xfId="8" applyFont="1" applyFill="1" applyBorder="1" applyAlignment="1">
      <alignment vertical="center"/>
    </xf>
    <xf numFmtId="175" fontId="85" fillId="74" borderId="63" xfId="5" applyNumberFormat="1" applyFont="1" applyFill="1" applyBorder="1" applyAlignment="1">
      <alignment horizontal="right" vertical="center"/>
    </xf>
    <xf numFmtId="175" fontId="83" fillId="71" borderId="63" xfId="6" applyNumberFormat="1" applyFont="1" applyFill="1" applyBorder="1" applyAlignment="1">
      <alignment horizontal="left" vertical="center" wrapText="1"/>
    </xf>
    <xf numFmtId="185" fontId="85" fillId="0" borderId="63" xfId="7" applyNumberFormat="1" applyFont="1" applyFill="1" applyBorder="1" applyAlignment="1">
      <alignment vertical="center"/>
    </xf>
    <xf numFmtId="175" fontId="85" fillId="72" borderId="69" xfId="5" applyNumberFormat="1" applyFont="1" applyFill="1" applyBorder="1" applyAlignment="1">
      <alignment horizontal="right" vertical="center"/>
    </xf>
    <xf numFmtId="175" fontId="85" fillId="69" borderId="69" xfId="5" applyNumberFormat="1" applyFont="1" applyFill="1" applyBorder="1" applyAlignment="1">
      <alignment horizontal="right" vertical="center"/>
    </xf>
    <xf numFmtId="175" fontId="51" fillId="69" borderId="63" xfId="5" applyNumberFormat="1" applyFont="1" applyFill="1" applyBorder="1"/>
    <xf numFmtId="175" fontId="83" fillId="72" borderId="63" xfId="6" applyNumberFormat="1" applyFont="1" applyFill="1" applyBorder="1" applyAlignment="1">
      <alignment horizontal="right" vertical="center" wrapText="1"/>
    </xf>
    <xf numFmtId="175" fontId="51" fillId="72" borderId="63" xfId="5" applyNumberFormat="1" applyFont="1" applyFill="1" applyBorder="1"/>
    <xf numFmtId="175" fontId="51" fillId="72" borderId="63" xfId="5" applyNumberFormat="1" applyFont="1" applyFill="1" applyBorder="1" applyAlignment="1">
      <alignment vertical="center"/>
    </xf>
    <xf numFmtId="168" fontId="83" fillId="71" borderId="63" xfId="6" applyNumberFormat="1" applyFont="1" applyFill="1" applyBorder="1" applyAlignment="1">
      <alignment horizontal="right" vertical="center" wrapText="1"/>
    </xf>
    <xf numFmtId="175" fontId="51" fillId="74" borderId="63" xfId="5" applyNumberFormat="1" applyFont="1" applyFill="1" applyBorder="1" applyAlignment="1">
      <alignment vertical="center"/>
    </xf>
    <xf numFmtId="175" fontId="51" fillId="69" borderId="63" xfId="5" applyNumberFormat="1" applyFont="1" applyFill="1" applyBorder="1" applyAlignment="1">
      <alignment vertical="center"/>
    </xf>
    <xf numFmtId="0" fontId="85" fillId="76" borderId="68" xfId="6" applyFont="1" applyFill="1" applyBorder="1" applyAlignment="1">
      <alignment vertical="center" wrapText="1"/>
    </xf>
    <xf numFmtId="175" fontId="51" fillId="77" borderId="63" xfId="6" applyNumberFormat="1" applyFont="1" applyFill="1" applyBorder="1" applyAlignment="1">
      <alignment horizontal="right" vertical="center" wrapText="1"/>
    </xf>
    <xf numFmtId="175" fontId="51" fillId="71" borderId="63" xfId="5" applyNumberFormat="1" applyFont="1" applyFill="1" applyBorder="1" applyAlignment="1">
      <alignment horizontal="center" vertical="center"/>
    </xf>
    <xf numFmtId="183" fontId="51" fillId="71" borderId="63" xfId="5" applyNumberFormat="1" applyFont="1" applyFill="1" applyBorder="1" applyAlignment="1">
      <alignment vertical="center"/>
    </xf>
    <xf numFmtId="0" fontId="85" fillId="77" borderId="68" xfId="6" applyFont="1" applyFill="1" applyBorder="1" applyAlignment="1">
      <alignment vertical="center" wrapText="1"/>
    </xf>
    <xf numFmtId="175" fontId="83" fillId="71" borderId="63" xfId="5" applyNumberFormat="1" applyFont="1" applyFill="1" applyBorder="1" applyAlignment="1">
      <alignment horizontal="center" vertical="center"/>
    </xf>
    <xf numFmtId="183" fontId="83" fillId="71" borderId="63" xfId="5" applyNumberFormat="1" applyFont="1" applyFill="1" applyBorder="1" applyAlignment="1">
      <alignment vertical="center"/>
    </xf>
    <xf numFmtId="43" fontId="83" fillId="71" borderId="63" xfId="2" applyFont="1" applyFill="1" applyBorder="1" applyAlignment="1">
      <alignment vertical="center"/>
    </xf>
    <xf numFmtId="0" fontId="85" fillId="78" borderId="68" xfId="6" applyFont="1" applyFill="1" applyBorder="1" applyAlignment="1">
      <alignment vertical="center" wrapText="1"/>
    </xf>
    <xf numFmtId="175" fontId="83" fillId="80" borderId="63" xfId="6" applyNumberFormat="1" applyFont="1" applyFill="1" applyBorder="1" applyAlignment="1">
      <alignment horizontal="right" vertical="center" wrapText="1"/>
    </xf>
    <xf numFmtId="175" fontId="83" fillId="69" borderId="63" xfId="6" applyNumberFormat="1" applyFont="1" applyFill="1" applyBorder="1" applyAlignment="1">
      <alignment horizontal="right" vertical="center" wrapText="1"/>
    </xf>
    <xf numFmtId="171" fontId="17" fillId="4" borderId="7" xfId="0" applyNumberFormat="1" applyFont="1" applyFill="1" applyBorder="1" applyAlignment="1">
      <alignment vertical="center" wrapText="1"/>
    </xf>
    <xf numFmtId="171" fontId="0" fillId="0" borderId="19" xfId="0" applyNumberFormat="1" applyBorder="1"/>
    <xf numFmtId="171" fontId="88" fillId="30" borderId="0" xfId="0" applyNumberFormat="1" applyFont="1" applyFill="1" applyAlignment="1">
      <alignment horizontal="right" vertical="center"/>
    </xf>
    <xf numFmtId="175" fontId="89" fillId="0" borderId="0" xfId="0" applyNumberFormat="1" applyFont="1" applyAlignment="1">
      <alignment vertical="center" wrapText="1"/>
    </xf>
    <xf numFmtId="171" fontId="90" fillId="57" borderId="0" xfId="0" applyNumberFormat="1" applyFont="1" applyFill="1" applyAlignment="1">
      <alignment horizontal="right" vertical="center"/>
    </xf>
    <xf numFmtId="171" fontId="0" fillId="30" borderId="19" xfId="0" applyNumberFormat="1" applyFill="1" applyBorder="1"/>
    <xf numFmtId="171" fontId="90" fillId="0" borderId="0" xfId="0" applyNumberFormat="1" applyFont="1" applyAlignment="1">
      <alignment horizontal="right" vertical="center"/>
    </xf>
    <xf numFmtId="171" fontId="90" fillId="82" borderId="0" xfId="0" applyNumberFormat="1" applyFont="1" applyFill="1" applyAlignment="1">
      <alignment horizontal="right" vertical="center"/>
    </xf>
    <xf numFmtId="171" fontId="0" fillId="82" borderId="19" xfId="0" applyNumberFormat="1" applyFill="1" applyBorder="1"/>
    <xf numFmtId="171" fontId="91" fillId="82" borderId="19" xfId="0" applyNumberFormat="1" applyFont="1" applyFill="1" applyBorder="1"/>
    <xf numFmtId="9" fontId="17" fillId="12" borderId="7" xfId="1" applyFont="1" applyFill="1" applyBorder="1" applyAlignment="1">
      <alignment horizontal="center" vertical="center" wrapText="1"/>
    </xf>
    <xf numFmtId="9" fontId="17" fillId="36" borderId="7" xfId="1" applyFont="1" applyFill="1" applyBorder="1" applyAlignment="1">
      <alignment horizontal="center" vertical="center" wrapText="1"/>
    </xf>
    <xf numFmtId="9" fontId="17" fillId="16" borderId="7" xfId="1" applyFont="1" applyFill="1" applyBorder="1" applyAlignment="1">
      <alignment horizontal="center" vertical="center" wrapText="1"/>
    </xf>
    <xf numFmtId="9" fontId="17" fillId="26" borderId="7" xfId="1" applyFont="1" applyFill="1" applyBorder="1" applyAlignment="1">
      <alignment horizontal="center" vertical="center" wrapText="1"/>
    </xf>
    <xf numFmtId="9" fontId="8" fillId="30" borderId="7" xfId="1" applyFont="1" applyFill="1" applyBorder="1" applyAlignment="1">
      <alignment horizontal="center" vertical="center" wrapText="1"/>
    </xf>
    <xf numFmtId="9" fontId="8" fillId="54" borderId="7" xfId="1" applyFont="1" applyFill="1" applyBorder="1" applyAlignment="1">
      <alignment horizontal="center" vertical="center" wrapText="1"/>
    </xf>
    <xf numFmtId="0" fontId="28" fillId="14" borderId="30" xfId="0" applyFont="1" applyFill="1" applyBorder="1" applyAlignment="1">
      <alignment vertical="center" wrapText="1"/>
    </xf>
    <xf numFmtId="0" fontId="92" fillId="0" borderId="7" xfId="0" applyFont="1" applyBorder="1" applyAlignment="1">
      <alignment horizontal="center" vertical="center" wrapText="1"/>
    </xf>
    <xf numFmtId="0" fontId="24" fillId="14" borderId="7" xfId="0" applyFont="1" applyFill="1" applyBorder="1" applyAlignment="1">
      <alignment horizontal="center" vertical="center"/>
    </xf>
    <xf numFmtId="1" fontId="24" fillId="0" borderId="7" xfId="0" applyNumberFormat="1" applyFont="1" applyBorder="1" applyAlignment="1">
      <alignment horizontal="center" vertical="center" wrapText="1"/>
    </xf>
    <xf numFmtId="0" fontId="10" fillId="0" borderId="13" xfId="0" applyFont="1" applyBorder="1"/>
    <xf numFmtId="0" fontId="10" fillId="0" borderId="12" xfId="0" applyFont="1" applyBorder="1"/>
    <xf numFmtId="0" fontId="8" fillId="0" borderId="7" xfId="2" applyNumberFormat="1" applyFont="1" applyBorder="1" applyAlignment="1">
      <alignment horizontal="center" vertical="center" wrapText="1"/>
    </xf>
    <xf numFmtId="9" fontId="57" fillId="0" borderId="7" xfId="0" applyNumberFormat="1" applyFont="1" applyBorder="1" applyAlignment="1">
      <alignment horizontal="center" vertical="center"/>
    </xf>
    <xf numFmtId="166" fontId="8" fillId="0" borderId="7" xfId="1" applyNumberFormat="1" applyFont="1" applyFill="1" applyBorder="1" applyAlignment="1">
      <alignment horizontal="center" vertical="center" wrapText="1"/>
    </xf>
    <xf numFmtId="9" fontId="8" fillId="0" borderId="7" xfId="1" applyFont="1" applyFill="1" applyBorder="1" applyAlignment="1">
      <alignment horizontal="center" vertical="center" wrapText="1"/>
    </xf>
    <xf numFmtId="9" fontId="17" fillId="0" borderId="7" xfId="1" applyFont="1" applyFill="1" applyBorder="1" applyAlignment="1">
      <alignment horizontal="center" vertical="center" wrapText="1"/>
    </xf>
    <xf numFmtId="170" fontId="8" fillId="30" borderId="7" xfId="0" applyNumberFormat="1" applyFont="1" applyFill="1" applyBorder="1" applyAlignment="1">
      <alignment horizontal="center" vertical="center" wrapText="1"/>
    </xf>
    <xf numFmtId="0" fontId="8" fillId="0" borderId="11" xfId="0" applyFont="1" applyBorder="1" applyAlignment="1">
      <alignment vertical="center" wrapText="1"/>
    </xf>
    <xf numFmtId="43" fontId="10" fillId="0" borderId="12" xfId="2" applyFont="1" applyBorder="1" applyAlignment="1">
      <alignment vertical="center"/>
    </xf>
    <xf numFmtId="1" fontId="8" fillId="0" borderId="7" xfId="2" applyNumberFormat="1" applyFont="1" applyFill="1" applyBorder="1" applyAlignment="1">
      <alignment horizontal="center" vertical="center" wrapText="1"/>
    </xf>
    <xf numFmtId="9" fontId="8" fillId="25" borderId="7" xfId="1" applyFont="1" applyFill="1" applyBorder="1" applyAlignment="1">
      <alignment horizontal="center" vertical="center" wrapText="1"/>
    </xf>
    <xf numFmtId="178" fontId="8" fillId="0" borderId="7" xfId="2" applyNumberFormat="1" applyFont="1" applyFill="1" applyBorder="1" applyAlignment="1">
      <alignment horizontal="center" vertical="center" wrapText="1"/>
    </xf>
    <xf numFmtId="178" fontId="8" fillId="0" borderId="7" xfId="2" applyNumberFormat="1" applyFont="1" applyFill="1" applyBorder="1" applyAlignment="1">
      <alignment vertical="center" wrapText="1"/>
    </xf>
    <xf numFmtId="3" fontId="8" fillId="0" borderId="30" xfId="0" applyNumberFormat="1" applyFont="1" applyBorder="1" applyAlignment="1">
      <alignment horizontal="center" vertical="center" wrapText="1"/>
    </xf>
    <xf numFmtId="178" fontId="8" fillId="0" borderId="30" xfId="2" applyNumberFormat="1" applyFont="1" applyFill="1" applyBorder="1" applyAlignment="1">
      <alignment horizontal="center" vertical="center" wrapText="1"/>
    </xf>
    <xf numFmtId="9" fontId="8" fillId="0" borderId="30" xfId="0" applyNumberFormat="1" applyFont="1" applyBorder="1" applyAlignment="1">
      <alignment horizontal="center" vertical="center" wrapText="1"/>
    </xf>
    <xf numFmtId="178" fontId="8" fillId="0" borderId="63" xfId="2" applyNumberFormat="1" applyFont="1" applyFill="1" applyBorder="1" applyAlignment="1">
      <alignment horizontal="center" vertical="center" wrapText="1"/>
    </xf>
    <xf numFmtId="0" fontId="51" fillId="0" borderId="63" xfId="0" applyFont="1" applyBorder="1" applyAlignment="1">
      <alignment vertical="center" wrapText="1"/>
    </xf>
    <xf numFmtId="0" fontId="51" fillId="0" borderId="63" xfId="0" applyFont="1" applyBorder="1" applyAlignment="1">
      <alignment horizontal="center" vertical="center" wrapText="1"/>
    </xf>
    <xf numFmtId="9" fontId="51" fillId="0" borderId="63" xfId="1" applyFont="1" applyFill="1" applyBorder="1" applyAlignment="1">
      <alignment horizontal="center" vertical="center" wrapText="1"/>
    </xf>
    <xf numFmtId="9" fontId="8" fillId="0" borderId="63" xfId="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9" fontId="57" fillId="0" borderId="7" xfId="0" applyNumberFormat="1" applyFont="1" applyBorder="1" applyAlignment="1">
      <alignment horizontal="center" vertical="center" wrapText="1"/>
    </xf>
    <xf numFmtId="4" fontId="8" fillId="0" borderId="7" xfId="0" applyNumberFormat="1" applyFont="1" applyBorder="1" applyAlignment="1">
      <alignment horizontal="center" vertical="center" wrapText="1"/>
    </xf>
    <xf numFmtId="43" fontId="10" fillId="0" borderId="12" xfId="2" applyFont="1" applyBorder="1"/>
    <xf numFmtId="4" fontId="10" fillId="0" borderId="12" xfId="0" applyNumberFormat="1" applyFont="1" applyBorder="1"/>
    <xf numFmtId="171" fontId="53" fillId="0" borderId="19" xfId="0" applyNumberFormat="1" applyFont="1" applyBorder="1"/>
    <xf numFmtId="187" fontId="17" fillId="12" borderId="7" xfId="0" applyNumberFormat="1" applyFont="1" applyFill="1" applyBorder="1" applyAlignment="1">
      <alignment horizontal="right" vertical="center" wrapText="1"/>
    </xf>
    <xf numFmtId="187" fontId="17" fillId="13" borderId="7" xfId="0" applyNumberFormat="1" applyFont="1" applyFill="1" applyBorder="1" applyAlignment="1">
      <alignment horizontal="right" vertical="center" wrapText="1"/>
    </xf>
    <xf numFmtId="187" fontId="8" fillId="0" borderId="7" xfId="0" applyNumberFormat="1" applyFont="1" applyBorder="1" applyAlignment="1">
      <alignment horizontal="right" vertical="center" wrapText="1"/>
    </xf>
    <xf numFmtId="187" fontId="17" fillId="16" borderId="7" xfId="0" applyNumberFormat="1" applyFont="1" applyFill="1" applyBorder="1" applyAlignment="1">
      <alignment horizontal="right" vertical="center" wrapText="1"/>
    </xf>
    <xf numFmtId="187" fontId="17" fillId="4" borderId="7" xfId="0" applyNumberFormat="1" applyFont="1" applyFill="1" applyBorder="1" applyAlignment="1">
      <alignment horizontal="right" vertical="center" wrapText="1"/>
    </xf>
    <xf numFmtId="187" fontId="8" fillId="30" borderId="7" xfId="0" applyNumberFormat="1" applyFont="1" applyFill="1" applyBorder="1" applyAlignment="1">
      <alignment horizontal="right" vertical="center" wrapText="1"/>
    </xf>
    <xf numFmtId="187" fontId="8" fillId="0" borderId="30" xfId="0" applyNumberFormat="1" applyFont="1" applyBorder="1" applyAlignment="1">
      <alignment horizontal="right" vertical="center" wrapText="1"/>
    </xf>
    <xf numFmtId="187" fontId="21" fillId="30" borderId="63" xfId="0" applyNumberFormat="1" applyFont="1" applyFill="1" applyBorder="1"/>
    <xf numFmtId="187" fontId="17" fillId="4" borderId="20" xfId="0" applyNumberFormat="1" applyFont="1" applyFill="1" applyBorder="1" applyAlignment="1">
      <alignment horizontal="right" vertical="center" wrapText="1"/>
    </xf>
    <xf numFmtId="187" fontId="8" fillId="0" borderId="19" xfId="0" applyNumberFormat="1" applyFont="1" applyBorder="1" applyAlignment="1">
      <alignment horizontal="right" vertical="center" wrapText="1"/>
    </xf>
    <xf numFmtId="187" fontId="17" fillId="26" borderId="7" xfId="0" applyNumberFormat="1" applyFont="1" applyFill="1" applyBorder="1" applyAlignment="1">
      <alignment horizontal="right" vertical="center" wrapText="1"/>
    </xf>
    <xf numFmtId="4" fontId="19" fillId="4" borderId="7" xfId="0" applyNumberFormat="1" applyFont="1" applyFill="1" applyBorder="1" applyAlignment="1">
      <alignment vertical="center" wrapText="1"/>
    </xf>
    <xf numFmtId="3" fontId="19" fillId="4" borderId="7" xfId="0" applyNumberFormat="1" applyFont="1" applyFill="1" applyBorder="1" applyAlignment="1">
      <alignment vertical="center" wrapText="1"/>
    </xf>
    <xf numFmtId="3" fontId="19" fillId="16" borderId="7" xfId="0" applyNumberFormat="1" applyFont="1" applyFill="1" applyBorder="1" applyAlignment="1">
      <alignment vertical="center" wrapText="1"/>
    </xf>
    <xf numFmtId="3" fontId="19" fillId="4" borderId="20" xfId="0" applyNumberFormat="1" applyFont="1" applyFill="1" applyBorder="1" applyAlignment="1">
      <alignment vertical="center" wrapText="1"/>
    </xf>
    <xf numFmtId="3" fontId="19" fillId="26" borderId="7" xfId="0" applyNumberFormat="1" applyFont="1" applyFill="1" applyBorder="1" applyAlignment="1">
      <alignment vertical="center" wrapText="1"/>
    </xf>
    <xf numFmtId="175" fontId="8" fillId="0" borderId="0" xfId="0" applyNumberFormat="1" applyFont="1" applyAlignment="1">
      <alignment vertical="center" wrapText="1"/>
    </xf>
    <xf numFmtId="43" fontId="0" fillId="58" borderId="0" xfId="2" applyFont="1" applyFill="1"/>
    <xf numFmtId="174" fontId="0" fillId="58" borderId="0" xfId="0" applyNumberFormat="1" applyFill="1"/>
    <xf numFmtId="1" fontId="57" fillId="12" borderId="7" xfId="0" applyNumberFormat="1" applyFont="1" applyFill="1" applyBorder="1" applyAlignment="1">
      <alignment horizontal="center" vertical="center" wrapText="1"/>
    </xf>
    <xf numFmtId="1" fontId="57" fillId="13" borderId="7" xfId="0" applyNumberFormat="1" applyFont="1" applyFill="1" applyBorder="1" applyAlignment="1">
      <alignment horizontal="center" vertical="center" wrapText="1"/>
    </xf>
    <xf numFmtId="1" fontId="57" fillId="36" borderId="7" xfId="0" applyNumberFormat="1" applyFont="1" applyFill="1" applyBorder="1" applyAlignment="1">
      <alignment horizontal="center" vertical="center" wrapText="1"/>
    </xf>
    <xf numFmtId="0" fontId="57" fillId="0" borderId="7" xfId="0" applyFont="1" applyBorder="1" applyAlignment="1">
      <alignment horizontal="center" vertical="center"/>
    </xf>
    <xf numFmtId="1" fontId="57" fillId="16" borderId="7" xfId="0" applyNumberFormat="1" applyFont="1" applyFill="1" applyBorder="1" applyAlignment="1">
      <alignment horizontal="center" vertical="center" wrapText="1"/>
    </xf>
    <xf numFmtId="1" fontId="57" fillId="4" borderId="7" xfId="0" applyNumberFormat="1" applyFont="1" applyFill="1" applyBorder="1" applyAlignment="1">
      <alignment horizontal="center" vertical="center" wrapText="1"/>
    </xf>
    <xf numFmtId="0" fontId="57" fillId="0" borderId="7" xfId="0" applyFont="1" applyBorder="1" applyAlignment="1">
      <alignment horizontal="center" vertical="center" wrapText="1"/>
    </xf>
    <xf numFmtId="1" fontId="57" fillId="0" borderId="7" xfId="0" applyNumberFormat="1" applyFont="1" applyBorder="1" applyAlignment="1">
      <alignment horizontal="center" vertical="center"/>
    </xf>
    <xf numFmtId="0" fontId="57" fillId="14" borderId="7" xfId="0" applyFont="1" applyFill="1" applyBorder="1" applyAlignment="1">
      <alignment horizontal="center" vertical="center"/>
    </xf>
    <xf numFmtId="9" fontId="57" fillId="14" borderId="7" xfId="0" applyNumberFormat="1" applyFont="1" applyFill="1" applyBorder="1" applyAlignment="1">
      <alignment horizontal="center" vertical="center"/>
    </xf>
    <xf numFmtId="9" fontId="57" fillId="14" borderId="7" xfId="1" applyFont="1" applyFill="1" applyBorder="1" applyAlignment="1">
      <alignment horizontal="center" vertical="center"/>
    </xf>
    <xf numFmtId="1" fontId="57" fillId="26" borderId="7" xfId="0" applyNumberFormat="1" applyFont="1" applyFill="1" applyBorder="1" applyAlignment="1">
      <alignment horizontal="center" vertical="center" wrapText="1"/>
    </xf>
    <xf numFmtId="0" fontId="94" fillId="4" borderId="7" xfId="0" applyFont="1" applyFill="1" applyBorder="1" applyAlignment="1">
      <alignment horizontal="center" vertical="center" wrapText="1"/>
    </xf>
    <xf numFmtId="0" fontId="57" fillId="0" borderId="0" xfId="0" applyFont="1" applyAlignment="1">
      <alignment horizontal="center" vertical="center" wrapText="1"/>
    </xf>
    <xf numFmtId="0" fontId="95" fillId="0" borderId="0" xfId="0" applyFont="1"/>
    <xf numFmtId="9" fontId="8" fillId="30" borderId="27" xfId="0" applyNumberFormat="1" applyFont="1" applyFill="1" applyBorder="1" applyAlignment="1">
      <alignment horizontal="center" vertical="center" wrapText="1"/>
    </xf>
    <xf numFmtId="0" fontId="8" fillId="14" borderId="7" xfId="13" applyFont="1" applyFill="1" applyBorder="1" applyAlignment="1">
      <alignment horizontal="left" vertical="top" wrapText="1"/>
    </xf>
    <xf numFmtId="0" fontId="8" fillId="14" borderId="7" xfId="13" applyFont="1" applyFill="1" applyBorder="1" applyAlignment="1">
      <alignment vertical="top" wrapText="1"/>
    </xf>
    <xf numFmtId="0" fontId="20" fillId="14" borderId="7" xfId="13" applyFont="1" applyFill="1" applyBorder="1" applyAlignment="1">
      <alignment horizontal="left" vertical="top" wrapText="1"/>
    </xf>
    <xf numFmtId="0" fontId="20" fillId="14" borderId="19" xfId="14" applyFont="1" applyFill="1" applyAlignment="1">
      <alignment horizontal="left" vertical="top" wrapText="1"/>
    </xf>
    <xf numFmtId="0" fontId="8" fillId="14" borderId="7" xfId="14" applyFont="1" applyFill="1" applyBorder="1" applyAlignment="1">
      <alignment vertical="top" wrapText="1"/>
    </xf>
    <xf numFmtId="0" fontId="8" fillId="0" borderId="27" xfId="0" applyFont="1" applyBorder="1" applyAlignment="1">
      <alignment horizontal="left" vertical="center" wrapText="1"/>
    </xf>
    <xf numFmtId="0" fontId="21" fillId="0" borderId="74" xfId="0" applyFont="1" applyBorder="1" applyAlignment="1">
      <alignment horizontal="center" vertical="center" wrapText="1"/>
    </xf>
    <xf numFmtId="14" fontId="49" fillId="0" borderId="28" xfId="0" applyNumberFormat="1" applyFont="1" applyBorder="1" applyAlignment="1">
      <alignment vertical="center" wrapText="1"/>
    </xf>
    <xf numFmtId="0" fontId="17" fillId="4" borderId="30" xfId="0" applyFont="1" applyFill="1" applyBorder="1" applyAlignment="1">
      <alignment vertical="top" wrapText="1"/>
    </xf>
    <xf numFmtId="0" fontId="20" fillId="54" borderId="63" xfId="0" applyFont="1" applyFill="1" applyBorder="1" applyAlignment="1">
      <alignment horizontal="left" vertical="center" wrapText="1"/>
    </xf>
    <xf numFmtId="165" fontId="8" fillId="0" borderId="27" xfId="4" applyFont="1" applyBorder="1" applyAlignment="1">
      <alignment vertical="center" wrapText="1"/>
    </xf>
    <xf numFmtId="0" fontId="8" fillId="0" borderId="7" xfId="0" applyFont="1" applyBorder="1" applyAlignment="1">
      <alignment vertical="top" wrapText="1"/>
    </xf>
    <xf numFmtId="0" fontId="17" fillId="84" borderId="20" xfId="0" applyFont="1" applyFill="1" applyBorder="1" applyAlignment="1">
      <alignment vertical="top" wrapText="1"/>
    </xf>
    <xf numFmtId="0" fontId="17" fillId="4" borderId="7" xfId="0" applyFont="1" applyFill="1" applyBorder="1" applyAlignment="1">
      <alignment vertical="top" wrapText="1"/>
    </xf>
    <xf numFmtId="3" fontId="8" fillId="0" borderId="7" xfId="0" applyNumberFormat="1" applyFont="1" applyBorder="1" applyAlignment="1">
      <alignment vertical="top" wrapText="1"/>
    </xf>
    <xf numFmtId="0" fontId="8" fillId="0" borderId="63" xfId="0" applyFont="1" applyBorder="1" applyAlignment="1">
      <alignment horizontal="left" vertical="top" wrapText="1"/>
    </xf>
    <xf numFmtId="4" fontId="8" fillId="0" borderId="7" xfId="0" applyNumberFormat="1" applyFont="1" applyBorder="1" applyAlignment="1">
      <alignment vertical="top" wrapText="1"/>
    </xf>
    <xf numFmtId="0" fontId="8" fillId="0" borderId="0" xfId="0" applyFont="1" applyAlignment="1">
      <alignment horizontal="left" vertical="top" wrapText="1"/>
    </xf>
    <xf numFmtId="0" fontId="20" fillId="0" borderId="19" xfId="13" applyFont="1" applyAlignment="1">
      <alignment horizontal="left" vertical="top" wrapText="1"/>
    </xf>
    <xf numFmtId="165" fontId="17" fillId="13" borderId="7" xfId="4" applyFont="1" applyFill="1" applyBorder="1" applyAlignment="1">
      <alignment horizontal="right" vertical="center" wrapText="1"/>
    </xf>
    <xf numFmtId="165" fontId="17" fillId="36" borderId="28" xfId="4" applyFont="1" applyFill="1" applyBorder="1" applyAlignment="1">
      <alignment horizontal="right" vertical="center" wrapText="1"/>
    </xf>
    <xf numFmtId="165" fontId="55" fillId="36" borderId="27" xfId="4" applyFont="1" applyFill="1" applyBorder="1" applyAlignment="1">
      <alignment horizontal="center" vertical="center" wrapText="1"/>
    </xf>
    <xf numFmtId="14" fontId="8" fillId="0" borderId="7" xfId="0" applyNumberFormat="1" applyFont="1" applyBorder="1" applyAlignment="1">
      <alignment horizontal="right" vertical="center" wrapText="1"/>
    </xf>
    <xf numFmtId="9" fontId="0" fillId="0" borderId="0" xfId="1" applyFont="1"/>
    <xf numFmtId="0" fontId="96" fillId="0" borderId="19" xfId="0" applyFont="1" applyBorder="1"/>
    <xf numFmtId="174" fontId="96" fillId="0" borderId="19" xfId="0" applyNumberFormat="1" applyFont="1" applyBorder="1"/>
    <xf numFmtId="3" fontId="96" fillId="0" borderId="19" xfId="0" applyNumberFormat="1" applyFont="1" applyBorder="1"/>
    <xf numFmtId="174" fontId="18" fillId="20" borderId="40" xfId="2" applyNumberFormat="1" applyFont="1" applyFill="1" applyBorder="1" applyAlignment="1">
      <alignment horizontal="center"/>
    </xf>
    <xf numFmtId="174" fontId="18" fillId="85" borderId="40" xfId="2" applyNumberFormat="1" applyFont="1" applyFill="1" applyBorder="1" applyAlignment="1">
      <alignment horizontal="center"/>
    </xf>
    <xf numFmtId="174" fontId="55" fillId="20" borderId="40" xfId="2" applyNumberFormat="1" applyFont="1" applyFill="1" applyBorder="1" applyAlignment="1">
      <alignment horizontal="center"/>
    </xf>
    <xf numFmtId="4" fontId="96" fillId="0" borderId="19" xfId="0" applyNumberFormat="1" applyFont="1" applyBorder="1"/>
    <xf numFmtId="180" fontId="96" fillId="0" borderId="19" xfId="0" applyNumberFormat="1" applyFont="1" applyBorder="1"/>
    <xf numFmtId="174" fontId="18" fillId="18" borderId="40" xfId="2" applyNumberFormat="1" applyFont="1" applyFill="1" applyBorder="1" applyAlignment="1">
      <alignment horizontal="center"/>
    </xf>
    <xf numFmtId="43" fontId="20" fillId="0" borderId="40" xfId="2" applyFont="1" applyFill="1" applyBorder="1" applyAlignment="1">
      <alignment horizontal="center"/>
    </xf>
    <xf numFmtId="174" fontId="18" fillId="86" borderId="40" xfId="2" applyNumberFormat="1" applyFont="1" applyFill="1" applyBorder="1" applyAlignment="1">
      <alignment horizontal="center"/>
    </xf>
    <xf numFmtId="174" fontId="18" fillId="0" borderId="40" xfId="2" applyNumberFormat="1" applyFont="1" applyFill="1" applyBorder="1" applyAlignment="1">
      <alignment horizontal="center"/>
    </xf>
    <xf numFmtId="176" fontId="20" fillId="0" borderId="40" xfId="2" applyNumberFormat="1" applyFont="1" applyFill="1" applyBorder="1" applyAlignment="1">
      <alignment horizontal="center"/>
    </xf>
    <xf numFmtId="0" fontId="74" fillId="0" borderId="19" xfId="0" applyFont="1" applyBorder="1"/>
    <xf numFmtId="174" fontId="20" fillId="0" borderId="40" xfId="2" applyNumberFormat="1" applyFont="1" applyFill="1" applyBorder="1" applyAlignment="1">
      <alignment horizontal="center"/>
    </xf>
    <xf numFmtId="176" fontId="18" fillId="19" borderId="40" xfId="2" applyNumberFormat="1" applyFont="1" applyFill="1" applyBorder="1" applyAlignment="1">
      <alignment horizontal="center"/>
    </xf>
    <xf numFmtId="4" fontId="20" fillId="0" borderId="40" xfId="2" applyNumberFormat="1" applyFont="1" applyFill="1" applyBorder="1" applyAlignment="1">
      <alignment horizontal="right"/>
    </xf>
    <xf numFmtId="4" fontId="75" fillId="0" borderId="19" xfId="0" applyNumberFormat="1" applyFont="1" applyBorder="1"/>
    <xf numFmtId="0" fontId="75" fillId="0" borderId="19" xfId="0" applyFont="1" applyBorder="1"/>
    <xf numFmtId="174" fontId="18" fillId="19" borderId="40" xfId="2" applyNumberFormat="1" applyFont="1" applyFill="1" applyBorder="1" applyAlignment="1">
      <alignment horizontal="center"/>
    </xf>
    <xf numFmtId="176" fontId="18" fillId="18" borderId="40" xfId="2" applyNumberFormat="1" applyFont="1" applyFill="1" applyBorder="1" applyAlignment="1">
      <alignment horizontal="center"/>
    </xf>
    <xf numFmtId="4" fontId="18" fillId="19" borderId="40" xfId="2" applyNumberFormat="1" applyFont="1" applyFill="1" applyBorder="1" applyAlignment="1">
      <alignment horizontal="right"/>
    </xf>
    <xf numFmtId="176" fontId="20" fillId="19" borderId="40" xfId="2" applyNumberFormat="1" applyFont="1" applyFill="1" applyBorder="1" applyAlignment="1">
      <alignment horizontal="center"/>
    </xf>
    <xf numFmtId="174" fontId="18" fillId="0" borderId="40" xfId="2" applyNumberFormat="1" applyFont="1" applyFill="1" applyBorder="1"/>
    <xf numFmtId="176" fontId="18" fillId="18" borderId="40" xfId="2" applyNumberFormat="1" applyFont="1" applyFill="1" applyBorder="1"/>
    <xf numFmtId="4" fontId="18" fillId="18" borderId="40" xfId="2" applyNumberFormat="1" applyFont="1" applyFill="1" applyBorder="1" applyAlignment="1">
      <alignment horizontal="right"/>
    </xf>
    <xf numFmtId="176" fontId="18" fillId="19" borderId="40" xfId="2" applyNumberFormat="1" applyFont="1" applyFill="1" applyBorder="1"/>
    <xf numFmtId="174" fontId="20" fillId="0" borderId="40" xfId="2" applyNumberFormat="1" applyFont="1" applyFill="1" applyBorder="1"/>
    <xf numFmtId="176" fontId="20" fillId="0" borderId="40" xfId="2" applyNumberFormat="1" applyFont="1" applyFill="1" applyBorder="1"/>
    <xf numFmtId="176" fontId="57" fillId="0" borderId="40" xfId="2" applyNumberFormat="1" applyFont="1" applyFill="1" applyBorder="1"/>
    <xf numFmtId="174" fontId="20" fillId="18" borderId="40" xfId="2" applyNumberFormat="1" applyFont="1" applyFill="1" applyBorder="1" applyAlignment="1">
      <alignment horizontal="center"/>
    </xf>
    <xf numFmtId="166" fontId="96" fillId="0" borderId="19" xfId="1" applyNumberFormat="1" applyFont="1" applyFill="1" applyBorder="1"/>
    <xf numFmtId="43" fontId="96" fillId="0" borderId="19" xfId="2" applyFont="1" applyFill="1" applyBorder="1"/>
    <xf numFmtId="4" fontId="20" fillId="18" borderId="40" xfId="2" applyNumberFormat="1" applyFont="1" applyFill="1" applyBorder="1" applyAlignment="1">
      <alignment horizontal="right"/>
    </xf>
    <xf numFmtId="174" fontId="20" fillId="19" borderId="40" xfId="2" applyNumberFormat="1" applyFont="1" applyFill="1" applyBorder="1" applyAlignment="1">
      <alignment horizontal="center"/>
    </xf>
    <xf numFmtId="4" fontId="20" fillId="19" borderId="40" xfId="2" applyNumberFormat="1" applyFont="1" applyFill="1" applyBorder="1" applyAlignment="1">
      <alignment horizontal="right"/>
    </xf>
    <xf numFmtId="43" fontId="96" fillId="62" borderId="19" xfId="0" applyNumberFormat="1" applyFont="1" applyFill="1" applyBorder="1"/>
    <xf numFmtId="174" fontId="97" fillId="0" borderId="40" xfId="2" applyNumberFormat="1" applyFont="1" applyFill="1" applyBorder="1" applyAlignment="1">
      <alignment horizontal="center" vertical="center"/>
    </xf>
    <xf numFmtId="174" fontId="56" fillId="18" borderId="40" xfId="2" applyNumberFormat="1" applyFont="1" applyFill="1" applyBorder="1" applyAlignment="1">
      <alignment horizontal="center" vertical="center"/>
    </xf>
    <xf numFmtId="174" fontId="56" fillId="59" borderId="40" xfId="2" applyNumberFormat="1" applyFont="1" applyFill="1" applyBorder="1" applyAlignment="1">
      <alignment horizontal="center" vertical="center"/>
    </xf>
    <xf numFmtId="4" fontId="57" fillId="18" borderId="40" xfId="2" applyNumberFormat="1" applyFont="1" applyFill="1" applyBorder="1" applyAlignment="1">
      <alignment horizontal="right" vertical="center"/>
    </xf>
    <xf numFmtId="0" fontId="10" fillId="0" borderId="19" xfId="0" applyFont="1" applyBorder="1"/>
    <xf numFmtId="4" fontId="20" fillId="49" borderId="40" xfId="2" applyNumberFormat="1" applyFont="1" applyFill="1" applyBorder="1" applyAlignment="1">
      <alignment horizontal="right"/>
    </xf>
    <xf numFmtId="0" fontId="57" fillId="87" borderId="47" xfId="0" applyFont="1" applyFill="1" applyBorder="1" applyAlignment="1">
      <alignment vertical="center" wrapText="1"/>
    </xf>
    <xf numFmtId="0" fontId="20" fillId="87" borderId="47" xfId="0" applyFont="1" applyFill="1" applyBorder="1" applyAlignment="1">
      <alignment vertical="center" wrapText="1"/>
    </xf>
    <xf numFmtId="0" fontId="20" fillId="0" borderId="40" xfId="0" quotePrefix="1" applyFont="1" applyBorder="1" applyAlignment="1">
      <alignment horizontal="left"/>
    </xf>
    <xf numFmtId="43" fontId="20" fillId="0" borderId="40" xfId="2" applyFont="1" applyFill="1" applyBorder="1" applyAlignment="1">
      <alignment horizontal="right"/>
    </xf>
    <xf numFmtId="174" fontId="98" fillId="0" borderId="40" xfId="2" applyNumberFormat="1" applyFont="1" applyFill="1" applyBorder="1" applyAlignment="1">
      <alignment horizontal="center" vertical="center"/>
    </xf>
    <xf numFmtId="174" fontId="73" fillId="0" borderId="40" xfId="2" applyNumberFormat="1" applyFont="1" applyFill="1" applyBorder="1" applyAlignment="1">
      <alignment horizontal="center" vertical="center"/>
    </xf>
    <xf numFmtId="4" fontId="96" fillId="62" borderId="19" xfId="0" applyNumberFormat="1" applyFont="1" applyFill="1" applyBorder="1"/>
    <xf numFmtId="174" fontId="57" fillId="0" borderId="40" xfId="2" applyNumberFormat="1" applyFont="1" applyFill="1" applyBorder="1" applyAlignment="1">
      <alignment horizontal="center"/>
    </xf>
    <xf numFmtId="174" fontId="20" fillId="0" borderId="40" xfId="2" quotePrefix="1" applyNumberFormat="1" applyFont="1" applyFill="1" applyBorder="1" applyAlignment="1">
      <alignment horizontal="left"/>
    </xf>
    <xf numFmtId="4" fontId="20" fillId="0" borderId="40" xfId="2" quotePrefix="1" applyNumberFormat="1" applyFont="1" applyFill="1" applyBorder="1" applyAlignment="1">
      <alignment horizontal="right"/>
    </xf>
    <xf numFmtId="174" fontId="20" fillId="81" borderId="40" xfId="2" applyNumberFormat="1" applyFont="1" applyFill="1" applyBorder="1" applyAlignment="1">
      <alignment horizontal="center"/>
    </xf>
    <xf numFmtId="174" fontId="20" fillId="72" borderId="40" xfId="2" quotePrefix="1" applyNumberFormat="1" applyFont="1" applyFill="1" applyBorder="1" applyAlignment="1">
      <alignment horizontal="left"/>
    </xf>
    <xf numFmtId="174" fontId="20" fillId="72" borderId="40" xfId="2" applyNumberFormat="1" applyFont="1" applyFill="1" applyBorder="1" applyAlignment="1">
      <alignment horizontal="center"/>
    </xf>
    <xf numFmtId="4" fontId="20" fillId="0" borderId="40" xfId="2" quotePrefix="1" applyNumberFormat="1" applyFont="1" applyFill="1" applyBorder="1" applyAlignment="1"/>
    <xf numFmtId="4" fontId="20" fillId="19" borderId="40" xfId="2" applyNumberFormat="1" applyFont="1" applyFill="1" applyBorder="1" applyAlignment="1"/>
    <xf numFmtId="4" fontId="20" fillId="0" borderId="40" xfId="2" applyNumberFormat="1" applyFont="1" applyFill="1" applyBorder="1" applyAlignment="1"/>
    <xf numFmtId="4" fontId="57" fillId="0" borderId="40" xfId="2" applyNumberFormat="1" applyFont="1" applyFill="1" applyBorder="1" applyAlignment="1"/>
    <xf numFmtId="43" fontId="20" fillId="0" borderId="40" xfId="2" quotePrefix="1" applyFont="1" applyFill="1" applyBorder="1" applyAlignment="1">
      <alignment horizontal="left"/>
    </xf>
    <xf numFmtId="0" fontId="20" fillId="58" borderId="7" xfId="0" applyFont="1" applyFill="1" applyBorder="1" applyAlignment="1">
      <alignment horizontal="left" vertical="center" wrapText="1"/>
    </xf>
    <xf numFmtId="0" fontId="8" fillId="58" borderId="7" xfId="0" applyFont="1" applyFill="1" applyBorder="1" applyAlignment="1">
      <alignment horizontal="left" vertical="center" wrapText="1"/>
    </xf>
    <xf numFmtId="0" fontId="75" fillId="0" borderId="19" xfId="10" applyFont="1"/>
    <xf numFmtId="0" fontId="84" fillId="0" borderId="57" xfId="10" applyFont="1" applyBorder="1" applyAlignment="1">
      <alignment horizontal="center" vertical="center"/>
    </xf>
    <xf numFmtId="49" fontId="73" fillId="0" borderId="61" xfId="3" applyNumberFormat="1" applyFont="1" applyBorder="1" applyAlignment="1">
      <alignment vertical="center" wrapText="1"/>
    </xf>
    <xf numFmtId="49" fontId="73" fillId="0" borderId="61" xfId="3" quotePrefix="1" applyNumberFormat="1" applyFont="1" applyBorder="1" applyAlignment="1">
      <alignment vertical="center" wrapText="1"/>
    </xf>
    <xf numFmtId="49" fontId="72" fillId="0" borderId="61" xfId="3" applyNumberFormat="1" applyFont="1" applyBorder="1" applyAlignment="1">
      <alignment vertical="center" wrapText="1"/>
    </xf>
    <xf numFmtId="0" fontId="72" fillId="0" borderId="61" xfId="3" applyFont="1" applyBorder="1" applyAlignment="1">
      <alignment vertical="center" wrapText="1"/>
    </xf>
    <xf numFmtId="49" fontId="72" fillId="0" borderId="62" xfId="3" applyNumberFormat="1" applyFont="1" applyBorder="1" applyAlignment="1">
      <alignment horizontal="center" vertical="center" wrapText="1"/>
    </xf>
    <xf numFmtId="49" fontId="54" fillId="0" borderId="62" xfId="3" applyNumberFormat="1" applyFont="1" applyBorder="1" applyAlignment="1">
      <alignment horizontal="center" vertical="center" wrapText="1"/>
    </xf>
    <xf numFmtId="49" fontId="72" fillId="72" borderId="62" xfId="3" applyNumberFormat="1" applyFont="1" applyFill="1" applyBorder="1" applyAlignment="1">
      <alignment horizontal="center" vertical="center" wrapText="1"/>
    </xf>
    <xf numFmtId="0" fontId="74" fillId="0" borderId="19" xfId="10" applyFont="1" applyAlignment="1">
      <alignment horizontal="center" wrapText="1"/>
    </xf>
    <xf numFmtId="49" fontId="99" fillId="88" borderId="62" xfId="3" applyNumberFormat="1" applyFont="1" applyFill="1" applyBorder="1" applyAlignment="1">
      <alignment horizontal="center" vertical="center"/>
    </xf>
    <xf numFmtId="49" fontId="100" fillId="88" borderId="62" xfId="3" applyNumberFormat="1" applyFont="1" applyFill="1" applyBorder="1" applyAlignment="1">
      <alignment horizontal="center" vertical="center"/>
    </xf>
    <xf numFmtId="0" fontId="100" fillId="88" borderId="62" xfId="3" applyFont="1" applyFill="1" applyBorder="1" applyAlignment="1">
      <alignment horizontal="left" vertical="center"/>
    </xf>
    <xf numFmtId="0" fontId="100" fillId="88" borderId="62" xfId="3" applyFont="1" applyFill="1" applyBorder="1" applyAlignment="1">
      <alignment horizontal="left" vertical="center" wrapText="1"/>
    </xf>
    <xf numFmtId="177" fontId="100" fillId="88" borderId="62" xfId="11" applyNumberFormat="1" applyFont="1" applyFill="1" applyBorder="1" applyAlignment="1">
      <alignment horizontal="right" vertical="center"/>
    </xf>
    <xf numFmtId="9" fontId="100" fillId="88" borderId="62" xfId="12" applyFont="1" applyFill="1" applyBorder="1" applyAlignment="1">
      <alignment horizontal="right" vertical="center"/>
    </xf>
    <xf numFmtId="49" fontId="100" fillId="88" borderId="62" xfId="3" applyNumberFormat="1" applyFont="1" applyFill="1" applyBorder="1" applyAlignment="1">
      <alignment horizontal="left" vertical="center"/>
    </xf>
    <xf numFmtId="177" fontId="101" fillId="88" borderId="19" xfId="10" applyNumberFormat="1" applyFont="1" applyFill="1"/>
    <xf numFmtId="49" fontId="73" fillId="89" borderId="62" xfId="3" applyNumberFormat="1" applyFont="1" applyFill="1" applyBorder="1" applyAlignment="1">
      <alignment horizontal="center" vertical="center"/>
    </xf>
    <xf numFmtId="49" fontId="72" fillId="89" borderId="62" xfId="3" applyNumberFormat="1" applyFont="1" applyFill="1" applyBorder="1" applyAlignment="1">
      <alignment horizontal="center" vertical="center"/>
    </xf>
    <xf numFmtId="0" fontId="72" fillId="89" borderId="62" xfId="3" applyFont="1" applyFill="1" applyBorder="1" applyAlignment="1">
      <alignment horizontal="left" vertical="center"/>
    </xf>
    <xf numFmtId="0" fontId="72" fillId="89" borderId="62" xfId="3" applyFont="1" applyFill="1" applyBorder="1" applyAlignment="1">
      <alignment horizontal="left" vertical="center" wrapText="1"/>
    </xf>
    <xf numFmtId="177" fontId="72" fillId="89" borderId="62" xfId="11" applyNumberFormat="1" applyFont="1" applyFill="1" applyBorder="1" applyAlignment="1">
      <alignment horizontal="right" vertical="center"/>
    </xf>
    <xf numFmtId="9" fontId="72" fillId="89" borderId="62" xfId="12" applyFont="1" applyFill="1" applyBorder="1" applyAlignment="1">
      <alignment horizontal="right" vertical="center"/>
    </xf>
    <xf numFmtId="49" fontId="72" fillId="89" borderId="62" xfId="3" applyNumberFormat="1" applyFont="1" applyFill="1" applyBorder="1" applyAlignment="1">
      <alignment horizontal="left" vertical="center"/>
    </xf>
    <xf numFmtId="0" fontId="74" fillId="89" borderId="19" xfId="10" applyFont="1" applyFill="1"/>
    <xf numFmtId="0" fontId="73" fillId="90" borderId="62" xfId="3" applyFont="1" applyFill="1" applyBorder="1" applyAlignment="1">
      <alignment horizontal="center" vertical="center"/>
    </xf>
    <xf numFmtId="49" fontId="73" fillId="90" borderId="62" xfId="3" applyNumberFormat="1" applyFont="1" applyFill="1" applyBorder="1" applyAlignment="1">
      <alignment horizontal="center" vertical="center"/>
    </xf>
    <xf numFmtId="49" fontId="72" fillId="90" borderId="62" xfId="3" applyNumberFormat="1" applyFont="1" applyFill="1" applyBorder="1" applyAlignment="1">
      <alignment horizontal="center" vertical="center"/>
    </xf>
    <xf numFmtId="0" fontId="72" fillId="90" borderId="62" xfId="3" applyFont="1" applyFill="1" applyBorder="1" applyAlignment="1">
      <alignment horizontal="left" vertical="center" wrapText="1"/>
    </xf>
    <xf numFmtId="177" fontId="72" fillId="90" borderId="62" xfId="11" applyNumberFormat="1" applyFont="1" applyFill="1" applyBorder="1" applyAlignment="1">
      <alignment horizontal="right" vertical="center"/>
    </xf>
    <xf numFmtId="9" fontId="72" fillId="90" borderId="62" xfId="12" applyFont="1" applyFill="1" applyBorder="1" applyAlignment="1">
      <alignment horizontal="right" vertical="center"/>
    </xf>
    <xf numFmtId="49" fontId="72" fillId="90" borderId="62" xfId="3" applyNumberFormat="1" applyFont="1" applyFill="1" applyBorder="1" applyAlignment="1">
      <alignment horizontal="left" vertical="center"/>
    </xf>
    <xf numFmtId="0" fontId="74" fillId="90" borderId="19" xfId="10" applyFont="1" applyFill="1"/>
    <xf numFmtId="0" fontId="73" fillId="91" borderId="62" xfId="3" applyFont="1" applyFill="1" applyBorder="1" applyAlignment="1">
      <alignment horizontal="center" vertical="center"/>
    </xf>
    <xf numFmtId="49" fontId="73" fillId="91" borderId="62" xfId="3" applyNumberFormat="1" applyFont="1" applyFill="1" applyBorder="1" applyAlignment="1">
      <alignment horizontal="center" vertical="center"/>
    </xf>
    <xf numFmtId="49" fontId="72" fillId="91" borderId="62" xfId="3" applyNumberFormat="1" applyFont="1" applyFill="1" applyBorder="1" applyAlignment="1">
      <alignment horizontal="center" vertical="center"/>
    </xf>
    <xf numFmtId="0" fontId="72" fillId="91" borderId="62" xfId="3" applyFont="1" applyFill="1" applyBorder="1" applyAlignment="1">
      <alignment horizontal="left" vertical="center" wrapText="1"/>
    </xf>
    <xf numFmtId="177" fontId="72" fillId="91" borderId="62" xfId="11" applyNumberFormat="1" applyFont="1" applyFill="1" applyBorder="1" applyAlignment="1">
      <alignment horizontal="right" vertical="center"/>
    </xf>
    <xf numFmtId="9" fontId="72" fillId="91" borderId="62" xfId="12" applyFont="1" applyFill="1" applyBorder="1" applyAlignment="1">
      <alignment horizontal="right" vertical="center"/>
    </xf>
    <xf numFmtId="49" fontId="72" fillId="91" borderId="62" xfId="3" applyNumberFormat="1" applyFont="1" applyFill="1" applyBorder="1" applyAlignment="1">
      <alignment horizontal="left" vertical="center"/>
    </xf>
    <xf numFmtId="0" fontId="74" fillId="91" borderId="19" xfId="10" applyFont="1" applyFill="1"/>
    <xf numFmtId="0" fontId="73" fillId="92" borderId="62" xfId="3" applyFont="1" applyFill="1" applyBorder="1" applyAlignment="1">
      <alignment horizontal="center" vertical="center"/>
    </xf>
    <xf numFmtId="49" fontId="73" fillId="92" borderId="62" xfId="3" applyNumberFormat="1" applyFont="1" applyFill="1" applyBorder="1" applyAlignment="1">
      <alignment horizontal="center" vertical="center"/>
    </xf>
    <xf numFmtId="49" fontId="72" fillId="92" borderId="62" xfId="3" applyNumberFormat="1" applyFont="1" applyFill="1" applyBorder="1" applyAlignment="1">
      <alignment horizontal="center" vertical="center"/>
    </xf>
    <xf numFmtId="0" fontId="72" fillId="92" borderId="62" xfId="3" applyFont="1" applyFill="1" applyBorder="1" applyAlignment="1">
      <alignment horizontal="left" vertical="center" wrapText="1"/>
    </xf>
    <xf numFmtId="177" fontId="72" fillId="92" borderId="62" xfId="11" applyNumberFormat="1" applyFont="1" applyFill="1" applyBorder="1" applyAlignment="1">
      <alignment horizontal="right" vertical="center"/>
    </xf>
    <xf numFmtId="9" fontId="72" fillId="92" borderId="62" xfId="12" applyFont="1" applyFill="1" applyBorder="1" applyAlignment="1">
      <alignment horizontal="right" vertical="center"/>
    </xf>
    <xf numFmtId="49" fontId="72" fillId="92" borderId="62" xfId="3" applyNumberFormat="1" applyFont="1" applyFill="1" applyBorder="1" applyAlignment="1">
      <alignment horizontal="left" vertical="center"/>
    </xf>
    <xf numFmtId="0" fontId="74" fillId="92" borderId="19" xfId="10" applyFont="1" applyFill="1"/>
    <xf numFmtId="0" fontId="73" fillId="79" borderId="62" xfId="3" applyFont="1" applyFill="1" applyBorder="1" applyAlignment="1">
      <alignment horizontal="center" vertical="center"/>
    </xf>
    <xf numFmtId="49" fontId="73" fillId="79" borderId="62" xfId="3" applyNumberFormat="1" applyFont="1" applyFill="1" applyBorder="1" applyAlignment="1">
      <alignment horizontal="center" vertical="center"/>
    </xf>
    <xf numFmtId="49" fontId="72" fillId="79" borderId="62" xfId="3" applyNumberFormat="1" applyFont="1" applyFill="1" applyBorder="1" applyAlignment="1">
      <alignment horizontal="center" vertical="center"/>
    </xf>
    <xf numFmtId="0" fontId="72" fillId="79" borderId="62" xfId="3" applyFont="1" applyFill="1" applyBorder="1" applyAlignment="1">
      <alignment horizontal="left" vertical="center" wrapText="1"/>
    </xf>
    <xf numFmtId="177" fontId="72" fillId="79" borderId="62" xfId="11" applyNumberFormat="1" applyFont="1" applyFill="1" applyBorder="1" applyAlignment="1">
      <alignment horizontal="right" vertical="center"/>
    </xf>
    <xf numFmtId="9" fontId="72" fillId="79" borderId="62" xfId="12" applyFont="1" applyFill="1" applyBorder="1" applyAlignment="1">
      <alignment horizontal="right" vertical="center"/>
    </xf>
    <xf numFmtId="49" fontId="72" fillId="79" borderId="62" xfId="3" applyNumberFormat="1" applyFont="1" applyFill="1" applyBorder="1" applyAlignment="1">
      <alignment horizontal="left" vertical="center"/>
    </xf>
    <xf numFmtId="0" fontId="74" fillId="79" borderId="19" xfId="10" applyFont="1" applyFill="1"/>
    <xf numFmtId="0" fontId="72" fillId="0" borderId="62" xfId="3" applyFont="1" applyBorder="1" applyAlignment="1">
      <alignment horizontal="center" vertical="center"/>
    </xf>
    <xf numFmtId="49" fontId="72" fillId="0" borderId="62" xfId="3" applyNumberFormat="1" applyFont="1" applyBorder="1" applyAlignment="1">
      <alignment horizontal="center" vertical="center"/>
    </xf>
    <xf numFmtId="0" fontId="72" fillId="0" borderId="62" xfId="3" applyFont="1" applyBorder="1" applyAlignment="1">
      <alignment horizontal="left" vertical="center" wrapText="1"/>
    </xf>
    <xf numFmtId="177" fontId="72" fillId="0" borderId="62" xfId="11" applyNumberFormat="1" applyFont="1" applyFill="1" applyBorder="1" applyAlignment="1">
      <alignment horizontal="right" vertical="center"/>
    </xf>
    <xf numFmtId="9" fontId="72" fillId="0" borderId="62" xfId="12" applyFont="1" applyFill="1" applyBorder="1" applyAlignment="1">
      <alignment horizontal="right" vertical="center"/>
    </xf>
    <xf numFmtId="49" fontId="72" fillId="0" borderId="62" xfId="3" applyNumberFormat="1" applyFont="1" applyBorder="1" applyAlignment="1">
      <alignment horizontal="left" vertical="center"/>
    </xf>
    <xf numFmtId="177" fontId="74" fillId="0" borderId="19" xfId="10" applyNumberFormat="1" applyFont="1"/>
    <xf numFmtId="0" fontId="73" fillId="0" borderId="62" xfId="3" applyFont="1" applyBorder="1" applyAlignment="1">
      <alignment horizontal="center" vertical="center"/>
    </xf>
    <xf numFmtId="49" fontId="73" fillId="0" borderId="62" xfId="3" applyNumberFormat="1" applyFont="1" applyBorder="1" applyAlignment="1">
      <alignment horizontal="center" vertical="center"/>
    </xf>
    <xf numFmtId="0" fontId="73" fillId="0" borderId="62" xfId="3" applyFont="1" applyBorder="1" applyAlignment="1">
      <alignment horizontal="left" vertical="center" wrapText="1"/>
    </xf>
    <xf numFmtId="177" fontId="73" fillId="0" borderId="62" xfId="11" applyNumberFormat="1" applyFont="1" applyFill="1" applyBorder="1" applyAlignment="1">
      <alignment horizontal="right" vertical="center"/>
    </xf>
    <xf numFmtId="43" fontId="73" fillId="0" borderId="62" xfId="11" applyFont="1" applyFill="1" applyBorder="1" applyAlignment="1">
      <alignment horizontal="right" vertical="center"/>
    </xf>
    <xf numFmtId="0" fontId="74" fillId="0" borderId="19" xfId="10" applyFont="1"/>
    <xf numFmtId="1" fontId="72" fillId="0" borderId="62" xfId="3" applyNumberFormat="1" applyFont="1" applyBorder="1" applyAlignment="1">
      <alignment horizontal="center" vertical="center"/>
    </xf>
    <xf numFmtId="1" fontId="73" fillId="0" borderId="62" xfId="3" applyNumberFormat="1" applyFont="1" applyBorder="1" applyAlignment="1">
      <alignment horizontal="center" vertical="center"/>
    </xf>
    <xf numFmtId="1" fontId="73" fillId="91" borderId="62" xfId="3" applyNumberFormat="1" applyFont="1" applyFill="1" applyBorder="1" applyAlignment="1">
      <alignment horizontal="center" vertical="center"/>
    </xf>
    <xf numFmtId="0" fontId="72" fillId="92" borderId="62" xfId="3" applyFont="1" applyFill="1" applyBorder="1" applyAlignment="1">
      <alignment horizontal="center" vertical="center"/>
    </xf>
    <xf numFmtId="1" fontId="72" fillId="92" borderId="62" xfId="3" applyNumberFormat="1" applyFont="1" applyFill="1" applyBorder="1" applyAlignment="1">
      <alignment horizontal="center" vertical="center"/>
    </xf>
    <xf numFmtId="0" fontId="72" fillId="79" borderId="62" xfId="3" applyFont="1" applyFill="1" applyBorder="1" applyAlignment="1">
      <alignment horizontal="center" vertical="center"/>
    </xf>
    <xf numFmtId="1" fontId="72" fillId="79" borderId="62" xfId="3" applyNumberFormat="1" applyFont="1" applyFill="1" applyBorder="1" applyAlignment="1">
      <alignment horizontal="center" vertical="center"/>
    </xf>
    <xf numFmtId="174" fontId="72" fillId="0" borderId="62" xfId="11" applyNumberFormat="1" applyFont="1" applyFill="1" applyBorder="1" applyAlignment="1">
      <alignment horizontal="right" vertical="center"/>
    </xf>
    <xf numFmtId="174" fontId="73" fillId="0" borderId="62" xfId="11" applyNumberFormat="1" applyFont="1" applyFill="1" applyBorder="1" applyAlignment="1">
      <alignment horizontal="right" vertical="center"/>
    </xf>
    <xf numFmtId="0" fontId="73" fillId="0" borderId="62" xfId="3" applyFont="1" applyBorder="1" applyAlignment="1">
      <alignment horizontal="left" vertical="center"/>
    </xf>
    <xf numFmtId="0" fontId="73" fillId="79" borderId="62" xfId="3" applyFont="1" applyFill="1" applyBorder="1" applyAlignment="1">
      <alignment horizontal="left" vertical="center" wrapText="1"/>
    </xf>
    <xf numFmtId="177" fontId="73" fillId="79" borderId="62" xfId="11" applyNumberFormat="1" applyFont="1" applyFill="1" applyBorder="1" applyAlignment="1">
      <alignment horizontal="right" vertical="center"/>
    </xf>
    <xf numFmtId="0" fontId="75" fillId="79" borderId="19" xfId="10" applyFont="1" applyFill="1"/>
    <xf numFmtId="0" fontId="73" fillId="92" borderId="62" xfId="3" applyFont="1" applyFill="1" applyBorder="1" applyAlignment="1">
      <alignment horizontal="left" vertical="center" wrapText="1"/>
    </xf>
    <xf numFmtId="177" fontId="73" fillId="92" borderId="62" xfId="11" applyNumberFormat="1" applyFont="1" applyFill="1" applyBorder="1" applyAlignment="1">
      <alignment horizontal="right" vertical="center"/>
    </xf>
    <xf numFmtId="0" fontId="75" fillId="92" borderId="19" xfId="10" applyFont="1" applyFill="1"/>
    <xf numFmtId="9" fontId="73" fillId="0" borderId="62" xfId="12" applyFont="1" applyFill="1" applyBorder="1" applyAlignment="1">
      <alignment horizontal="right" vertical="center"/>
    </xf>
    <xf numFmtId="0" fontId="20" fillId="58" borderId="7" xfId="0" applyFont="1" applyFill="1" applyBorder="1" applyAlignment="1">
      <alignment vertical="center" wrapText="1"/>
    </xf>
    <xf numFmtId="166" fontId="8" fillId="0" borderId="7" xfId="1" applyNumberFormat="1" applyFont="1" applyBorder="1" applyAlignment="1">
      <alignment horizontal="center" vertical="center" wrapText="1"/>
    </xf>
    <xf numFmtId="0" fontId="20" fillId="93" borderId="7" xfId="0" applyFont="1" applyFill="1" applyBorder="1" applyAlignment="1">
      <alignment horizontal="left" vertical="center" wrapText="1"/>
    </xf>
    <xf numFmtId="0" fontId="8" fillId="93" borderId="7" xfId="0" applyFont="1" applyFill="1" applyBorder="1" applyAlignment="1">
      <alignment horizontal="left" vertical="center" wrapText="1"/>
    </xf>
    <xf numFmtId="0" fontId="20" fillId="93" borderId="7" xfId="0" applyFont="1" applyFill="1" applyBorder="1" applyAlignment="1">
      <alignment vertical="center" wrapText="1"/>
    </xf>
    <xf numFmtId="165" fontId="21" fillId="30" borderId="68" xfId="4" applyFont="1" applyFill="1" applyBorder="1" applyAlignment="1"/>
    <xf numFmtId="165" fontId="17" fillId="0" borderId="63" xfId="4" applyFont="1" applyBorder="1" applyAlignment="1">
      <alignment vertical="center" wrapText="1"/>
    </xf>
    <xf numFmtId="165" fontId="17" fillId="4" borderId="17" xfId="4" applyFont="1" applyFill="1" applyBorder="1" applyAlignment="1">
      <alignment vertical="center" wrapText="1"/>
    </xf>
    <xf numFmtId="165" fontId="17" fillId="13" borderId="20" xfId="4" applyFont="1" applyFill="1" applyBorder="1" applyAlignment="1">
      <alignment vertical="center" wrapText="1"/>
    </xf>
    <xf numFmtId="4" fontId="10" fillId="0" borderId="19" xfId="0" applyNumberFormat="1" applyFont="1" applyBorder="1"/>
    <xf numFmtId="168" fontId="21" fillId="0" borderId="7" xfId="0" applyNumberFormat="1" applyFont="1" applyBorder="1" applyAlignment="1">
      <alignment vertical="center"/>
    </xf>
    <xf numFmtId="165" fontId="8" fillId="0" borderId="20" xfId="4" applyFont="1" applyBorder="1" applyAlignment="1">
      <alignment vertical="center" wrapText="1"/>
    </xf>
    <xf numFmtId="3" fontId="17" fillId="36" borderId="30" xfId="0" applyNumberFormat="1" applyFont="1" applyFill="1" applyBorder="1" applyAlignment="1">
      <alignment vertical="center" wrapText="1"/>
    </xf>
    <xf numFmtId="0" fontId="102" fillId="0" borderId="63" xfId="0" applyFont="1" applyBorder="1" applyAlignment="1">
      <alignment horizontal="left" vertical="center" wrapText="1"/>
    </xf>
    <xf numFmtId="0" fontId="102" fillId="0" borderId="0" xfId="0" applyFont="1" applyAlignment="1">
      <alignment horizontal="left" vertical="center" wrapText="1"/>
    </xf>
    <xf numFmtId="0" fontId="2" fillId="0" borderId="0" xfId="0" applyFont="1" applyAlignment="1">
      <alignment vertical="center" wrapText="1"/>
    </xf>
    <xf numFmtId="0" fontId="104" fillId="0" borderId="0" xfId="0" applyFont="1" applyAlignment="1">
      <alignment horizontal="left" vertical="center" wrapText="1"/>
    </xf>
    <xf numFmtId="0" fontId="53" fillId="55" borderId="63" xfId="0" applyFont="1" applyFill="1" applyBorder="1"/>
    <xf numFmtId="165" fontId="53" fillId="57" borderId="63" xfId="4" applyFont="1" applyFill="1" applyBorder="1" applyAlignment="1"/>
    <xf numFmtId="0" fontId="0" fillId="0" borderId="19" xfId="0" applyBorder="1"/>
    <xf numFmtId="0" fontId="0" fillId="55" borderId="63" xfId="0" applyFill="1" applyBorder="1"/>
    <xf numFmtId="177" fontId="29" fillId="57" borderId="63" xfId="2" applyNumberFormat="1" applyFont="1" applyFill="1" applyBorder="1" applyAlignment="1">
      <alignment horizontal="right" vertical="center"/>
    </xf>
    <xf numFmtId="165" fontId="0" fillId="57" borderId="63" xfId="4" applyFont="1" applyFill="1" applyBorder="1" applyAlignment="1"/>
    <xf numFmtId="0" fontId="0" fillId="55" borderId="67" xfId="0" applyFill="1" applyBorder="1"/>
    <xf numFmtId="9" fontId="0" fillId="57" borderId="69" xfId="1" applyFont="1" applyFill="1" applyBorder="1" applyAlignment="1"/>
    <xf numFmtId="165" fontId="29" fillId="55" borderId="63" xfId="4" applyFont="1" applyFill="1" applyBorder="1" applyAlignment="1">
      <alignment horizontal="right" vertical="center"/>
    </xf>
    <xf numFmtId="0" fontId="106" fillId="0" borderId="78" xfId="3" applyFont="1" applyBorder="1" applyAlignment="1">
      <alignment vertical="center"/>
    </xf>
    <xf numFmtId="0" fontId="107" fillId="0" borderId="19" xfId="3" applyFont="1" applyAlignment="1">
      <alignment vertical="center"/>
    </xf>
    <xf numFmtId="0" fontId="53" fillId="55" borderId="63" xfId="0" applyFont="1" applyFill="1" applyBorder="1" applyAlignment="1">
      <alignment horizontal="center"/>
    </xf>
    <xf numFmtId="177" fontId="29" fillId="0" borderId="63" xfId="2" applyNumberFormat="1" applyFont="1" applyFill="1" applyBorder="1" applyAlignment="1">
      <alignment horizontal="right" vertical="center"/>
    </xf>
    <xf numFmtId="0" fontId="106" fillId="0" borderId="19" xfId="3" applyFont="1" applyAlignment="1">
      <alignment vertical="center"/>
    </xf>
    <xf numFmtId="0" fontId="12" fillId="0" borderId="63" xfId="0" applyFont="1" applyBorder="1" applyAlignment="1">
      <alignment vertical="center"/>
    </xf>
    <xf numFmtId="0" fontId="11" fillId="0" borderId="63" xfId="0" applyFont="1" applyBorder="1" applyAlignment="1">
      <alignment vertical="center"/>
    </xf>
    <xf numFmtId="0" fontId="13" fillId="0" borderId="63" xfId="0" applyFont="1" applyBorder="1" applyAlignment="1">
      <alignment vertical="center"/>
    </xf>
    <xf numFmtId="0" fontId="14" fillId="0" borderId="63" xfId="0" applyFont="1" applyBorder="1"/>
    <xf numFmtId="9" fontId="17" fillId="13" borderId="7" xfId="1" applyFont="1" applyFill="1" applyBorder="1" applyAlignment="1">
      <alignment vertical="center" wrapText="1"/>
    </xf>
    <xf numFmtId="0" fontId="81" fillId="0" borderId="65" xfId="5" applyFont="1" applyBorder="1" applyAlignment="1">
      <alignment horizontal="center" vertical="center"/>
    </xf>
    <xf numFmtId="0" fontId="81" fillId="0" borderId="49" xfId="5" applyFont="1" applyBorder="1" applyAlignment="1">
      <alignment horizontal="center" vertical="center" wrapText="1"/>
    </xf>
    <xf numFmtId="0" fontId="51" fillId="95" borderId="66" xfId="5" applyFont="1" applyFill="1" applyBorder="1" applyAlignment="1">
      <alignment horizontal="center" vertical="center" wrapText="1"/>
    </xf>
    <xf numFmtId="0" fontId="51" fillId="70" borderId="68" xfId="5" applyFont="1" applyFill="1" applyBorder="1" applyAlignment="1">
      <alignment horizontal="center" vertical="center" wrapText="1"/>
    </xf>
    <xf numFmtId="0" fontId="82" fillId="62" borderId="68" xfId="5" applyFont="1" applyFill="1" applyBorder="1" applyAlignment="1">
      <alignment horizontal="center" vertical="center" wrapText="1"/>
    </xf>
    <xf numFmtId="0" fontId="51" fillId="71" borderId="68" xfId="5" applyFont="1" applyFill="1" applyBorder="1" applyAlignment="1">
      <alignment horizontal="center" vertical="center" wrapText="1"/>
    </xf>
    <xf numFmtId="0" fontId="83" fillId="0" borderId="63" xfId="5" applyFont="1" applyBorder="1" applyAlignment="1">
      <alignment horizontal="center" vertical="center" wrapText="1"/>
    </xf>
    <xf numFmtId="0" fontId="83" fillId="69" borderId="63" xfId="5" applyFont="1" applyFill="1" applyBorder="1" applyAlignment="1">
      <alignment horizontal="center" vertical="center" wrapText="1"/>
    </xf>
    <xf numFmtId="0" fontId="51" fillId="0" borderId="19" xfId="5" applyFont="1" applyAlignment="1">
      <alignment vertical="center"/>
    </xf>
    <xf numFmtId="0" fontId="11" fillId="0" borderId="19" xfId="0" applyFont="1" applyBorder="1"/>
    <xf numFmtId="0" fontId="18" fillId="12" borderId="7" xfId="0" applyFont="1" applyFill="1" applyBorder="1" applyAlignment="1">
      <alignment vertical="center" wrapText="1"/>
    </xf>
    <xf numFmtId="0" fontId="84" fillId="71" borderId="71" xfId="5" applyFont="1" applyFill="1" applyBorder="1" applyAlignment="1">
      <alignment horizontal="left" vertical="center" wrapText="1"/>
    </xf>
    <xf numFmtId="175" fontId="84" fillId="71" borderId="19" xfId="5" applyNumberFormat="1" applyFont="1" applyFill="1" applyAlignment="1">
      <alignment horizontal="center" vertical="center" wrapText="1"/>
    </xf>
    <xf numFmtId="43" fontId="83" fillId="0" borderId="63" xfId="2" applyFont="1" applyFill="1" applyBorder="1" applyAlignment="1">
      <alignment horizontal="center" vertical="center" wrapText="1"/>
    </xf>
    <xf numFmtId="4" fontId="83" fillId="0" borderId="63" xfId="5" applyNumberFormat="1" applyFont="1" applyBorder="1" applyAlignment="1">
      <alignment horizontal="center" vertical="center" wrapText="1"/>
    </xf>
    <xf numFmtId="0" fontId="51" fillId="71" borderId="19" xfId="5" applyFont="1" applyFill="1" applyAlignment="1">
      <alignment vertical="center"/>
    </xf>
    <xf numFmtId="0" fontId="11" fillId="71" borderId="19" xfId="0" applyFont="1" applyFill="1" applyBorder="1"/>
    <xf numFmtId="0" fontId="18" fillId="71" borderId="7" xfId="0" applyFont="1" applyFill="1" applyBorder="1" applyAlignment="1">
      <alignment vertical="center" wrapText="1"/>
    </xf>
    <xf numFmtId="4" fontId="83" fillId="71" borderId="19" xfId="5" applyNumberFormat="1" applyFont="1" applyFill="1" applyAlignment="1">
      <alignment horizontal="center" vertical="center" wrapText="1"/>
    </xf>
    <xf numFmtId="0" fontId="85" fillId="96" borderId="68" xfId="6" applyFont="1" applyFill="1" applyBorder="1" applyAlignment="1">
      <alignment vertical="center" wrapText="1"/>
    </xf>
    <xf numFmtId="0" fontId="51" fillId="0" borderId="69" xfId="5" applyFont="1" applyBorder="1"/>
    <xf numFmtId="0" fontId="51" fillId="0" borderId="63" xfId="5" applyFont="1" applyBorder="1" applyAlignment="1">
      <alignment vertical="center"/>
    </xf>
    <xf numFmtId="182" fontId="51" fillId="0" borderId="63" xfId="5" applyNumberFormat="1" applyFont="1" applyBorder="1" applyAlignment="1">
      <alignment vertical="center"/>
    </xf>
    <xf numFmtId="165" fontId="20" fillId="0" borderId="7" xfId="6" applyNumberFormat="1" applyFont="1" applyBorder="1" applyAlignment="1">
      <alignment horizontal="center" vertical="center" wrapText="1"/>
    </xf>
    <xf numFmtId="175" fontId="51" fillId="0" borderId="63" xfId="5" applyNumberFormat="1" applyFont="1" applyBorder="1" applyAlignment="1">
      <alignment vertical="center"/>
    </xf>
    <xf numFmtId="43" fontId="51" fillId="69" borderId="63" xfId="2" applyFont="1" applyFill="1" applyBorder="1" applyAlignment="1">
      <alignment horizontal="center" vertical="center" wrapText="1"/>
    </xf>
    <xf numFmtId="183" fontId="51" fillId="0" borderId="19" xfId="5" applyNumberFormat="1" applyFont="1" applyAlignment="1">
      <alignment vertical="center"/>
    </xf>
    <xf numFmtId="0" fontId="51" fillId="0" borderId="63" xfId="5" applyFont="1" applyBorder="1"/>
    <xf numFmtId="183" fontId="51" fillId="0" borderId="19" xfId="5" applyNumberFormat="1" applyFont="1"/>
    <xf numFmtId="0" fontId="51" fillId="0" borderId="19" xfId="5" applyFont="1"/>
    <xf numFmtId="43" fontId="51" fillId="69" borderId="63" xfId="2" applyFont="1" applyFill="1" applyBorder="1"/>
    <xf numFmtId="175" fontId="51" fillId="96" borderId="63" xfId="6" applyNumberFormat="1" applyFont="1" applyFill="1" applyBorder="1" applyAlignment="1">
      <alignment horizontal="right" vertical="center" wrapText="1"/>
    </xf>
    <xf numFmtId="175" fontId="85" fillId="72" borderId="63" xfId="6" applyNumberFormat="1" applyFont="1" applyFill="1" applyBorder="1" applyAlignment="1">
      <alignment horizontal="right" vertical="center" wrapText="1"/>
    </xf>
    <xf numFmtId="175" fontId="83" fillId="0" borderId="63" xfId="6" applyNumberFormat="1" applyFont="1" applyBorder="1" applyAlignment="1">
      <alignment horizontal="right" vertical="center" wrapText="1"/>
    </xf>
    <xf numFmtId="175" fontId="51" fillId="0" borderId="63" xfId="5" applyNumberFormat="1" applyFont="1" applyBorder="1" applyAlignment="1">
      <alignment horizontal="center" vertical="center"/>
    </xf>
    <xf numFmtId="183" fontId="51" fillId="0" borderId="63" xfId="5" applyNumberFormat="1" applyFont="1" applyBorder="1" applyAlignment="1">
      <alignment vertical="center"/>
    </xf>
    <xf numFmtId="0" fontId="20" fillId="71" borderId="7" xfId="0" applyFont="1" applyFill="1" applyBorder="1" applyAlignment="1">
      <alignment horizontal="left" vertical="center" wrapText="1"/>
    </xf>
    <xf numFmtId="43" fontId="83" fillId="71" borderId="19" xfId="2" applyFont="1" applyFill="1" applyBorder="1" applyAlignment="1">
      <alignment vertical="center"/>
    </xf>
    <xf numFmtId="168" fontId="25" fillId="0" borderId="7" xfId="0" applyNumberFormat="1" applyFont="1" applyBorder="1" applyAlignment="1">
      <alignment horizontal="right" vertical="center"/>
    </xf>
    <xf numFmtId="182" fontId="51" fillId="0" borderId="69" xfId="5" applyNumberFormat="1" applyFont="1" applyBorder="1" applyAlignment="1">
      <alignment vertical="center"/>
    </xf>
    <xf numFmtId="0" fontId="111" fillId="73" borderId="68" xfId="6" applyFont="1" applyFill="1" applyBorder="1" applyAlignment="1">
      <alignment vertical="center" wrapText="1"/>
    </xf>
    <xf numFmtId="175" fontId="85" fillId="0" borderId="63" xfId="5" applyNumberFormat="1" applyFont="1" applyBorder="1" applyAlignment="1">
      <alignment horizontal="right" vertical="center"/>
    </xf>
    <xf numFmtId="43" fontId="83" fillId="0" borderId="19" xfId="2" applyFont="1" applyFill="1" applyBorder="1" applyAlignment="1">
      <alignment vertical="center"/>
    </xf>
    <xf numFmtId="165" fontId="60" fillId="0" borderId="63" xfId="6" applyNumberFormat="1" applyFont="1" applyBorder="1" applyAlignment="1">
      <alignment horizontal="center" vertical="center"/>
    </xf>
    <xf numFmtId="164" fontId="20" fillId="0" borderId="63" xfId="9" applyFont="1" applyFill="1" applyBorder="1" applyAlignment="1">
      <alignment vertical="center" wrapText="1"/>
    </xf>
    <xf numFmtId="168" fontId="112" fillId="0" borderId="7" xfId="0" applyNumberFormat="1" applyFont="1" applyBorder="1" applyAlignment="1">
      <alignment vertical="center"/>
    </xf>
    <xf numFmtId="0" fontId="20" fillId="75" borderId="7" xfId="0" applyFont="1" applyFill="1" applyBorder="1" applyAlignment="1">
      <alignment horizontal="left" vertical="center" wrapText="1"/>
    </xf>
    <xf numFmtId="165" fontId="51" fillId="0" borderId="63" xfId="5" applyNumberFormat="1" applyFont="1" applyBorder="1" applyAlignment="1">
      <alignment vertical="center"/>
    </xf>
    <xf numFmtId="175" fontId="51" fillId="73" borderId="63" xfId="6" applyNumberFormat="1" applyFont="1" applyFill="1" applyBorder="1" applyAlignment="1">
      <alignment horizontal="left" vertical="center" wrapText="1"/>
    </xf>
    <xf numFmtId="175" fontId="85" fillId="0" borderId="69" xfId="5" applyNumberFormat="1" applyFont="1" applyBorder="1" applyAlignment="1">
      <alignment horizontal="right" vertical="center"/>
    </xf>
    <xf numFmtId="175" fontId="51" fillId="0" borderId="63" xfId="5" applyNumberFormat="1" applyFont="1" applyBorder="1"/>
    <xf numFmtId="0" fontId="20" fillId="75" borderId="7" xfId="0" applyFont="1" applyFill="1" applyBorder="1" applyAlignment="1">
      <alignment vertical="center" wrapText="1"/>
    </xf>
    <xf numFmtId="175" fontId="85" fillId="73" borderId="68" xfId="6" applyNumberFormat="1" applyFont="1" applyFill="1" applyBorder="1" applyAlignment="1">
      <alignment vertical="center" wrapText="1"/>
    </xf>
    <xf numFmtId="0" fontId="85" fillId="97" borderId="68" xfId="6" applyFont="1" applyFill="1" applyBorder="1" applyAlignment="1">
      <alignment vertical="center" wrapText="1"/>
    </xf>
    <xf numFmtId="175" fontId="51" fillId="97" borderId="63" xfId="6" applyNumberFormat="1" applyFont="1" applyFill="1" applyBorder="1" applyAlignment="1">
      <alignment horizontal="right" vertical="center" wrapText="1"/>
    </xf>
    <xf numFmtId="0" fontId="85" fillId="98" borderId="68" xfId="6" applyFont="1" applyFill="1" applyBorder="1" applyAlignment="1">
      <alignment vertical="center" wrapText="1"/>
    </xf>
    <xf numFmtId="175" fontId="51" fillId="99" borderId="63" xfId="5" applyNumberFormat="1" applyFont="1" applyFill="1" applyBorder="1"/>
    <xf numFmtId="175" fontId="51" fillId="99" borderId="63" xfId="5" applyNumberFormat="1" applyFont="1" applyFill="1" applyBorder="1" applyAlignment="1">
      <alignment vertical="center"/>
    </xf>
    <xf numFmtId="168" fontId="83" fillId="0" borderId="63" xfId="6" applyNumberFormat="1" applyFont="1" applyBorder="1" applyAlignment="1">
      <alignment horizontal="right" vertical="center" wrapText="1"/>
    </xf>
    <xf numFmtId="175" fontId="83" fillId="0" borderId="63" xfId="5" applyNumberFormat="1" applyFont="1" applyBorder="1" applyAlignment="1">
      <alignment horizontal="center" vertical="center"/>
    </xf>
    <xf numFmtId="183" fontId="83" fillId="0" borderId="63" xfId="5" applyNumberFormat="1" applyFont="1" applyBorder="1" applyAlignment="1">
      <alignment vertical="center"/>
    </xf>
    <xf numFmtId="43" fontId="83" fillId="69" borderId="63" xfId="2" applyFont="1" applyFill="1" applyBorder="1" applyAlignment="1">
      <alignment vertical="center"/>
    </xf>
    <xf numFmtId="0" fontId="83" fillId="0" borderId="19" xfId="5" applyFont="1" applyAlignment="1">
      <alignment vertical="center"/>
    </xf>
    <xf numFmtId="0" fontId="18" fillId="0" borderId="7" xfId="0" applyFont="1" applyBorder="1" applyAlignment="1">
      <alignment horizontal="left" vertical="center" wrapText="1"/>
    </xf>
    <xf numFmtId="0" fontId="85" fillId="100" borderId="68" xfId="6" applyFont="1" applyFill="1" applyBorder="1" applyAlignment="1">
      <alignment vertical="center" wrapText="1"/>
    </xf>
    <xf numFmtId="175" fontId="51" fillId="100" borderId="63" xfId="6" applyNumberFormat="1" applyFont="1" applyFill="1" applyBorder="1" applyAlignment="1">
      <alignment horizontal="right" vertical="center" wrapText="1"/>
    </xf>
    <xf numFmtId="0" fontId="51" fillId="100" borderId="68" xfId="6" applyFont="1" applyFill="1" applyBorder="1" applyAlignment="1">
      <alignment vertical="center" wrapText="1"/>
    </xf>
    <xf numFmtId="175" fontId="51" fillId="74" borderId="63" xfId="5" applyNumberFormat="1" applyFont="1" applyFill="1" applyBorder="1"/>
    <xf numFmtId="0" fontId="18" fillId="4" borderId="7" xfId="0" applyFont="1" applyFill="1" applyBorder="1" applyAlignment="1">
      <alignment vertical="center" wrapText="1"/>
    </xf>
    <xf numFmtId="0" fontId="111" fillId="100" borderId="68" xfId="6" applyFont="1" applyFill="1" applyBorder="1" applyAlignment="1">
      <alignment vertical="center" wrapText="1"/>
    </xf>
    <xf numFmtId="0" fontId="113" fillId="100" borderId="68" xfId="6" applyFont="1" applyFill="1" applyBorder="1" applyAlignment="1">
      <alignment vertical="center" wrapText="1"/>
    </xf>
    <xf numFmtId="0" fontId="111" fillId="98" borderId="68" xfId="6" applyFont="1" applyFill="1" applyBorder="1" applyAlignment="1">
      <alignment vertical="center" wrapText="1"/>
    </xf>
    <xf numFmtId="175" fontId="51" fillId="98" borderId="63" xfId="6" applyNumberFormat="1" applyFont="1" applyFill="1" applyBorder="1" applyAlignment="1">
      <alignment horizontal="right" vertical="center" wrapText="1"/>
    </xf>
    <xf numFmtId="0" fontId="51" fillId="69" borderId="69" xfId="5" applyFont="1" applyFill="1" applyBorder="1"/>
    <xf numFmtId="0" fontId="113" fillId="97" borderId="68" xfId="6" applyFont="1" applyFill="1" applyBorder="1" applyAlignment="1">
      <alignment vertical="center" wrapText="1"/>
    </xf>
    <xf numFmtId="175" fontId="51" fillId="0" borderId="19" xfId="5" applyNumberFormat="1" applyFont="1" applyAlignment="1">
      <alignment vertical="center"/>
    </xf>
    <xf numFmtId="0" fontId="111" fillId="97" borderId="68" xfId="6" applyFont="1" applyFill="1" applyBorder="1" applyAlignment="1">
      <alignment vertical="center" wrapText="1"/>
    </xf>
    <xf numFmtId="43" fontId="83" fillId="69" borderId="63" xfId="2" applyFont="1" applyFill="1" applyBorder="1"/>
    <xf numFmtId="0" fontId="83" fillId="0" borderId="19" xfId="5" applyFont="1"/>
    <xf numFmtId="165" fontId="20" fillId="0" borderId="7" xfId="6" applyNumberFormat="1" applyFont="1" applyBorder="1" applyAlignment="1">
      <alignment vertical="center" wrapText="1"/>
    </xf>
    <xf numFmtId="164" fontId="20" fillId="0" borderId="7" xfId="9" applyFont="1" applyFill="1" applyBorder="1" applyAlignment="1">
      <alignment vertical="center" wrapText="1"/>
    </xf>
    <xf numFmtId="175" fontId="51" fillId="0" borderId="63" xfId="6" applyNumberFormat="1" applyFont="1" applyBorder="1" applyAlignment="1">
      <alignment horizontal="right" vertical="center" wrapText="1"/>
    </xf>
    <xf numFmtId="165" fontId="20" fillId="69" borderId="7" xfId="6" applyNumberFormat="1" applyFont="1" applyFill="1" applyBorder="1" applyAlignment="1">
      <alignment horizontal="center" vertical="center" wrapText="1"/>
    </xf>
    <xf numFmtId="164" fontId="20" fillId="69" borderId="7" xfId="9" applyFont="1" applyFill="1" applyBorder="1" applyAlignment="1">
      <alignment vertical="center" wrapText="1"/>
    </xf>
    <xf numFmtId="164" fontId="20" fillId="69" borderId="19" xfId="9" applyFont="1" applyFill="1" applyBorder="1" applyAlignment="1">
      <alignment vertical="center" wrapText="1"/>
    </xf>
    <xf numFmtId="165" fontId="20" fillId="72" borderId="7" xfId="6" applyNumberFormat="1" applyFont="1" applyFill="1" applyBorder="1" applyAlignment="1">
      <alignment horizontal="center" vertical="center" wrapText="1"/>
    </xf>
    <xf numFmtId="0" fontId="85" fillId="69" borderId="68" xfId="6" applyFont="1" applyFill="1" applyBorder="1" applyAlignment="1">
      <alignment vertical="center" wrapText="1"/>
    </xf>
    <xf numFmtId="43" fontId="51" fillId="71" borderId="63" xfId="2" applyFont="1" applyFill="1" applyBorder="1" applyAlignment="1">
      <alignment vertical="center"/>
    </xf>
    <xf numFmtId="0" fontId="20" fillId="71" borderId="7" xfId="0" applyFont="1" applyFill="1" applyBorder="1" applyAlignment="1">
      <alignment vertical="center" wrapText="1"/>
    </xf>
    <xf numFmtId="0" fontId="85" fillId="101" borderId="68" xfId="6" applyFont="1" applyFill="1" applyBorder="1" applyAlignment="1">
      <alignment vertical="center" wrapText="1"/>
    </xf>
    <xf numFmtId="0" fontId="83" fillId="71" borderId="19" xfId="5" applyFont="1" applyFill="1" applyAlignment="1">
      <alignment vertical="center"/>
    </xf>
    <xf numFmtId="0" fontId="74" fillId="71" borderId="19" xfId="0" applyFont="1" applyFill="1" applyBorder="1"/>
    <xf numFmtId="0" fontId="85" fillId="102" borderId="68" xfId="6" applyFont="1" applyFill="1" applyBorder="1" applyAlignment="1">
      <alignment vertical="center" wrapText="1"/>
    </xf>
    <xf numFmtId="3" fontId="18" fillId="4" borderId="7" xfId="0" applyNumberFormat="1" applyFont="1" applyFill="1" applyBorder="1" applyAlignment="1">
      <alignment vertical="center" wrapText="1"/>
    </xf>
    <xf numFmtId="168" fontId="51" fillId="0" borderId="63" xfId="5" applyNumberFormat="1" applyFont="1" applyBorder="1" applyAlignment="1">
      <alignment vertical="center"/>
    </xf>
    <xf numFmtId="0" fontId="84" fillId="78" borderId="68" xfId="6" applyFont="1" applyFill="1" applyBorder="1" applyAlignment="1">
      <alignment vertical="center" wrapText="1"/>
    </xf>
    <xf numFmtId="186" fontId="51" fillId="0" borderId="63" xfId="5" applyNumberFormat="1" applyFont="1" applyBorder="1" applyAlignment="1">
      <alignment vertical="center"/>
    </xf>
    <xf numFmtId="0" fontId="111" fillId="78" borderId="68" xfId="6" applyFont="1" applyFill="1" applyBorder="1" applyAlignment="1">
      <alignment vertical="center" wrapText="1"/>
    </xf>
    <xf numFmtId="175" fontId="51" fillId="62" borderId="63" xfId="6" applyNumberFormat="1" applyFont="1" applyFill="1" applyBorder="1" applyAlignment="1">
      <alignment horizontal="right" vertical="center" wrapText="1"/>
    </xf>
    <xf numFmtId="0" fontId="85" fillId="103" borderId="68" xfId="6" applyFont="1" applyFill="1" applyBorder="1" applyAlignment="1">
      <alignment vertical="center" wrapText="1"/>
    </xf>
    <xf numFmtId="0" fontId="51" fillId="0" borderId="66" xfId="5" applyFont="1" applyBorder="1" applyAlignment="1">
      <alignment vertical="center"/>
    </xf>
    <xf numFmtId="175" fontId="85" fillId="0" borderId="66" xfId="5" applyNumberFormat="1" applyFont="1" applyBorder="1" applyAlignment="1">
      <alignment horizontal="right" vertical="center"/>
    </xf>
    <xf numFmtId="0" fontId="51" fillId="0" borderId="66" xfId="5" applyFont="1" applyBorder="1"/>
    <xf numFmtId="0" fontId="18" fillId="0" borderId="7" xfId="0" applyFont="1" applyBorder="1" applyAlignment="1">
      <alignment vertical="center" wrapText="1"/>
    </xf>
    <xf numFmtId="175" fontId="51" fillId="0" borderId="66" xfId="5" applyNumberFormat="1" applyFont="1" applyBorder="1"/>
    <xf numFmtId="0" fontId="18" fillId="71" borderId="19" xfId="0" applyFont="1" applyFill="1" applyBorder="1" applyAlignment="1">
      <alignment horizontal="left" vertical="center" wrapText="1"/>
    </xf>
    <xf numFmtId="182" fontId="51" fillId="0" borderId="70" xfId="5" applyNumberFormat="1" applyFont="1" applyBorder="1" applyAlignment="1">
      <alignment vertical="center"/>
    </xf>
    <xf numFmtId="0" fontId="111" fillId="103" borderId="68" xfId="6" applyFont="1" applyFill="1" applyBorder="1" applyAlignment="1">
      <alignment vertical="center" wrapText="1"/>
    </xf>
    <xf numFmtId="175" fontId="51" fillId="103" borderId="63" xfId="6" applyNumberFormat="1" applyFont="1" applyFill="1" applyBorder="1" applyAlignment="1">
      <alignment horizontal="right" vertical="center" wrapText="1"/>
    </xf>
    <xf numFmtId="0" fontId="18" fillId="71" borderId="7" xfId="0" applyFont="1" applyFill="1" applyBorder="1" applyAlignment="1">
      <alignment horizontal="left" vertical="center" wrapText="1"/>
    </xf>
    <xf numFmtId="0" fontId="85" fillId="91" borderId="68" xfId="6" applyFont="1" applyFill="1" applyBorder="1" applyAlignment="1">
      <alignment vertical="center" wrapText="1"/>
    </xf>
    <xf numFmtId="182" fontId="51" fillId="0" borderId="70" xfId="5" applyNumberFormat="1" applyFont="1" applyBorder="1"/>
    <xf numFmtId="0" fontId="51" fillId="0" borderId="19" xfId="5" applyFont="1" applyAlignment="1">
      <alignment horizontal="center" vertical="center"/>
    </xf>
    <xf numFmtId="0" fontId="20" fillId="0" borderId="19" xfId="0" applyFont="1" applyBorder="1" applyAlignment="1">
      <alignment vertical="center" wrapText="1"/>
    </xf>
    <xf numFmtId="0" fontId="18" fillId="0" borderId="19" xfId="0" applyFont="1" applyBorder="1" applyAlignment="1">
      <alignment vertical="center" wrapText="1"/>
    </xf>
    <xf numFmtId="0" fontId="8" fillId="0" borderId="12" xfId="0" applyFont="1" applyBorder="1" applyAlignment="1">
      <alignment vertical="center" wrapText="1"/>
    </xf>
    <xf numFmtId="0" fontId="55" fillId="9" borderId="20" xfId="0" applyFont="1" applyFill="1" applyBorder="1" applyAlignment="1">
      <alignment horizontal="center" vertical="center" wrapText="1"/>
    </xf>
    <xf numFmtId="9" fontId="57" fillId="0" borderId="7" xfId="1" applyFont="1" applyBorder="1" applyAlignment="1">
      <alignment horizontal="center" vertical="center" wrapText="1"/>
    </xf>
    <xf numFmtId="9" fontId="8" fillId="0" borderId="7" xfId="1" applyFont="1" applyBorder="1" applyAlignment="1">
      <alignment horizontal="center" vertical="center"/>
    </xf>
    <xf numFmtId="0" fontId="11" fillId="0" borderId="19" xfId="3" applyFont="1"/>
    <xf numFmtId="0" fontId="1" fillId="0" borderId="19" xfId="15"/>
    <xf numFmtId="0" fontId="11" fillId="104" borderId="7" xfId="15" applyFont="1" applyFill="1" applyBorder="1" applyAlignment="1">
      <alignment wrapText="1"/>
    </xf>
    <xf numFmtId="0" fontId="60" fillId="0" borderId="19" xfId="3"/>
    <xf numFmtId="0" fontId="11" fillId="75" borderId="29" xfId="15" applyFont="1" applyFill="1" applyBorder="1"/>
    <xf numFmtId="0" fontId="114" fillId="0" borderId="7" xfId="15" applyFont="1" applyBorder="1" applyAlignment="1">
      <alignment horizontal="left" vertical="center" wrapText="1"/>
    </xf>
    <xf numFmtId="0" fontId="11" fillId="75" borderId="7" xfId="15" applyFont="1" applyFill="1" applyBorder="1"/>
    <xf numFmtId="0" fontId="114" fillId="0" borderId="7" xfId="15" applyFont="1" applyBorder="1" applyAlignment="1">
      <alignment wrapText="1"/>
    </xf>
    <xf numFmtId="0" fontId="1" fillId="0" borderId="19" xfId="15" applyAlignment="1">
      <alignment wrapText="1"/>
    </xf>
    <xf numFmtId="0" fontId="55" fillId="9" borderId="63" xfId="0" applyFont="1" applyFill="1" applyBorder="1" applyAlignment="1">
      <alignment horizontal="center" vertical="center" wrapText="1"/>
    </xf>
    <xf numFmtId="3" fontId="57" fillId="105" borderId="7" xfId="0" applyNumberFormat="1" applyFont="1" applyFill="1" applyBorder="1" applyAlignment="1">
      <alignment vertical="top" wrapText="1"/>
    </xf>
    <xf numFmtId="3" fontId="8" fillId="105" borderId="7" xfId="0" applyNumberFormat="1" applyFont="1" applyFill="1" applyBorder="1" applyAlignment="1">
      <alignment horizontal="left" vertical="top" wrapText="1"/>
    </xf>
    <xf numFmtId="175" fontId="30" fillId="106" borderId="7" xfId="0" applyNumberFormat="1" applyFont="1" applyFill="1" applyBorder="1" applyAlignment="1">
      <alignment horizontal="center" vertical="center" wrapText="1"/>
    </xf>
    <xf numFmtId="165" fontId="30" fillId="107" borderId="7" xfId="4" applyFont="1" applyFill="1" applyBorder="1" applyAlignment="1">
      <alignment horizontal="center" vertical="center" wrapText="1"/>
    </xf>
    <xf numFmtId="166" fontId="22" fillId="0" borderId="63" xfId="0" applyNumberFormat="1" applyFont="1" applyBorder="1" applyAlignment="1">
      <alignment horizontal="center" vertical="center" wrapText="1"/>
    </xf>
    <xf numFmtId="3" fontId="17" fillId="12" borderId="20" xfId="0" applyNumberFormat="1" applyFont="1" applyFill="1" applyBorder="1" applyAlignment="1">
      <alignment vertical="center" wrapText="1"/>
    </xf>
    <xf numFmtId="1" fontId="17" fillId="12" borderId="20" xfId="0" applyNumberFormat="1" applyFont="1" applyFill="1" applyBorder="1" applyAlignment="1">
      <alignment horizontal="center" vertical="center" wrapText="1"/>
    </xf>
    <xf numFmtId="1" fontId="57" fillId="12" borderId="20" xfId="0" applyNumberFormat="1" applyFont="1" applyFill="1" applyBorder="1" applyAlignment="1">
      <alignment horizontal="center" vertical="center" wrapText="1"/>
    </xf>
    <xf numFmtId="9" fontId="17" fillId="12" borderId="20" xfId="1" applyFont="1" applyFill="1" applyBorder="1" applyAlignment="1">
      <alignment horizontal="center" vertical="center" wrapText="1"/>
    </xf>
    <xf numFmtId="0" fontId="55" fillId="8" borderId="63" xfId="0" applyFont="1" applyFill="1" applyBorder="1" applyAlignment="1">
      <alignment horizontal="center" vertical="center" wrapText="1"/>
    </xf>
    <xf numFmtId="3" fontId="8" fillId="31" borderId="7" xfId="0" applyNumberFormat="1" applyFont="1" applyFill="1" applyBorder="1" applyAlignment="1">
      <alignment vertical="top" wrapText="1"/>
    </xf>
    <xf numFmtId="0" fontId="8" fillId="105" borderId="19" xfId="0" applyFont="1" applyFill="1" applyBorder="1" applyAlignment="1">
      <alignment horizontal="left" vertical="top" wrapText="1"/>
    </xf>
    <xf numFmtId="170" fontId="8" fillId="31" borderId="7" xfId="0" applyNumberFormat="1" applyFont="1" applyFill="1" applyBorder="1" applyAlignment="1">
      <alignment horizontal="center" vertical="center" wrapText="1"/>
    </xf>
    <xf numFmtId="3" fontId="8" fillId="105" borderId="7" xfId="0" applyNumberFormat="1" applyFont="1" applyFill="1" applyBorder="1" applyAlignment="1">
      <alignment vertical="top" wrapText="1"/>
    </xf>
    <xf numFmtId="0" fontId="8" fillId="31" borderId="63" xfId="0" applyFont="1" applyFill="1" applyBorder="1" applyAlignment="1">
      <alignment horizontal="left" vertical="top" wrapText="1"/>
    </xf>
    <xf numFmtId="3" fontId="8" fillId="108" borderId="7" xfId="0" applyNumberFormat="1" applyFont="1" applyFill="1" applyBorder="1" applyAlignment="1">
      <alignment horizontal="left" vertical="top" wrapText="1"/>
    </xf>
    <xf numFmtId="0" fontId="8" fillId="31" borderId="0" xfId="0" applyFont="1" applyFill="1" applyAlignment="1">
      <alignment vertical="top" wrapText="1"/>
    </xf>
    <xf numFmtId="0" fontId="57" fillId="31" borderId="63" xfId="0" applyFont="1" applyFill="1" applyBorder="1" applyAlignment="1">
      <alignment horizontal="left" vertical="top" wrapText="1"/>
    </xf>
    <xf numFmtId="0" fontId="8" fillId="105" borderId="7" xfId="0" applyFont="1" applyFill="1" applyBorder="1" applyAlignment="1">
      <alignment horizontal="left" vertical="top" wrapText="1"/>
    </xf>
    <xf numFmtId="1" fontId="8" fillId="105" borderId="7" xfId="0" applyNumberFormat="1" applyFont="1" applyFill="1" applyBorder="1" applyAlignment="1">
      <alignment horizontal="center" vertical="center" wrapText="1"/>
    </xf>
    <xf numFmtId="0" fontId="57" fillId="105" borderId="63" xfId="0" applyFont="1" applyFill="1" applyBorder="1" applyAlignment="1">
      <alignment vertical="top" wrapText="1"/>
    </xf>
    <xf numFmtId="0" fontId="8" fillId="31" borderId="0" xfId="0" applyFont="1" applyFill="1" applyAlignment="1">
      <alignment horizontal="left" vertical="top" wrapText="1"/>
    </xf>
    <xf numFmtId="1" fontId="8" fillId="31" borderId="7" xfId="0" applyNumberFormat="1" applyFont="1" applyFill="1" applyBorder="1" applyAlignment="1">
      <alignment horizontal="center" vertical="center" wrapText="1"/>
    </xf>
    <xf numFmtId="0" fontId="8" fillId="105" borderId="7" xfId="14" applyFont="1" applyFill="1" applyBorder="1" applyAlignment="1">
      <alignment vertical="top" wrapText="1"/>
    </xf>
    <xf numFmtId="0" fontId="8" fillId="31" borderId="7" xfId="14" applyFont="1" applyFill="1" applyBorder="1" applyAlignment="1">
      <alignment vertical="top" wrapText="1"/>
    </xf>
    <xf numFmtId="0" fontId="8" fillId="31" borderId="7" xfId="0" applyFont="1" applyFill="1" applyBorder="1" applyAlignment="1">
      <alignment vertical="top" wrapText="1"/>
    </xf>
    <xf numFmtId="0" fontId="8" fillId="31" borderId="19" xfId="0" applyFont="1" applyFill="1" applyBorder="1" applyAlignment="1">
      <alignment vertical="top" wrapText="1"/>
    </xf>
    <xf numFmtId="0" fontId="8" fillId="105" borderId="7" xfId="0" applyFont="1" applyFill="1" applyBorder="1" applyAlignment="1">
      <alignment vertical="top" wrapText="1"/>
    </xf>
    <xf numFmtId="0" fontId="8" fillId="83" borderId="7" xfId="0" applyFont="1" applyFill="1" applyBorder="1" applyAlignment="1">
      <alignment vertical="top" wrapText="1"/>
    </xf>
    <xf numFmtId="2" fontId="8" fillId="83" borderId="7" xfId="0" applyNumberFormat="1" applyFont="1" applyFill="1" applyBorder="1" applyAlignment="1">
      <alignment horizontal="center" vertical="center" wrapText="1"/>
    </xf>
    <xf numFmtId="170" fontId="8" fillId="105" borderId="7" xfId="0" applyNumberFormat="1" applyFont="1" applyFill="1" applyBorder="1" applyAlignment="1">
      <alignment horizontal="center" vertical="center" wrapText="1"/>
    </xf>
    <xf numFmtId="0" fontId="55" fillId="33" borderId="7" xfId="0" applyFont="1" applyFill="1" applyBorder="1" applyAlignment="1">
      <alignment horizontal="center" vertical="center" wrapText="1"/>
    </xf>
    <xf numFmtId="0" fontId="55" fillId="33" borderId="7" xfId="4" applyNumberFormat="1" applyFont="1" applyFill="1" applyBorder="1" applyAlignment="1">
      <alignment horizontal="center" vertical="center" wrapText="1"/>
    </xf>
    <xf numFmtId="165" fontId="8" fillId="30" borderId="7" xfId="4" applyFont="1" applyFill="1" applyBorder="1" applyAlignment="1">
      <alignment vertical="center" wrapText="1"/>
    </xf>
    <xf numFmtId="165" fontId="8" fillId="0" borderId="7" xfId="4" applyFont="1" applyFill="1" applyBorder="1" applyAlignment="1">
      <alignment vertical="center" wrapText="1"/>
    </xf>
    <xf numFmtId="43" fontId="10" fillId="58" borderId="12" xfId="2" applyFont="1" applyFill="1" applyBorder="1"/>
    <xf numFmtId="4" fontId="10" fillId="31" borderId="12" xfId="0" applyNumberFormat="1" applyFont="1" applyFill="1" applyBorder="1"/>
    <xf numFmtId="166" fontId="30" fillId="106" borderId="7" xfId="1" applyNumberFormat="1" applyFont="1" applyFill="1" applyBorder="1" applyAlignment="1">
      <alignment horizontal="center" vertical="center" wrapText="1"/>
    </xf>
    <xf numFmtId="166" fontId="17" fillId="13" borderId="7" xfId="1" applyNumberFormat="1" applyFont="1" applyFill="1" applyBorder="1" applyAlignment="1">
      <alignment horizontal="center" vertical="center" wrapText="1"/>
    </xf>
    <xf numFmtId="166" fontId="17" fillId="36" borderId="28" xfId="1" applyNumberFormat="1" applyFont="1" applyFill="1" applyBorder="1" applyAlignment="1">
      <alignment horizontal="center" vertical="center" wrapText="1"/>
    </xf>
    <xf numFmtId="166" fontId="17" fillId="0" borderId="28" xfId="1" applyNumberFormat="1" applyFont="1" applyBorder="1" applyAlignment="1">
      <alignment horizontal="center" vertical="center" wrapText="1"/>
    </xf>
    <xf numFmtId="166" fontId="17" fillId="16" borderId="7" xfId="1" applyNumberFormat="1" applyFont="1" applyFill="1" applyBorder="1" applyAlignment="1">
      <alignment horizontal="center" vertical="center" wrapText="1"/>
    </xf>
    <xf numFmtId="166" fontId="17" fillId="4" borderId="7" xfId="1" applyNumberFormat="1" applyFont="1" applyFill="1" applyBorder="1" applyAlignment="1">
      <alignment horizontal="center" vertical="center" wrapText="1"/>
    </xf>
    <xf numFmtId="166" fontId="17" fillId="12" borderId="7" xfId="1" applyNumberFormat="1" applyFont="1" applyFill="1" applyBorder="1" applyAlignment="1">
      <alignment horizontal="center" vertical="center" wrapText="1"/>
    </xf>
    <xf numFmtId="166" fontId="17" fillId="4" borderId="28" xfId="1" applyNumberFormat="1" applyFont="1" applyFill="1" applyBorder="1" applyAlignment="1">
      <alignment horizontal="center" vertical="center" wrapText="1"/>
    </xf>
    <xf numFmtId="166" fontId="17" fillId="4" borderId="20" xfId="1" applyNumberFormat="1" applyFont="1" applyFill="1" applyBorder="1" applyAlignment="1">
      <alignment horizontal="center" vertical="center" wrapText="1"/>
    </xf>
    <xf numFmtId="166" fontId="17" fillId="26" borderId="7" xfId="1" applyNumberFormat="1" applyFont="1" applyFill="1" applyBorder="1" applyAlignment="1">
      <alignment horizontal="center" vertical="center" wrapText="1"/>
    </xf>
    <xf numFmtId="165" fontId="8" fillId="0" borderId="75" xfId="4" applyFont="1" applyBorder="1" applyAlignment="1">
      <alignment vertical="center" wrapText="1"/>
    </xf>
    <xf numFmtId="165" fontId="103" fillId="0" borderId="63" xfId="4" applyFont="1" applyBorder="1" applyAlignment="1">
      <alignment horizontal="right" vertical="center"/>
    </xf>
    <xf numFmtId="3" fontId="17" fillId="0" borderId="27" xfId="0" applyNumberFormat="1" applyFont="1" applyBorder="1" applyAlignment="1">
      <alignment vertical="center" wrapText="1"/>
    </xf>
    <xf numFmtId="0" fontId="8" fillId="0" borderId="27" xfId="0" applyFont="1" applyBorder="1" applyAlignment="1">
      <alignment vertical="center" wrapText="1"/>
    </xf>
    <xf numFmtId="165" fontId="17" fillId="0" borderId="28" xfId="4" applyFont="1" applyBorder="1" applyAlignment="1">
      <alignment vertical="center" wrapText="1"/>
    </xf>
    <xf numFmtId="165" fontId="17" fillId="0" borderId="83" xfId="4" applyFont="1" applyBorder="1" applyAlignment="1">
      <alignment vertical="center" wrapText="1"/>
    </xf>
    <xf numFmtId="165" fontId="21" fillId="0" borderId="84" xfId="4" applyFont="1" applyBorder="1" applyAlignment="1"/>
    <xf numFmtId="187" fontId="17" fillId="4" borderId="30" xfId="0" applyNumberFormat="1" applyFont="1" applyFill="1" applyBorder="1" applyAlignment="1">
      <alignment horizontal="right" vertical="center" wrapText="1"/>
    </xf>
    <xf numFmtId="187" fontId="8" fillId="0" borderId="63" xfId="0" applyNumberFormat="1" applyFont="1" applyBorder="1" applyAlignment="1">
      <alignment horizontal="right" vertical="center" wrapText="1"/>
    </xf>
    <xf numFmtId="175" fontId="30" fillId="109" borderId="7" xfId="0" applyNumberFormat="1" applyFont="1" applyFill="1" applyBorder="1" applyAlignment="1">
      <alignment horizontal="center" vertical="center" wrapText="1"/>
    </xf>
    <xf numFmtId="10" fontId="17" fillId="13" borderId="7" xfId="1" applyNumberFormat="1" applyFont="1" applyFill="1" applyBorder="1" applyAlignment="1">
      <alignment horizontal="center" vertical="center" wrapText="1"/>
    </xf>
    <xf numFmtId="10" fontId="17" fillId="36" borderId="7" xfId="1" applyNumberFormat="1" applyFont="1" applyFill="1" applyBorder="1" applyAlignment="1">
      <alignment horizontal="center" vertical="center" wrapText="1"/>
    </xf>
    <xf numFmtId="10" fontId="8" fillId="0" borderId="7" xfId="1" applyNumberFormat="1" applyFont="1" applyBorder="1" applyAlignment="1">
      <alignment horizontal="center" vertical="center" wrapText="1"/>
    </xf>
    <xf numFmtId="10" fontId="17" fillId="16" borderId="7" xfId="1" applyNumberFormat="1" applyFont="1" applyFill="1" applyBorder="1" applyAlignment="1">
      <alignment horizontal="center" vertical="center" wrapText="1"/>
    </xf>
    <xf numFmtId="10" fontId="17" fillId="0" borderId="7" xfId="1" applyNumberFormat="1" applyFont="1" applyBorder="1" applyAlignment="1">
      <alignment horizontal="center" vertical="center" wrapText="1"/>
    </xf>
    <xf numFmtId="10" fontId="17" fillId="4" borderId="7" xfId="1" applyNumberFormat="1" applyFont="1" applyFill="1" applyBorder="1" applyAlignment="1">
      <alignment horizontal="center" vertical="center" wrapText="1"/>
    </xf>
    <xf numFmtId="10" fontId="17" fillId="12" borderId="7" xfId="1" applyNumberFormat="1" applyFont="1" applyFill="1" applyBorder="1" applyAlignment="1">
      <alignment horizontal="center" vertical="center" wrapText="1"/>
    </xf>
    <xf numFmtId="10" fontId="8" fillId="0" borderId="28" xfId="1" applyNumberFormat="1" applyFont="1" applyBorder="1" applyAlignment="1">
      <alignment horizontal="center" vertical="center" wrapText="1"/>
    </xf>
    <xf numFmtId="10" fontId="17" fillId="4" borderId="20" xfId="1" applyNumberFormat="1" applyFont="1" applyFill="1" applyBorder="1" applyAlignment="1">
      <alignment horizontal="center" vertical="center" wrapText="1"/>
    </xf>
    <xf numFmtId="10" fontId="17" fillId="94" borderId="7" xfId="1" applyNumberFormat="1" applyFont="1" applyFill="1" applyBorder="1" applyAlignment="1">
      <alignment horizontal="center" vertical="center" wrapText="1"/>
    </xf>
    <xf numFmtId="10" fontId="17" fillId="26" borderId="7" xfId="1" applyNumberFormat="1" applyFont="1" applyFill="1" applyBorder="1" applyAlignment="1">
      <alignment horizontal="center" vertical="center" wrapText="1"/>
    </xf>
    <xf numFmtId="10" fontId="31" fillId="9" borderId="7" xfId="1" applyNumberFormat="1" applyFont="1" applyFill="1" applyBorder="1" applyAlignment="1">
      <alignment horizontal="center" vertical="center" wrapText="1"/>
    </xf>
    <xf numFmtId="43" fontId="10" fillId="0" borderId="12" xfId="2" applyFont="1" applyFill="1" applyBorder="1" applyAlignment="1">
      <alignment vertical="center"/>
    </xf>
    <xf numFmtId="175" fontId="30" fillId="110" borderId="7" xfId="0" applyNumberFormat="1" applyFont="1" applyFill="1" applyBorder="1" applyAlignment="1">
      <alignment horizontal="center" vertical="center" wrapText="1"/>
    </xf>
    <xf numFmtId="43" fontId="17" fillId="12" borderId="7" xfId="2" applyFont="1" applyFill="1" applyBorder="1" applyAlignment="1">
      <alignment horizontal="center" vertical="center" wrapText="1"/>
    </xf>
    <xf numFmtId="43" fontId="17" fillId="13" borderId="7" xfId="2" applyFont="1" applyFill="1" applyBorder="1" applyAlignment="1">
      <alignment horizontal="center" vertical="center" wrapText="1"/>
    </xf>
    <xf numFmtId="43" fontId="17" fillId="36" borderId="7" xfId="2" applyFont="1" applyFill="1" applyBorder="1" applyAlignment="1">
      <alignment horizontal="center" vertical="center" wrapText="1"/>
    </xf>
    <xf numFmtId="43" fontId="17" fillId="0" borderId="7" xfId="2" applyFont="1" applyBorder="1" applyAlignment="1">
      <alignment horizontal="center" vertical="center" wrapText="1"/>
    </xf>
    <xf numFmtId="43" fontId="17" fillId="16" borderId="7" xfId="2" applyFont="1" applyFill="1" applyBorder="1" applyAlignment="1">
      <alignment horizontal="center" vertical="center" wrapText="1"/>
    </xf>
    <xf numFmtId="43" fontId="17" fillId="4" borderId="7" xfId="2" applyFont="1" applyFill="1" applyBorder="1" applyAlignment="1">
      <alignment horizontal="center" vertical="center" wrapText="1"/>
    </xf>
    <xf numFmtId="43" fontId="17" fillId="26" borderId="7" xfId="2" applyFont="1" applyFill="1" applyBorder="1" applyAlignment="1">
      <alignment horizontal="center" vertical="center" wrapText="1"/>
    </xf>
    <xf numFmtId="43" fontId="31" fillId="4" borderId="7" xfId="2" applyFont="1" applyFill="1" applyBorder="1" applyAlignment="1">
      <alignment vertical="center" wrapText="1"/>
    </xf>
    <xf numFmtId="10" fontId="31" fillId="4" borderId="7" xfId="0" applyNumberFormat="1" applyFont="1" applyFill="1" applyBorder="1" applyAlignment="1">
      <alignment horizontal="center" vertical="center" wrapText="1"/>
    </xf>
    <xf numFmtId="0" fontId="8" fillId="0" borderId="0" xfId="0" applyFont="1" applyFill="1" applyAlignment="1">
      <alignment vertical="top" wrapText="1"/>
    </xf>
    <xf numFmtId="0" fontId="115" fillId="0" borderId="0" xfId="0" applyFont="1" applyAlignment="1">
      <alignment horizontal="left" vertical="center" wrapText="1"/>
    </xf>
    <xf numFmtId="3" fontId="8" fillId="0" borderId="28" xfId="0" applyNumberFormat="1" applyFont="1" applyBorder="1" applyAlignment="1">
      <alignment horizontal="center" vertical="center" wrapText="1"/>
    </xf>
    <xf numFmtId="9" fontId="8" fillId="0" borderId="28" xfId="0" applyNumberFormat="1" applyFont="1" applyBorder="1" applyAlignment="1">
      <alignment horizontal="center" vertical="center" wrapText="1"/>
    </xf>
    <xf numFmtId="1" fontId="17" fillId="16" borderId="30" xfId="0" applyNumberFormat="1" applyFont="1" applyFill="1" applyBorder="1" applyAlignment="1">
      <alignment vertical="center" wrapText="1"/>
    </xf>
    <xf numFmtId="3" fontId="8" fillId="0" borderId="79" xfId="0" applyNumberFormat="1" applyFont="1" applyBorder="1" applyAlignment="1">
      <alignment vertical="center" wrapText="1"/>
    </xf>
    <xf numFmtId="0" fontId="103" fillId="0" borderId="19" xfId="0" applyFont="1" applyBorder="1" applyAlignment="1">
      <alignment vertical="center" wrapText="1"/>
    </xf>
    <xf numFmtId="3" fontId="8" fillId="0" borderId="63" xfId="0" applyNumberFormat="1" applyFont="1" applyBorder="1" applyAlignment="1">
      <alignment vertical="center" wrapText="1"/>
    </xf>
    <xf numFmtId="0" fontId="0" fillId="0" borderId="63" xfId="0" applyBorder="1" applyAlignment="1">
      <alignment vertical="center" wrapText="1"/>
    </xf>
    <xf numFmtId="0" fontId="103" fillId="0" borderId="63" xfId="0" applyFont="1" applyBorder="1" applyAlignment="1">
      <alignment vertical="center" wrapText="1"/>
    </xf>
    <xf numFmtId="166" fontId="0" fillId="0" borderId="0" xfId="1" applyNumberFormat="1" applyFont="1"/>
    <xf numFmtId="0" fontId="9" fillId="3" borderId="4" xfId="0" applyFont="1" applyFill="1" applyBorder="1" applyAlignment="1">
      <alignment horizontal="center" vertical="center" wrapText="1"/>
    </xf>
    <xf numFmtId="0" fontId="10" fillId="0" borderId="5" xfId="0" applyFont="1" applyBorder="1"/>
    <xf numFmtId="0" fontId="10" fillId="0" borderId="6" xfId="0" applyFont="1" applyBorder="1"/>
    <xf numFmtId="0" fontId="68" fillId="14" borderId="63" xfId="0" applyFont="1" applyFill="1" applyBorder="1" applyAlignment="1">
      <alignment horizontal="center" vertical="center" wrapText="1"/>
    </xf>
    <xf numFmtId="0" fontId="71" fillId="0" borderId="63" xfId="0" applyFont="1" applyBorder="1" applyAlignment="1">
      <alignment horizontal="center" vertical="center"/>
    </xf>
    <xf numFmtId="0" fontId="66" fillId="8" borderId="27" xfId="0" applyFont="1" applyFill="1" applyBorder="1" applyAlignment="1">
      <alignment horizontal="center" vertical="center" wrapText="1"/>
    </xf>
    <xf numFmtId="0" fontId="66" fillId="8" borderId="12" xfId="0" applyFont="1" applyFill="1" applyBorder="1" applyAlignment="1">
      <alignment horizontal="center" vertical="center" wrapText="1"/>
    </xf>
    <xf numFmtId="0" fontId="66" fillId="8" borderId="28" xfId="0" applyFont="1" applyFill="1" applyBorder="1" applyAlignment="1">
      <alignment horizontal="center" vertical="center" wrapText="1"/>
    </xf>
    <xf numFmtId="0" fontId="68" fillId="0" borderId="63" xfId="0" applyFont="1" applyBorder="1" applyAlignment="1">
      <alignment horizontal="center" vertical="center" wrapText="1"/>
    </xf>
    <xf numFmtId="0" fontId="66" fillId="4" borderId="11" xfId="0" applyFont="1" applyFill="1" applyBorder="1" applyAlignment="1">
      <alignment horizontal="center" vertical="top" wrapText="1"/>
    </xf>
    <xf numFmtId="0" fontId="71" fillId="0" borderId="13" xfId="0" applyFont="1" applyBorder="1" applyAlignment="1">
      <alignment vertical="top"/>
    </xf>
    <xf numFmtId="0" fontId="68" fillId="0" borderId="11" xfId="0" applyFont="1" applyBorder="1" applyAlignment="1">
      <alignment horizontal="left" vertical="top" wrapText="1"/>
    </xf>
    <xf numFmtId="0" fontId="71" fillId="0" borderId="12" xfId="0" applyFont="1" applyBorder="1" applyAlignment="1">
      <alignment vertical="top"/>
    </xf>
    <xf numFmtId="0" fontId="17" fillId="5" borderId="27"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7" fillId="5" borderId="28" xfId="0" applyFont="1" applyFill="1" applyBorder="1" applyAlignment="1">
      <alignment horizontal="center" vertical="center" wrapText="1"/>
    </xf>
    <xf numFmtId="0" fontId="55" fillId="6" borderId="30"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18" fillId="6" borderId="79" xfId="0" applyFont="1" applyFill="1" applyBorder="1" applyAlignment="1">
      <alignment horizontal="center" vertical="center" wrapText="1"/>
    </xf>
    <xf numFmtId="0" fontId="18" fillId="6" borderId="72" xfId="0" applyFont="1" applyFill="1" applyBorder="1" applyAlignment="1">
      <alignment horizontal="center" vertical="center" wrapText="1"/>
    </xf>
    <xf numFmtId="0" fontId="18" fillId="6" borderId="73" xfId="0" applyFont="1" applyFill="1" applyBorder="1" applyAlignment="1">
      <alignment horizontal="center" vertical="center" wrapText="1"/>
    </xf>
    <xf numFmtId="0" fontId="55" fillId="10" borderId="30" xfId="0" applyFont="1" applyFill="1" applyBorder="1" applyAlignment="1">
      <alignment horizontal="center" vertical="center" wrapText="1"/>
    </xf>
    <xf numFmtId="0" fontId="55" fillId="10" borderId="20" xfId="0" applyFont="1" applyFill="1" applyBorder="1" applyAlignment="1">
      <alignment horizontal="center" vertical="center" wrapText="1"/>
    </xf>
    <xf numFmtId="0" fontId="55" fillId="111" borderId="30" xfId="0" applyFont="1" applyFill="1" applyBorder="1" applyAlignment="1">
      <alignment horizontal="center" vertical="center" wrapText="1"/>
    </xf>
    <xf numFmtId="0" fontId="55" fillId="111" borderId="20" xfId="0" applyFont="1" applyFill="1" applyBorder="1" applyAlignment="1">
      <alignment horizontal="center" vertical="center" wrapText="1"/>
    </xf>
    <xf numFmtId="0" fontId="55" fillId="11" borderId="30" xfId="0" applyFont="1" applyFill="1" applyBorder="1" applyAlignment="1">
      <alignment horizontal="center" vertical="center" wrapText="1"/>
    </xf>
    <xf numFmtId="0" fontId="55" fillId="11" borderId="20" xfId="0" applyFont="1" applyFill="1" applyBorder="1" applyAlignment="1">
      <alignment horizontal="center" vertical="center" wrapText="1"/>
    </xf>
    <xf numFmtId="0" fontId="55" fillId="33" borderId="30" xfId="0" applyFont="1" applyFill="1" applyBorder="1" applyAlignment="1">
      <alignment horizontal="center" vertical="center" wrapText="1"/>
    </xf>
    <xf numFmtId="0" fontId="55" fillId="33" borderId="20" xfId="0" applyFont="1" applyFill="1" applyBorder="1" applyAlignment="1">
      <alignment horizontal="center" vertical="center" wrapText="1"/>
    </xf>
    <xf numFmtId="10" fontId="55" fillId="34" borderId="30" xfId="0" applyNumberFormat="1" applyFont="1" applyFill="1" applyBorder="1" applyAlignment="1">
      <alignment horizontal="center" vertical="center" wrapText="1"/>
    </xf>
    <xf numFmtId="10" fontId="55" fillId="34" borderId="20" xfId="0" applyNumberFormat="1" applyFont="1" applyFill="1" applyBorder="1" applyAlignment="1">
      <alignment horizontal="center" vertical="center" wrapText="1"/>
    </xf>
    <xf numFmtId="0" fontId="55" fillId="8" borderId="80" xfId="0" applyFont="1" applyFill="1" applyBorder="1" applyAlignment="1">
      <alignment horizontal="center" vertical="center" wrapText="1"/>
    </xf>
    <xf numFmtId="0" fontId="55" fillId="8" borderId="20" xfId="0" applyFont="1" applyFill="1" applyBorder="1" applyAlignment="1">
      <alignment horizontal="center" vertical="center" wrapText="1"/>
    </xf>
    <xf numFmtId="0" fontId="55" fillId="8" borderId="81" xfId="0" applyFont="1" applyFill="1" applyBorder="1" applyAlignment="1">
      <alignment horizontal="center" vertical="center" wrapText="1"/>
    </xf>
    <xf numFmtId="0" fontId="55" fillId="9" borderId="63"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80" fillId="0" borderId="17" xfId="0" applyFont="1" applyBorder="1"/>
    <xf numFmtId="0" fontId="80" fillId="0" borderId="18" xfId="0" applyFont="1" applyBorder="1"/>
    <xf numFmtId="0" fontId="28" fillId="14" borderId="1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10" fillId="0" borderId="9" xfId="0" applyFont="1" applyBorder="1"/>
    <xf numFmtId="0" fontId="10" fillId="0" borderId="19" xfId="0" applyFont="1" applyBorder="1"/>
    <xf numFmtId="0" fontId="10" fillId="0" borderId="10" xfId="0" applyFont="1" applyBorder="1"/>
    <xf numFmtId="0" fontId="17" fillId="3" borderId="8"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2" fillId="7" borderId="63" xfId="0" applyFont="1" applyFill="1" applyBorder="1" applyAlignment="1">
      <alignment horizontal="center" vertical="center" wrapText="1"/>
    </xf>
    <xf numFmtId="0" fontId="80" fillId="0" borderId="63" xfId="0" applyFont="1" applyBorder="1"/>
    <xf numFmtId="0" fontId="55" fillId="8" borderId="63" xfId="0" applyFont="1" applyFill="1" applyBorder="1" applyAlignment="1">
      <alignment horizontal="center" vertical="center" wrapText="1"/>
    </xf>
    <xf numFmtId="165" fontId="55" fillId="33" borderId="27" xfId="4" applyFont="1" applyFill="1" applyBorder="1" applyAlignment="1">
      <alignment horizontal="center" vertical="center" wrapText="1"/>
    </xf>
    <xf numFmtId="165" fontId="55" fillId="33" borderId="12" xfId="4" applyFont="1" applyFill="1" applyBorder="1" applyAlignment="1">
      <alignment horizontal="center" vertical="center" wrapText="1"/>
    </xf>
    <xf numFmtId="165" fontId="55" fillId="33" borderId="28" xfId="4" applyFont="1" applyFill="1" applyBorder="1" applyAlignment="1">
      <alignment horizontal="center" vertical="center" wrapText="1"/>
    </xf>
    <xf numFmtId="0" fontId="17" fillId="3" borderId="36"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55" fillId="4" borderId="30" xfId="0" applyFont="1" applyFill="1" applyBorder="1" applyAlignment="1">
      <alignment horizontal="center" vertical="center" wrapText="1"/>
    </xf>
    <xf numFmtId="0" fontId="55" fillId="4" borderId="20" xfId="0" applyFont="1" applyFill="1" applyBorder="1" applyAlignment="1">
      <alignment horizontal="center" vertical="center" wrapText="1"/>
    </xf>
    <xf numFmtId="0" fontId="55" fillId="8" borderId="75" xfId="0" applyFont="1" applyFill="1" applyBorder="1" applyAlignment="1">
      <alignment horizontal="center" vertical="center" wrapText="1"/>
    </xf>
    <xf numFmtId="0" fontId="55" fillId="8" borderId="79" xfId="0" applyFont="1" applyFill="1" applyBorder="1" applyAlignment="1">
      <alignment horizontal="center" vertical="center" wrapText="1"/>
    </xf>
    <xf numFmtId="0" fontId="55" fillId="112" borderId="82" xfId="0" applyFont="1" applyFill="1" applyBorder="1" applyAlignment="1">
      <alignment horizontal="center" vertical="center" wrapText="1"/>
    </xf>
    <xf numFmtId="0" fontId="55" fillId="112" borderId="73" xfId="0" applyFont="1" applyFill="1" applyBorder="1" applyAlignment="1">
      <alignment horizontal="center" vertical="center" wrapText="1"/>
    </xf>
    <xf numFmtId="0" fontId="55" fillId="33" borderId="27" xfId="0" applyFont="1" applyFill="1" applyBorder="1" applyAlignment="1">
      <alignment horizontal="center" vertical="center" wrapText="1"/>
    </xf>
    <xf numFmtId="0" fontId="55" fillId="33" borderId="12" xfId="0" applyFont="1" applyFill="1" applyBorder="1" applyAlignment="1">
      <alignment horizontal="center" vertical="center" wrapText="1"/>
    </xf>
    <xf numFmtId="0" fontId="55" fillId="33" borderId="28" xfId="0" applyFont="1" applyFill="1" applyBorder="1" applyAlignment="1">
      <alignment horizontal="center" vertical="center" wrapText="1"/>
    </xf>
    <xf numFmtId="0" fontId="12" fillId="14" borderId="16" xfId="0" applyFont="1" applyFill="1" applyBorder="1" applyAlignment="1">
      <alignment horizontal="left" vertical="center" wrapText="1"/>
    </xf>
    <xf numFmtId="0" fontId="28" fillId="14" borderId="14" xfId="0" applyFont="1" applyFill="1" applyBorder="1" applyAlignment="1">
      <alignment horizontal="center" vertical="center" wrapText="1"/>
    </xf>
    <xf numFmtId="0" fontId="80" fillId="0" borderId="15" xfId="0" applyFont="1" applyBorder="1"/>
    <xf numFmtId="0" fontId="28" fillId="14" borderId="16" xfId="0" applyFont="1" applyFill="1" applyBorder="1" applyAlignment="1">
      <alignment horizontal="left" vertical="center" wrapText="1"/>
    </xf>
    <xf numFmtId="0" fontId="12" fillId="0" borderId="16" xfId="0" applyFont="1" applyBorder="1" applyAlignment="1">
      <alignment horizontal="center" vertical="center" wrapText="1"/>
    </xf>
    <xf numFmtId="0" fontId="30" fillId="4" borderId="11"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10" fillId="0" borderId="13" xfId="0" applyFont="1" applyBorder="1"/>
    <xf numFmtId="0" fontId="11" fillId="0" borderId="19" xfId="3" applyFont="1" applyAlignment="1">
      <alignment horizontal="center"/>
    </xf>
    <xf numFmtId="49" fontId="72" fillId="0" borderId="42" xfId="0" quotePrefix="1" applyNumberFormat="1" applyFont="1" applyBorder="1" applyAlignment="1">
      <alignment horizontal="center" vertical="center" wrapText="1"/>
    </xf>
    <xf numFmtId="0" fontId="10" fillId="0" borderId="43" xfId="0" applyFont="1" applyBorder="1"/>
    <xf numFmtId="0" fontId="10" fillId="0" borderId="44" xfId="0" applyFont="1" applyBorder="1"/>
    <xf numFmtId="49" fontId="72" fillId="15" borderId="41" xfId="0" applyNumberFormat="1" applyFont="1" applyFill="1" applyBorder="1" applyAlignment="1">
      <alignment horizontal="center" vertical="center" wrapText="1"/>
    </xf>
    <xf numFmtId="49" fontId="72" fillId="15" borderId="45" xfId="0" applyNumberFormat="1" applyFont="1" applyFill="1" applyBorder="1" applyAlignment="1">
      <alignment horizontal="center" vertical="center" wrapText="1"/>
    </xf>
    <xf numFmtId="49" fontId="72" fillId="15" borderId="41" xfId="0" quotePrefix="1" applyNumberFormat="1" applyFont="1" applyFill="1" applyBorder="1" applyAlignment="1">
      <alignment horizontal="center" vertical="center" wrapText="1"/>
    </xf>
    <xf numFmtId="49" fontId="72" fillId="15" borderId="45" xfId="0" quotePrefix="1" applyNumberFormat="1" applyFont="1" applyFill="1" applyBorder="1" applyAlignment="1">
      <alignment horizontal="center" vertical="center" wrapText="1"/>
    </xf>
    <xf numFmtId="49" fontId="72" fillId="0" borderId="61" xfId="3" applyNumberFormat="1" applyFont="1" applyBorder="1" applyAlignment="1">
      <alignment horizontal="center" vertical="center"/>
    </xf>
    <xf numFmtId="49" fontId="72" fillId="0" borderId="58" xfId="3" applyNumberFormat="1" applyFont="1" applyBorder="1" applyAlignment="1">
      <alignment horizontal="center" vertical="center"/>
    </xf>
    <xf numFmtId="0" fontId="72" fillId="0" borderId="61" xfId="3" applyFont="1" applyBorder="1" applyAlignment="1">
      <alignment horizontal="center" vertical="center" wrapText="1"/>
    </xf>
    <xf numFmtId="0" fontId="72" fillId="0" borderId="58" xfId="3" applyFont="1" applyBorder="1" applyAlignment="1">
      <alignment horizontal="center" vertical="center" wrapText="1"/>
    </xf>
    <xf numFmtId="0" fontId="61" fillId="0" borderId="48" xfId="3" applyFont="1" applyBorder="1" applyAlignment="1">
      <alignment horizontal="center"/>
    </xf>
    <xf numFmtId="0" fontId="61" fillId="0" borderId="49" xfId="3" applyFont="1" applyBorder="1" applyAlignment="1">
      <alignment horizontal="center"/>
    </xf>
    <xf numFmtId="0" fontId="60" fillId="0" borderId="49" xfId="3" applyBorder="1" applyAlignment="1">
      <alignment horizontal="center"/>
    </xf>
    <xf numFmtId="0" fontId="61" fillId="0" borderId="50" xfId="3" applyFont="1" applyBorder="1" applyAlignment="1">
      <alignment horizontal="center"/>
    </xf>
    <xf numFmtId="0" fontId="61" fillId="0" borderId="51" xfId="3" applyFont="1" applyBorder="1" applyAlignment="1">
      <alignment horizontal="center"/>
    </xf>
    <xf numFmtId="0" fontId="61" fillId="0" borderId="19" xfId="3" applyFont="1" applyAlignment="1">
      <alignment horizontal="center"/>
    </xf>
    <xf numFmtId="0" fontId="60" fillId="0" borderId="19" xfId="3" applyAlignment="1">
      <alignment horizontal="center"/>
    </xf>
    <xf numFmtId="0" fontId="61" fillId="0" borderId="52" xfId="3" applyFont="1" applyBorder="1" applyAlignment="1">
      <alignment horizontal="center"/>
    </xf>
    <xf numFmtId="0" fontId="61" fillId="0" borderId="53" xfId="3" applyFont="1" applyBorder="1" applyAlignment="1">
      <alignment horizontal="center"/>
    </xf>
    <xf numFmtId="0" fontId="61" fillId="0" borderId="54" xfId="3" applyFont="1" applyBorder="1" applyAlignment="1">
      <alignment horizontal="center"/>
    </xf>
    <xf numFmtId="0" fontId="60" fillId="0" borderId="54" xfId="3" applyBorder="1" applyAlignment="1">
      <alignment horizontal="center"/>
    </xf>
    <xf numFmtId="0" fontId="61" fillId="0" borderId="55" xfId="3" applyFont="1" applyBorder="1" applyAlignment="1">
      <alignment horizontal="center"/>
    </xf>
    <xf numFmtId="0" fontId="84" fillId="0" borderId="56" xfId="10" applyFont="1" applyBorder="1" applyAlignment="1">
      <alignment horizontal="center" vertical="center" wrapText="1"/>
    </xf>
    <xf numFmtId="0" fontId="84" fillId="0" borderId="56" xfId="10" applyFont="1" applyBorder="1" applyAlignment="1">
      <alignment horizontal="center" vertical="center"/>
    </xf>
    <xf numFmtId="0" fontId="84" fillId="0" borderId="57" xfId="10" applyFont="1" applyBorder="1" applyAlignment="1">
      <alignment horizontal="center" vertical="center"/>
    </xf>
    <xf numFmtId="49" fontId="72" fillId="0" borderId="58" xfId="3" applyNumberFormat="1" applyFont="1" applyBorder="1" applyAlignment="1">
      <alignment horizontal="center" vertical="center" wrapText="1"/>
    </xf>
    <xf numFmtId="49" fontId="72" fillId="0" borderId="62" xfId="3" applyNumberFormat="1" applyFont="1" applyBorder="1" applyAlignment="1">
      <alignment horizontal="center" vertical="center" wrapText="1"/>
    </xf>
    <xf numFmtId="49" fontId="54" fillId="0" borderId="58" xfId="3" applyNumberFormat="1" applyFont="1" applyBorder="1" applyAlignment="1">
      <alignment horizontal="center" vertical="center" wrapText="1"/>
    </xf>
    <xf numFmtId="49" fontId="72" fillId="0" borderId="59" xfId="3" applyNumberFormat="1" applyFont="1" applyBorder="1" applyAlignment="1">
      <alignment horizontal="center" vertical="center" wrapText="1"/>
    </xf>
    <xf numFmtId="49" fontId="72" fillId="0" borderId="56" xfId="3" applyNumberFormat="1" applyFont="1" applyBorder="1" applyAlignment="1">
      <alignment horizontal="center" vertical="center" wrapText="1"/>
    </xf>
    <xf numFmtId="49" fontId="72" fillId="0" borderId="57" xfId="3" applyNumberFormat="1" applyFont="1" applyBorder="1" applyAlignment="1">
      <alignment horizontal="center" vertical="center" wrapText="1"/>
    </xf>
    <xf numFmtId="49" fontId="72" fillId="0" borderId="60" xfId="3" applyNumberFormat="1" applyFont="1" applyBorder="1" applyAlignment="1">
      <alignment horizontal="center" vertical="center" wrapText="1"/>
    </xf>
    <xf numFmtId="0" fontId="22" fillId="0" borderId="63" xfId="0" applyFont="1" applyBorder="1" applyAlignment="1">
      <alignment horizontal="left" vertical="center" wrapText="1"/>
    </xf>
    <xf numFmtId="0" fontId="10" fillId="0" borderId="63" xfId="0" applyFont="1" applyBorder="1"/>
    <xf numFmtId="166" fontId="22" fillId="0" borderId="63" xfId="0" applyNumberFormat="1" applyFont="1" applyBorder="1" applyAlignment="1">
      <alignment horizontal="center" vertical="center" wrapText="1"/>
    </xf>
    <xf numFmtId="166" fontId="10" fillId="0" borderId="63" xfId="0" applyNumberFormat="1" applyFont="1" applyBorder="1"/>
    <xf numFmtId="10" fontId="22" fillId="0" borderId="63" xfId="0" applyNumberFormat="1" applyFont="1" applyBorder="1" applyAlignment="1">
      <alignment horizontal="center" vertical="center" wrapText="1"/>
    </xf>
    <xf numFmtId="10" fontId="10" fillId="0" borderId="63" xfId="0" applyNumberFormat="1" applyFont="1" applyBorder="1"/>
    <xf numFmtId="9" fontId="22" fillId="0" borderId="63" xfId="0" applyNumberFormat="1" applyFont="1" applyBorder="1" applyAlignment="1">
      <alignment horizontal="center" vertical="center" wrapText="1"/>
    </xf>
    <xf numFmtId="166" fontId="22" fillId="30" borderId="63" xfId="0" applyNumberFormat="1" applyFont="1" applyFill="1" applyBorder="1" applyAlignment="1">
      <alignment horizontal="center" vertical="center" wrapText="1"/>
    </xf>
    <xf numFmtId="166" fontId="10" fillId="30" borderId="63" xfId="0" applyNumberFormat="1" applyFont="1" applyFill="1" applyBorder="1"/>
    <xf numFmtId="10" fontId="11" fillId="0" borderId="63" xfId="0" applyNumberFormat="1" applyFont="1" applyBorder="1" applyAlignment="1">
      <alignment horizontal="center" vertical="center"/>
    </xf>
    <xf numFmtId="0" fontId="108" fillId="0" borderId="78" xfId="3" applyFont="1" applyBorder="1" applyAlignment="1">
      <alignment horizontal="center" vertical="center"/>
    </xf>
    <xf numFmtId="0" fontId="29" fillId="0" borderId="19" xfId="3" applyFont="1" applyAlignment="1">
      <alignment horizontal="center" vertical="center"/>
    </xf>
    <xf numFmtId="0" fontId="106" fillId="0" borderId="19" xfId="3" applyFont="1" applyAlignment="1">
      <alignment horizontal="center" vertical="center"/>
    </xf>
    <xf numFmtId="0" fontId="110" fillId="0" borderId="77" xfId="0" applyFont="1" applyBorder="1" applyAlignment="1">
      <alignment horizontal="center"/>
    </xf>
    <xf numFmtId="0" fontId="105" fillId="0" borderId="0" xfId="0" applyFont="1" applyAlignment="1">
      <alignment horizontal="center"/>
    </xf>
    <xf numFmtId="0" fontId="109" fillId="0" borderId="76" xfId="3" applyFont="1" applyBorder="1" applyAlignment="1">
      <alignment horizontal="center" vertical="center"/>
    </xf>
    <xf numFmtId="0" fontId="109" fillId="0" borderId="77" xfId="3" applyFont="1" applyBorder="1" applyAlignment="1">
      <alignment horizontal="center" vertical="center"/>
    </xf>
    <xf numFmtId="0" fontId="34" fillId="0" borderId="25" xfId="0" applyFont="1" applyBorder="1" applyAlignment="1">
      <alignment vertical="top" wrapText="1"/>
    </xf>
    <xf numFmtId="0" fontId="10" fillId="0" borderId="35" xfId="0" applyFont="1" applyBorder="1"/>
    <xf numFmtId="0" fontId="10" fillId="0" borderId="23" xfId="0" applyFont="1" applyBorder="1"/>
    <xf numFmtId="0" fontId="42" fillId="0" borderId="4" xfId="0" applyFont="1" applyBorder="1" applyAlignment="1">
      <alignment vertical="top" wrapText="1"/>
    </xf>
    <xf numFmtId="0" fontId="45" fillId="9" borderId="32" xfId="0" applyFont="1" applyFill="1" applyBorder="1" applyAlignment="1">
      <alignment horizontal="center" vertical="top" wrapText="1"/>
    </xf>
    <xf numFmtId="0" fontId="10" fillId="0" borderId="33" xfId="0" applyFont="1" applyBorder="1"/>
    <xf numFmtId="0" fontId="10" fillId="0" borderId="34" xfId="0" applyFont="1" applyBorder="1"/>
    <xf numFmtId="0" fontId="10" fillId="0" borderId="38" xfId="0" applyFont="1" applyBorder="1"/>
    <xf numFmtId="0" fontId="10" fillId="0" borderId="39" xfId="0" applyFont="1" applyBorder="1"/>
    <xf numFmtId="0" fontId="10" fillId="0" borderId="24" xfId="0" applyFont="1" applyBorder="1"/>
    <xf numFmtId="0" fontId="34" fillId="0" borderId="4" xfId="0" applyFont="1" applyBorder="1" applyAlignment="1">
      <alignment vertical="top" wrapText="1"/>
    </xf>
    <xf numFmtId="0" fontId="34" fillId="0" borderId="31" xfId="0" applyFont="1" applyBorder="1" applyAlignment="1">
      <alignment horizontal="left" vertical="top" wrapText="1"/>
    </xf>
    <xf numFmtId="0" fontId="34" fillId="0" borderId="32" xfId="0" applyFont="1" applyBorder="1" applyAlignment="1">
      <alignment vertical="top" wrapText="1"/>
    </xf>
    <xf numFmtId="0" fontId="40" fillId="0" borderId="36" xfId="0" applyFont="1" applyBorder="1" applyAlignment="1">
      <alignment vertical="top" wrapText="1"/>
    </xf>
    <xf numFmtId="0" fontId="0" fillId="0" borderId="0" xfId="0"/>
    <xf numFmtId="0" fontId="10" fillId="0" borderId="37" xfId="0" applyFont="1" applyBorder="1"/>
    <xf numFmtId="0" fontId="34" fillId="0" borderId="38" xfId="0" applyFont="1" applyBorder="1" applyAlignment="1">
      <alignment vertical="top" wrapText="1"/>
    </xf>
    <xf numFmtId="0" fontId="34" fillId="0" borderId="34" xfId="0" applyFont="1" applyBorder="1" applyAlignment="1">
      <alignment horizontal="center" vertical="top" wrapText="1"/>
    </xf>
    <xf numFmtId="0" fontId="34" fillId="0" borderId="0" xfId="0" applyFont="1" applyAlignment="1">
      <alignment horizontal="right" vertical="top" wrapText="1"/>
    </xf>
    <xf numFmtId="0" fontId="10" fillId="0" borderId="29" xfId="0" applyFont="1" applyBorder="1"/>
    <xf numFmtId="0" fontId="11" fillId="9" borderId="11" xfId="0" applyFont="1" applyFill="1" applyBorder="1" applyAlignment="1">
      <alignment horizontal="left" vertical="top" wrapText="1"/>
    </xf>
    <xf numFmtId="0" fontId="10" fillId="0" borderId="12" xfId="0" applyFont="1" applyBorder="1"/>
    <xf numFmtId="0" fontId="23" fillId="9" borderId="11" xfId="0" applyFont="1" applyFill="1" applyBorder="1" applyAlignment="1">
      <alignment horizontal="left" vertical="top" wrapText="1"/>
    </xf>
    <xf numFmtId="0" fontId="8" fillId="2" borderId="4" xfId="0" applyFont="1" applyFill="1" applyBorder="1" applyAlignment="1">
      <alignment horizontal="center" vertical="center" wrapText="1"/>
    </xf>
    <xf numFmtId="0" fontId="9" fillId="3" borderId="4" xfId="0" applyFont="1" applyFill="1" applyBorder="1" applyAlignment="1">
      <alignment horizontal="left" vertical="center" wrapText="1"/>
    </xf>
    <xf numFmtId="0" fontId="10" fillId="0" borderId="26" xfId="0" applyFont="1" applyBorder="1"/>
  </cellXfs>
  <cellStyles count="16">
    <cellStyle name="Millares" xfId="2" builtinId="3"/>
    <cellStyle name="Millares 2" xfId="11"/>
    <cellStyle name="Millares 2 2" xfId="7"/>
    <cellStyle name="Moneda" xfId="4" builtinId="4"/>
    <cellStyle name="Moneda 2" xfId="9"/>
    <cellStyle name="Moneda 2 2" xfId="8"/>
    <cellStyle name="Normal" xfId="0" builtinId="0"/>
    <cellStyle name="Normal 2" xfId="3"/>
    <cellStyle name="Normal 2 2" xfId="5"/>
    <cellStyle name="Normal 3" xfId="10"/>
    <cellStyle name="Normal 3 2" xfId="6"/>
    <cellStyle name="Normal 4" xfId="13"/>
    <cellStyle name="Normal 5" xfId="14"/>
    <cellStyle name="Normal 6" xfId="15"/>
    <cellStyle name="Porcentaje" xfId="1" builtinId="5"/>
    <cellStyle name="Porcentaje 2" xfId="12"/>
  </cellStyles>
  <dxfs count="4">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66FFFF"/>
      <color rgb="FF66FF33"/>
      <color rgb="FFFFFFFF"/>
      <color rgb="FFCCFFCC"/>
      <color rgb="FF99FFCC"/>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COMPORTAMIENTO DEL GASTO</a:t>
            </a:r>
          </a:p>
        </c:rich>
      </c:tx>
      <c:layout>
        <c:manualLayout>
          <c:xMode val="edge"/>
          <c:yMode val="edge"/>
          <c:x val="0.34409255709227737"/>
          <c:y val="4.8484848484848485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7.1542051079258651E-2"/>
                  <c:y val="-9.6969696969696983E-2"/>
                </c:manualLayout>
              </c:layout>
              <c:showLegendKey val="0"/>
              <c:showVal val="1"/>
              <c:showCatName val="0"/>
              <c:showSerName val="0"/>
              <c:showPercent val="0"/>
              <c:showBubbleSize val="0"/>
              <c:extLst>
                <c:ext xmlns:c15="http://schemas.microsoft.com/office/drawing/2012/chart" uri="{CE6537A1-D6FC-4f65-9D91-7224C49458BB}">
                  <c15:layout>
                    <c:manualLayout>
                      <c:w val="0.26559733158355203"/>
                      <c:h val="0.13259259259259257"/>
                    </c:manualLayout>
                  </c15:layout>
                </c:ext>
                <c:ext xmlns:c16="http://schemas.microsoft.com/office/drawing/2014/chart" uri="{C3380CC4-5D6E-409C-BE32-E72D297353CC}">
                  <c16:uniqueId val="{00000002-E2E8-444B-B43A-451757B57558}"/>
                </c:ext>
              </c:extLst>
            </c:dLbl>
            <c:dLbl>
              <c:idx val="1"/>
              <c:layout>
                <c:manualLayout>
                  <c:x val="7.1542051079258651E-2"/>
                  <c:y val="-9.4107744107744182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0.26559733158355203"/>
                      <c:h val="0.11407407407407408"/>
                    </c:manualLayout>
                  </c15:layout>
                </c:ext>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'!$B$3:$C$3</c:f>
              <c:strCache>
                <c:ptCount val="2"/>
                <c:pt idx="0">
                  <c:v>PRESUPUESTADO</c:v>
                </c:pt>
                <c:pt idx="1">
                  <c:v>COMPROMETIDO</c:v>
                </c:pt>
              </c:strCache>
            </c:strRef>
          </c:cat>
          <c:val>
            <c:numRef>
              <c:f>'GRAFICOS '!$B$4:$C$4</c:f>
              <c:numCache>
                <c:formatCode>#,##0.00</c:formatCode>
                <c:ptCount val="2"/>
                <c:pt idx="0">
                  <c:v>44592327330</c:v>
                </c:pt>
                <c:pt idx="1">
                  <c:v>20053352565</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solidFill>
          <a:srgbClr val="5B9BD5">
            <a:lumMod val="20000"/>
            <a:lumOff val="80000"/>
          </a:srgbClr>
        </a:solid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MX" b="1">
                <a:solidFill>
                  <a:sysClr val="windowText" lastClr="000000"/>
                </a:solidFill>
              </a:rPr>
              <a:t>Resumen</a:t>
            </a:r>
            <a:r>
              <a:rPr lang="es-MX" b="1" baseline="0">
                <a:solidFill>
                  <a:sysClr val="windowText" lastClr="000000"/>
                </a:solidFill>
              </a:rPr>
              <a:t> Avance Físico/Financiero</a:t>
            </a:r>
            <a:endParaRPr lang="es-MX"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5FB-422E-AD4C-09E84B6E064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5FB-422E-AD4C-09E84B6E064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5FB-422E-AD4C-09E84B6E064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'!$J$3:$L$3</c:f>
              <c:strCache>
                <c:ptCount val="3"/>
                <c:pt idx="0">
                  <c:v>% DE  AVANCE FÍSICO</c:v>
                </c:pt>
                <c:pt idx="1">
                  <c:v>PORCENTAJE DEL AVANCE DE COMPROMISOS % (Periodo Evaluado) </c:v>
                </c:pt>
                <c:pt idx="2">
                  <c:v>PORCENTAJE DE AVANCE DE LOS RECURSOS OBLIGADOS  (AVANCE FINANCIERO)</c:v>
                </c:pt>
              </c:strCache>
            </c:strRef>
          </c:cat>
          <c:val>
            <c:numRef>
              <c:f>'GRAFICOS '!$J$4:$L$4</c:f>
              <c:numCache>
                <c:formatCode>0.0%</c:formatCode>
                <c:ptCount val="3"/>
                <c:pt idx="0">
                  <c:v>0.62993776899749365</c:v>
                </c:pt>
                <c:pt idx="1">
                  <c:v>0.29571120449523308</c:v>
                </c:pt>
                <c:pt idx="2">
                  <c:v>5.1714228547308255E-2</c:v>
                </c:pt>
              </c:numCache>
            </c:numRef>
          </c:val>
          <c:extLst>
            <c:ext xmlns:c16="http://schemas.microsoft.com/office/drawing/2014/chart" uri="{C3380CC4-5D6E-409C-BE32-E72D297353CC}">
              <c16:uniqueId val="{00000000-3A29-4F60-A6CD-37FCAAD014B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b="1">
                <a:solidFill>
                  <a:sysClr val="windowText" lastClr="000000"/>
                </a:solidFill>
              </a:rPr>
              <a:t>COMPORTAMIENTO DE PAGOS </a:t>
            </a:r>
          </a:p>
        </c:rich>
      </c:tx>
      <c:layout>
        <c:manualLayout>
          <c:xMode val="edge"/>
          <c:yMode val="edge"/>
          <c:x val="0.34409255709227737"/>
          <c:y val="4.8484848484848485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00B0F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3.2653052829039929E-2"/>
                  <c:y val="-0.137373737373737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8-444B-B43A-451757B57558}"/>
                </c:ext>
              </c:extLst>
            </c:dLbl>
            <c:dLbl>
              <c:idx val="2"/>
              <c:layout>
                <c:manualLayout>
                  <c:x val="3.7006793206245253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'!$C$3:$E$3</c:f>
              <c:strCache>
                <c:ptCount val="3"/>
                <c:pt idx="0">
                  <c:v>COMPROMETIDO</c:v>
                </c:pt>
                <c:pt idx="1">
                  <c:v>OBLIGACIONES</c:v>
                </c:pt>
                <c:pt idx="2">
                  <c:v>PAGOS</c:v>
                </c:pt>
              </c:strCache>
            </c:strRef>
          </c:cat>
          <c:val>
            <c:numRef>
              <c:f>'GRAFICOS '!$C$4:$E$4</c:f>
              <c:numCache>
                <c:formatCode>#,##0.00</c:formatCode>
                <c:ptCount val="3"/>
                <c:pt idx="0">
                  <c:v>20053352565</c:v>
                </c:pt>
                <c:pt idx="1">
                  <c:v>5919533602</c:v>
                </c:pt>
                <c:pt idx="2">
                  <c:v>5592682158</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t>EJECUCION DE INGRESOS RAE </a:t>
            </a:r>
          </a:p>
          <a:p>
            <a:pPr>
              <a:defRPr sz="1400">
                <a:solidFill>
                  <a:sysClr val="windowText" lastClr="000000"/>
                </a:solidFill>
              </a:defRPr>
            </a:pPr>
            <a:r>
              <a:rPr lang="en-US" sz="1400"/>
              <a:t>30 de Junio 2023</a:t>
            </a:r>
          </a:p>
        </c:rich>
      </c:tx>
      <c:layout>
        <c:manualLayout>
          <c:xMode val="edge"/>
          <c:yMode val="edge"/>
          <c:x val="0.34409255709227737"/>
          <c:y val="4.8484848484848485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6.1068353375488015E-2"/>
                  <c:y val="-9.6969696969696983E-2"/>
                </c:manualLayout>
              </c:layout>
              <c:showLegendKey val="0"/>
              <c:showVal val="1"/>
              <c:showCatName val="0"/>
              <c:showSerName val="0"/>
              <c:showPercent val="0"/>
              <c:showBubbleSize val="0"/>
              <c:extLst>
                <c:ext xmlns:c15="http://schemas.microsoft.com/office/drawing/2012/chart" uri="{CE6537A1-D6FC-4f65-9D91-7224C49458BB}">
                  <c15:layout>
                    <c:manualLayout>
                      <c:w val="0.24542076502732241"/>
                      <c:h val="0.13259259259259257"/>
                    </c:manualLayout>
                  </c15:layout>
                </c:ext>
                <c:ext xmlns:c16="http://schemas.microsoft.com/office/drawing/2014/chart" uri="{C3380CC4-5D6E-409C-BE32-E72D297353CC}">
                  <c16:uniqueId val="{00000002-E2E8-444B-B43A-451757B57558}"/>
                </c:ext>
              </c:extLst>
            </c:dLbl>
            <c:dLbl>
              <c:idx val="1"/>
              <c:layout>
                <c:manualLayout>
                  <c:x val="6.5439869196678366E-2"/>
                  <c:y val="-4.4981470339463384E-2"/>
                </c:manualLayout>
              </c:layout>
              <c:showLegendKey val="0"/>
              <c:showVal val="1"/>
              <c:showCatName val="0"/>
              <c:showSerName val="0"/>
              <c:showPercent val="0"/>
              <c:showBubbleSize val="0"/>
              <c:extLst>
                <c:ext xmlns:c15="http://schemas.microsoft.com/office/drawing/2012/chart" uri="{CE6537A1-D6FC-4f65-9D91-7224C49458BB}">
                  <c15:layout>
                    <c:manualLayout>
                      <c:w val="0.25416393442622953"/>
                      <c:h val="0.13259259259259257"/>
                    </c:manualLayout>
                  </c15:layout>
                </c:ext>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'!$B$41:$C$41</c:f>
              <c:strCache>
                <c:ptCount val="2"/>
                <c:pt idx="0">
                  <c:v>APROPIADO</c:v>
                </c:pt>
                <c:pt idx="1">
                  <c:v>RECAUDADO</c:v>
                </c:pt>
              </c:strCache>
            </c:strRef>
          </c:cat>
          <c:val>
            <c:numRef>
              <c:f>'GRAFICOS '!$B$42:$C$42</c:f>
              <c:numCache>
                <c:formatCode>_-"$"\ * #,##0.00_-;\-"$"\ * #,##0.00_-;_-"$"\ * "-"??_-;_-@_-</c:formatCode>
                <c:ptCount val="2"/>
                <c:pt idx="0">
                  <c:v>16000000000</c:v>
                </c:pt>
                <c:pt idx="1">
                  <c:v>16793003194.450001</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00_-;\-&quot;$&quot;\ * #,##0.0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TASA POR USO DEL AGUA </a:t>
            </a:r>
          </a:p>
        </c:rich>
      </c:tx>
      <c:layout>
        <c:manualLayout>
          <c:xMode val="edge"/>
          <c:yMode val="edge"/>
          <c:x val="0.34131474190726158"/>
          <c:y val="4.385535141440653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3.2653052829039929E-2"/>
                  <c:y val="-8.4848484848484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'!$B$61:$C$61</c:f>
              <c:strCache>
                <c:ptCount val="2"/>
                <c:pt idx="0">
                  <c:v>APROPIADO</c:v>
                </c:pt>
                <c:pt idx="1">
                  <c:v>RECAUDADO</c:v>
                </c:pt>
              </c:strCache>
            </c:strRef>
          </c:cat>
          <c:val>
            <c:numRef>
              <c:f>'GRAFICOS '!$B$62:$C$62</c:f>
              <c:numCache>
                <c:formatCode>_-"$"\ * #,##0.00_-;\-"$"\ * #,##0.00_-;_-"$"\ * "-"??_-;_-@_-</c:formatCode>
                <c:ptCount val="2"/>
                <c:pt idx="0" formatCode="_(* #,##0_);_(* \(#,##0\);_(* &quot;-&quot;??_);_(@_)">
                  <c:v>1000000000</c:v>
                </c:pt>
                <c:pt idx="1">
                  <c:v>98775827</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TASA RETRIBUTIVA </a:t>
            </a:r>
          </a:p>
        </c:rich>
      </c:tx>
      <c:layout>
        <c:manualLayout>
          <c:xMode val="edge"/>
          <c:yMode val="edge"/>
          <c:x val="0.42715270427262164"/>
          <c:y val="5.258744195437108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3.2653052829039929E-2"/>
                  <c:y val="-8.4848484848484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'!$B$82:$C$82</c:f>
              <c:strCache>
                <c:ptCount val="2"/>
                <c:pt idx="0">
                  <c:v>APROPIADO</c:v>
                </c:pt>
                <c:pt idx="1">
                  <c:v>RECAUDADO</c:v>
                </c:pt>
              </c:strCache>
            </c:strRef>
          </c:cat>
          <c:val>
            <c:numRef>
              <c:f>'GRAFICOS '!$B$83:$C$83</c:f>
              <c:numCache>
                <c:formatCode>_-"$"\ * #,##0.00_-;\-"$"\ * #,##0.00_-;_-"$"\ * "-"??_-;_-@_-</c:formatCode>
                <c:ptCount val="2"/>
                <c:pt idx="0" formatCode="_(* #,##0_);_(* \(#,##0\);_(* &quot;-&quot;??_);_(@_)">
                  <c:v>1500000000</c:v>
                </c:pt>
                <c:pt idx="1">
                  <c:v>682765543.53999996</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APROVECHAMIENTO</a:t>
            </a:r>
            <a:r>
              <a:rPr lang="en-US" baseline="0"/>
              <a:t> FORESTAL</a:t>
            </a:r>
            <a:endParaRPr lang="en-US"/>
          </a:p>
        </c:rich>
      </c:tx>
      <c:layout>
        <c:manualLayout>
          <c:xMode val="edge"/>
          <c:yMode val="edge"/>
          <c:x val="0.34409255709227737"/>
          <c:y val="4.8484848484848485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6.7285168899342204E-2"/>
                  <c:y val="-0.163280022523136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'!$B$104:$C$104</c:f>
              <c:strCache>
                <c:ptCount val="2"/>
                <c:pt idx="0">
                  <c:v>APROPIADO</c:v>
                </c:pt>
                <c:pt idx="1">
                  <c:v>RECAUDADO</c:v>
                </c:pt>
              </c:strCache>
            </c:strRef>
          </c:cat>
          <c:val>
            <c:numRef>
              <c:f>'GRAFICOS '!$B$105:$C$105</c:f>
              <c:numCache>
                <c:formatCode>_-"$"\ * #,##0.00_-;\-"$"\ * #,##0.00_-;_-"$"\ * "-"??_-;_-@_-</c:formatCode>
                <c:ptCount val="2"/>
                <c:pt idx="0" formatCode="_(* #,##0_);_(* \(#,##0\);_(* &quot;-&quot;??_);_(@_)">
                  <c:v>1300000000</c:v>
                </c:pt>
                <c:pt idx="1">
                  <c:v>256536839.47999999</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CONTRIBUCION</a:t>
            </a:r>
            <a:r>
              <a:rPr lang="en-US" baseline="0"/>
              <a:t> SECTOR ELECTRICO</a:t>
            </a:r>
            <a:endParaRPr lang="en-US"/>
          </a:p>
        </c:rich>
      </c:tx>
      <c:layout>
        <c:manualLayout>
          <c:xMode val="edge"/>
          <c:yMode val="edge"/>
          <c:x val="0.35465870687732659"/>
          <c:y val="7.16331291921843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7.1541941717928825E-2"/>
                  <c:y val="-8.4848484848484923E-2"/>
                </c:manualLayout>
              </c:layout>
              <c:showLegendKey val="0"/>
              <c:showVal val="1"/>
              <c:showCatName val="0"/>
              <c:showSerName val="0"/>
              <c:showPercent val="0"/>
              <c:showBubbleSize val="0"/>
              <c:extLst>
                <c:ext xmlns:c15="http://schemas.microsoft.com/office/drawing/2012/chart" uri="{CE6537A1-D6FC-4f65-9D91-7224C49458BB}">
                  <c15:layout>
                    <c:manualLayout>
                      <c:w val="0.26531955380577427"/>
                      <c:h val="0.19194444444444445"/>
                    </c:manualLayout>
                  </c15:layout>
                </c:ext>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'!$B$125:$C$125</c:f>
              <c:strCache>
                <c:ptCount val="2"/>
                <c:pt idx="0">
                  <c:v>APROPIADO</c:v>
                </c:pt>
                <c:pt idx="1">
                  <c:v>RECAUDADO</c:v>
                </c:pt>
              </c:strCache>
            </c:strRef>
          </c:cat>
          <c:val>
            <c:numRef>
              <c:f>'GRAFICOS '!$B$126:$C$126</c:f>
              <c:numCache>
                <c:formatCode>_-"$"\ * #,##0.00_-;\-"$"\ * #,##0.00_-;_-"$"\ * "-"??_-;_-@_-</c:formatCode>
                <c:ptCount val="2"/>
                <c:pt idx="0" formatCode="_(* #,##0_);_(* \(#,##0\);_(* &quot;-&quot;??_);_(@_)">
                  <c:v>900000000</c:v>
                </c:pt>
                <c:pt idx="1">
                  <c:v>121764984</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a:t>EVALUACION</a:t>
            </a:r>
            <a:r>
              <a:rPr lang="en-US" sz="1200" baseline="0"/>
              <a:t> DE LICENCIAS Y</a:t>
            </a:r>
            <a:r>
              <a:rPr lang="en-US" sz="1200"/>
              <a:t> TRAMITES AMBIENTALES</a:t>
            </a:r>
            <a:r>
              <a:rPr lang="en-US" sz="1200" baseline="0"/>
              <a:t> </a:t>
            </a:r>
            <a:endParaRPr lang="en-US" sz="1200"/>
          </a:p>
        </c:rich>
      </c:tx>
      <c:layout>
        <c:manualLayout>
          <c:xMode val="edge"/>
          <c:yMode val="edge"/>
          <c:x val="0.18298140857392825"/>
          <c:y val="8.0892388451443573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00B0F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6.8764163940151057E-2"/>
                  <c:y val="-8.4848484848484923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0.25976399825021873"/>
                      <c:h val="0.19194444444444445"/>
                    </c:manualLayout>
                  </c15:layout>
                </c:ext>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'!$B$146:$C$146</c:f>
              <c:strCache>
                <c:ptCount val="2"/>
                <c:pt idx="0">
                  <c:v>APROPIADO</c:v>
                </c:pt>
                <c:pt idx="1">
                  <c:v>RECAUDADO</c:v>
                </c:pt>
              </c:strCache>
            </c:strRef>
          </c:cat>
          <c:val>
            <c:numRef>
              <c:f>'GRAFICOS '!$B$147:$C$147</c:f>
              <c:numCache>
                <c:formatCode>_-"$"\ * #,##0.00_-;\-"$"\ * #,##0.00_-;_-"$"\ * "-"??_-;_-@_-</c:formatCode>
                <c:ptCount val="2"/>
                <c:pt idx="0">
                  <c:v>500000000</c:v>
                </c:pt>
                <c:pt idx="1">
                  <c:v>260811065.91999999</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00_-;\-&quot;$&quot;\ * #,##0.0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no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a:t>SEGUIMIENTO A LICENCIAS Y TRAMITES AMBIENTALES </a:t>
            </a:r>
          </a:p>
        </c:rich>
      </c:tx>
      <c:layout>
        <c:manualLayout>
          <c:xMode val="edge"/>
          <c:yMode val="edge"/>
          <c:x val="0.17426399825021871"/>
          <c:y val="4.848498104403616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E2E8-444B-B43A-451757B57558}"/>
              </c:ext>
            </c:extLst>
          </c:dPt>
          <c:dPt>
            <c:idx val="1"/>
            <c:invertIfNegative val="0"/>
            <c:bubble3D val="0"/>
            <c:spPr>
              <a:solidFill>
                <a:srgbClr val="00B0F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E8-444B-B43A-451757B57558}"/>
              </c:ext>
            </c:extLst>
          </c:dPt>
          <c:dPt>
            <c:idx val="2"/>
            <c:invertIfNegative val="0"/>
            <c:bubble3D val="0"/>
            <c:spPr>
              <a:solidFill>
                <a:srgbClr val="FFC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A-E2E8-444B-B43A-451757B57558}"/>
              </c:ext>
            </c:extLst>
          </c:dPt>
          <c:dLbls>
            <c:dLbl>
              <c:idx val="0"/>
              <c:layout>
                <c:manualLayout>
                  <c:x val="3.2653052829039929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8-444B-B43A-451757B57558}"/>
                </c:ext>
              </c:extLst>
            </c:dLbl>
            <c:dLbl>
              <c:idx val="1"/>
              <c:layout>
                <c:manualLayout>
                  <c:x val="8.2653052829039952E-2"/>
                  <c:y val="-8.4848484848484923E-2"/>
                </c:manualLayout>
              </c:layout>
              <c:showLegendKey val="0"/>
              <c:showVal val="1"/>
              <c:showCatName val="0"/>
              <c:showSerName val="0"/>
              <c:showPercent val="0"/>
              <c:showBubbleSize val="0"/>
              <c:extLst>
                <c:ext xmlns:c15="http://schemas.microsoft.com/office/drawing/2012/chart" uri="{CE6537A1-D6FC-4f65-9D91-7224C49458BB}">
                  <c15:layout>
                    <c:manualLayout>
                      <c:w val="0.28754177602799652"/>
                      <c:h val="0.19194444444444445"/>
                    </c:manualLayout>
                  </c15:layout>
                </c:ext>
                <c:ext xmlns:c16="http://schemas.microsoft.com/office/drawing/2014/chart" uri="{C3380CC4-5D6E-409C-BE32-E72D297353CC}">
                  <c16:uniqueId val="{00000005-E2E8-444B-B43A-451757B57558}"/>
                </c:ext>
              </c:extLst>
            </c:dLbl>
            <c:dLbl>
              <c:idx val="2"/>
              <c:layout>
                <c:manualLayout>
                  <c:x val="3.700679320624525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8-444B-B43A-451757B575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'GRAFICOS '!$B$167:$C$167</c:f>
              <c:strCache>
                <c:ptCount val="2"/>
                <c:pt idx="0">
                  <c:v>APROPIADO</c:v>
                </c:pt>
                <c:pt idx="1">
                  <c:v>RECAUDADO</c:v>
                </c:pt>
              </c:strCache>
            </c:strRef>
          </c:cat>
          <c:val>
            <c:numRef>
              <c:f>'GRAFICOS '!$B$168:$C$168</c:f>
              <c:numCache>
                <c:formatCode>_-"$"\ * #,##0.00_-;\-"$"\ * #,##0.00_-;_-"$"\ * "-"??_-;_-@_-</c:formatCode>
                <c:ptCount val="2"/>
                <c:pt idx="0" formatCode="_(* #,##0_);_(* \(#,##0\);_(* &quot;-&quot;??_);_(@_)">
                  <c:v>450000000</c:v>
                </c:pt>
                <c:pt idx="1">
                  <c:v>98320240</c:v>
                </c:pt>
              </c:numCache>
            </c:numRef>
          </c:val>
          <c:extLst>
            <c:ext xmlns:c16="http://schemas.microsoft.com/office/drawing/2014/chart" uri="{C3380CC4-5D6E-409C-BE32-E72D297353CC}">
              <c16:uniqueId val="{00000000-E2E8-444B-B43A-451757B57558}"/>
            </c:ext>
          </c:extLst>
        </c:ser>
        <c:dLbls>
          <c:showLegendKey val="0"/>
          <c:showVal val="0"/>
          <c:showCatName val="0"/>
          <c:showSerName val="0"/>
          <c:showPercent val="0"/>
          <c:showBubbleSize val="0"/>
        </c:dLbls>
        <c:gapWidth val="150"/>
        <c:shape val="box"/>
        <c:axId val="276977032"/>
        <c:axId val="480184904"/>
        <c:axId val="382903400"/>
      </c:bar3DChart>
      <c:catAx>
        <c:axId val="276977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MX"/>
          </a:p>
        </c:txPr>
        <c:crossAx val="480184904"/>
        <c:crosses val="autoZero"/>
        <c:auto val="1"/>
        <c:lblAlgn val="ctr"/>
        <c:lblOffset val="100"/>
        <c:noMultiLvlLbl val="0"/>
      </c:catAx>
      <c:valAx>
        <c:axId val="4801849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276977032"/>
        <c:crosses val="autoZero"/>
        <c:crossBetween val="between"/>
      </c:valAx>
      <c:serAx>
        <c:axId val="382903400"/>
        <c:scaling>
          <c:orientation val="minMax"/>
        </c:scaling>
        <c:delete val="1"/>
        <c:axPos val="b"/>
        <c:majorTickMark val="none"/>
        <c:minorTickMark val="none"/>
        <c:tickLblPos val="nextTo"/>
        <c:crossAx val="480184904"/>
        <c:crosses val="autoZero"/>
      </c:serAx>
      <c:spPr>
        <a:solidFill>
          <a:srgbClr val="5B9BD5">
            <a:lumMod val="20000"/>
            <a:lumOff val="80000"/>
          </a:srgbClr>
        </a:solidFill>
        <a:ln>
          <a:noFill/>
        </a:ln>
        <a:effectLst/>
      </c:spPr>
    </c:plotArea>
    <c:plotVisOnly val="1"/>
    <c:dispBlanksAs val="gap"/>
    <c:showDLblsOverMax val="0"/>
  </c:chart>
  <c:spPr>
    <a:solidFill>
      <a:srgbClr val="5B9BD5">
        <a:lumMod val="20000"/>
        <a:lumOff val="80000"/>
      </a:srgb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58400" cy="1657350"/>
    <xdr:grpSp>
      <xdr:nvGrpSpPr>
        <xdr:cNvPr id="2" name="Shape 2">
          <a:extLst>
            <a:ext uri="{FF2B5EF4-FFF2-40B4-BE49-F238E27FC236}">
              <a16:creationId xmlns:a16="http://schemas.microsoft.com/office/drawing/2014/main" id="{00000000-0008-0000-0000-000002000000}"/>
            </a:ext>
          </a:extLst>
        </xdr:cNvPr>
        <xdr:cNvGrpSpPr/>
      </xdr:nvGrpSpPr>
      <xdr:grpSpPr>
        <a:xfrm>
          <a:off x="0" y="0"/>
          <a:ext cx="10058400" cy="1657350"/>
          <a:chOff x="316800" y="2951325"/>
          <a:chExt cx="10058400" cy="165735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316800" y="2951325"/>
            <a:ext cx="10058400" cy="1657350"/>
            <a:chOff x="57151" y="47625"/>
            <a:chExt cx="6181724" cy="1581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57151" y="47625"/>
              <a:ext cx="6181700"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ESCUDO-transp-lema-blanco.pn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57151" y="47625"/>
              <a:ext cx="850209" cy="1581150"/>
            </a:xfrm>
            <a:prstGeom prst="rect">
              <a:avLst/>
            </a:prstGeom>
            <a:noFill/>
            <a:ln>
              <a:noFill/>
            </a:ln>
          </xdr:spPr>
        </xdr:pic>
        <xdr:sp macro="" textlink="">
          <xdr:nvSpPr>
            <xdr:cNvPr id="6" name="Shape 6">
              <a:extLst>
                <a:ext uri="{FF2B5EF4-FFF2-40B4-BE49-F238E27FC236}">
                  <a16:creationId xmlns:a16="http://schemas.microsoft.com/office/drawing/2014/main" id="{00000000-0008-0000-0000-000006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137391</xdr:colOff>
      <xdr:row>0</xdr:row>
      <xdr:rowOff>66536</xdr:rowOff>
    </xdr:from>
    <xdr:ext cx="31613386" cy="1047750"/>
    <xdr:grpSp>
      <xdr:nvGrpSpPr>
        <xdr:cNvPr id="2" name="Shape 2">
          <a:extLst>
            <a:ext uri="{FF2B5EF4-FFF2-40B4-BE49-F238E27FC236}">
              <a16:creationId xmlns:a16="http://schemas.microsoft.com/office/drawing/2014/main" id="{00000000-0008-0000-0300-000002000000}"/>
            </a:ext>
          </a:extLst>
        </xdr:cNvPr>
        <xdr:cNvGrpSpPr/>
      </xdr:nvGrpSpPr>
      <xdr:grpSpPr>
        <a:xfrm>
          <a:off x="137391" y="66536"/>
          <a:ext cx="31613386" cy="1047750"/>
          <a:chOff x="0" y="3256125"/>
          <a:chExt cx="10691970" cy="1047750"/>
        </a:xfrm>
      </xdr:grpSpPr>
      <xdr:grpSp>
        <xdr:nvGrpSpPr>
          <xdr:cNvPr id="7" name="Shape 7">
            <a:extLst>
              <a:ext uri="{FF2B5EF4-FFF2-40B4-BE49-F238E27FC236}">
                <a16:creationId xmlns:a16="http://schemas.microsoft.com/office/drawing/2014/main" id="{00000000-0008-0000-0300-000007000000}"/>
              </a:ext>
            </a:extLst>
          </xdr:cNvPr>
          <xdr:cNvGrpSpPr/>
        </xdr:nvGrpSpPr>
        <xdr:grpSpPr>
          <a:xfrm>
            <a:off x="0" y="3256125"/>
            <a:ext cx="10691970" cy="1047750"/>
            <a:chOff x="57150" y="170793"/>
            <a:chExt cx="8104875" cy="1863624"/>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 name="Shape 8" descr="ESCUDO-transp-lema-blanco.png">
              <a:extLst>
                <a:ext uri="{FF2B5EF4-FFF2-40B4-BE49-F238E27FC236}">
                  <a16:creationId xmlns:a16="http://schemas.microsoft.com/office/drawing/2014/main" id="{00000000-0008-0000-0300-000008000000}"/>
                </a:ext>
              </a:extLst>
            </xdr:cNvPr>
            <xdr:cNvPicPr preferRelativeResize="0"/>
          </xdr:nvPicPr>
          <xdr:blipFill rotWithShape="1">
            <a:blip xmlns:r="http://schemas.openxmlformats.org/officeDocument/2006/relationships" r:embed="rId1">
              <a:alphaModFix/>
            </a:blip>
            <a:srcRect/>
            <a:stretch/>
          </xdr:blipFill>
          <xdr:spPr>
            <a:xfrm>
              <a:off x="57150" y="170793"/>
              <a:ext cx="239804" cy="1863624"/>
            </a:xfrm>
            <a:prstGeom prst="rect">
              <a:avLst/>
            </a:prstGeom>
            <a:noFill/>
            <a:ln>
              <a:noFill/>
            </a:ln>
          </xdr:spPr>
        </xdr:pic>
      </xdr:grpSp>
    </xdr:grpSp>
    <xdr:clientData fLocksWithSheet="0"/>
  </xdr:oneCellAnchor>
</xdr:wsDr>
</file>

<file path=xl/drawings/drawing3.xml><?xml version="1.0" encoding="utf-8"?>
<xdr:wsDr xmlns:xdr="http://schemas.openxmlformats.org/drawingml/2006/spreadsheetDrawing" xmlns:a="http://schemas.openxmlformats.org/drawingml/2006/main">
  <xdr:twoCellAnchor>
    <xdr:from>
      <xdr:col>1</xdr:col>
      <xdr:colOff>19050</xdr:colOff>
      <xdr:row>5</xdr:row>
      <xdr:rowOff>9525</xdr:rowOff>
    </xdr:from>
    <xdr:to>
      <xdr:col>6</xdr:col>
      <xdr:colOff>19050</xdr:colOff>
      <xdr:row>19</xdr:row>
      <xdr:rowOff>95250</xdr:rowOff>
    </xdr:to>
    <xdr:grpSp>
      <xdr:nvGrpSpPr>
        <xdr:cNvPr id="9" name="Grupo 8">
          <a:extLst>
            <a:ext uri="{FF2B5EF4-FFF2-40B4-BE49-F238E27FC236}">
              <a16:creationId xmlns:a16="http://schemas.microsoft.com/office/drawing/2014/main" id="{00000000-0008-0000-0900-000009000000}"/>
            </a:ext>
          </a:extLst>
        </xdr:cNvPr>
        <xdr:cNvGrpSpPr/>
      </xdr:nvGrpSpPr>
      <xdr:grpSpPr>
        <a:xfrm>
          <a:off x="781050" y="1522942"/>
          <a:ext cx="5820833" cy="2752725"/>
          <a:chOff x="781050" y="1000125"/>
          <a:chExt cx="4572000" cy="2743200"/>
        </a:xfrm>
      </xdr:grpSpPr>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781050" y="1000125"/>
          <a:ext cx="4572000"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3895724" y="2619144"/>
            <a:ext cx="6000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36</a:t>
            </a:r>
            <a:r>
              <a:rPr lang="en-US" sz="1400" b="1">
                <a:solidFill>
                  <a:sysClr val="windowText" lastClr="000000"/>
                </a:solidFill>
              </a:rPr>
              <a:t>%</a:t>
            </a:r>
          </a:p>
        </xdr:txBody>
      </xdr:sp>
    </xdr:grpSp>
    <xdr:clientData/>
  </xdr:twoCellAnchor>
  <xdr:twoCellAnchor>
    <xdr:from>
      <xdr:col>0</xdr:col>
      <xdr:colOff>757236</xdr:colOff>
      <xdr:row>20</xdr:row>
      <xdr:rowOff>38100</xdr:rowOff>
    </xdr:from>
    <xdr:to>
      <xdr:col>6</xdr:col>
      <xdr:colOff>9525</xdr:colOff>
      <xdr:row>36</xdr:row>
      <xdr:rowOff>133350</xdr:rowOff>
    </xdr:to>
    <xdr:grpSp>
      <xdr:nvGrpSpPr>
        <xdr:cNvPr id="10" name="Grupo 9">
          <a:extLst>
            <a:ext uri="{FF2B5EF4-FFF2-40B4-BE49-F238E27FC236}">
              <a16:creationId xmlns:a16="http://schemas.microsoft.com/office/drawing/2014/main" id="{00000000-0008-0000-0900-00000A000000}"/>
            </a:ext>
          </a:extLst>
        </xdr:cNvPr>
        <xdr:cNvGrpSpPr/>
      </xdr:nvGrpSpPr>
      <xdr:grpSpPr>
        <a:xfrm>
          <a:off x="757236" y="4409017"/>
          <a:ext cx="5835122" cy="3143250"/>
          <a:chOff x="757236" y="3886200"/>
          <a:chExt cx="5834064" cy="3143250"/>
        </a:xfrm>
      </xdr:grpSpPr>
      <xdr:graphicFrame macro="">
        <xdr:nvGraphicFramePr>
          <xdr:cNvPr id="6" name="Gráfico 5">
            <a:extLst>
              <a:ext uri="{FF2B5EF4-FFF2-40B4-BE49-F238E27FC236}">
                <a16:creationId xmlns:a16="http://schemas.microsoft.com/office/drawing/2014/main" id="{00000000-0008-0000-0900-000006000000}"/>
              </a:ext>
            </a:extLst>
          </xdr:cNvPr>
          <xdr:cNvGraphicFramePr/>
        </xdr:nvGraphicFramePr>
        <xdr:xfrm>
          <a:off x="757236" y="3886200"/>
          <a:ext cx="5834064" cy="31432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5181600" y="6019800"/>
            <a:ext cx="533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ysClr val="windowText" lastClr="000000"/>
                </a:solidFill>
              </a:rPr>
              <a:t>13%</a:t>
            </a:r>
          </a:p>
        </xdr:txBody>
      </xdr:sp>
    </xdr:grpSp>
    <xdr:clientData/>
  </xdr:twoCellAnchor>
  <xdr:twoCellAnchor>
    <xdr:from>
      <xdr:col>0</xdr:col>
      <xdr:colOff>752475</xdr:colOff>
      <xdr:row>42</xdr:row>
      <xdr:rowOff>85725</xdr:rowOff>
    </xdr:from>
    <xdr:to>
      <xdr:col>5</xdr:col>
      <xdr:colOff>742950</xdr:colOff>
      <xdr:row>57</xdr:row>
      <xdr:rowOff>95250</xdr:rowOff>
    </xdr:to>
    <xdr:grpSp>
      <xdr:nvGrpSpPr>
        <xdr:cNvPr id="7" name="Grupo 6">
          <a:extLst>
            <a:ext uri="{FF2B5EF4-FFF2-40B4-BE49-F238E27FC236}">
              <a16:creationId xmlns:a16="http://schemas.microsoft.com/office/drawing/2014/main" id="{00000000-0008-0000-0900-000007000000}"/>
            </a:ext>
          </a:extLst>
        </xdr:cNvPr>
        <xdr:cNvGrpSpPr/>
      </xdr:nvGrpSpPr>
      <xdr:grpSpPr>
        <a:xfrm>
          <a:off x="752475" y="8774642"/>
          <a:ext cx="5811308" cy="2867025"/>
          <a:chOff x="752475" y="8124825"/>
          <a:chExt cx="5810250" cy="2867025"/>
        </a:xfrm>
      </xdr:grpSpPr>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752475" y="8124825"/>
          <a:ext cx="5810250" cy="28670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4733925" y="9667875"/>
            <a:ext cx="6858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59</a:t>
            </a:r>
            <a:r>
              <a:rPr lang="en-US" sz="1400" b="1">
                <a:solidFill>
                  <a:sysClr val="windowText" lastClr="000000"/>
                </a:solidFill>
              </a:rPr>
              <a:t>%</a:t>
            </a:r>
          </a:p>
        </xdr:txBody>
      </xdr:sp>
    </xdr:grpSp>
    <xdr:clientData/>
  </xdr:twoCellAnchor>
  <xdr:twoCellAnchor>
    <xdr:from>
      <xdr:col>1</xdr:col>
      <xdr:colOff>0</xdr:colOff>
      <xdr:row>63</xdr:row>
      <xdr:rowOff>47625</xdr:rowOff>
    </xdr:from>
    <xdr:to>
      <xdr:col>6</xdr:col>
      <xdr:colOff>57151</xdr:colOff>
      <xdr:row>78</xdr:row>
      <xdr:rowOff>9525</xdr:rowOff>
    </xdr:to>
    <xdr:grpSp>
      <xdr:nvGrpSpPr>
        <xdr:cNvPr id="14" name="Grupo 13">
          <a:extLst>
            <a:ext uri="{FF2B5EF4-FFF2-40B4-BE49-F238E27FC236}">
              <a16:creationId xmlns:a16="http://schemas.microsoft.com/office/drawing/2014/main" id="{00000000-0008-0000-0900-00000E000000}"/>
            </a:ext>
          </a:extLst>
        </xdr:cNvPr>
        <xdr:cNvGrpSpPr/>
      </xdr:nvGrpSpPr>
      <xdr:grpSpPr>
        <a:xfrm>
          <a:off x="762000" y="12832292"/>
          <a:ext cx="5877984" cy="2819400"/>
          <a:chOff x="762000" y="12163425"/>
          <a:chExt cx="5876926" cy="2819400"/>
        </a:xfrm>
      </xdr:grpSpPr>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762000" y="12163425"/>
          <a:ext cx="5876926" cy="28194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4733925" y="13839825"/>
            <a:ext cx="533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10</a:t>
            </a:r>
            <a:r>
              <a:rPr lang="en-US" sz="1400" b="1">
                <a:solidFill>
                  <a:sysClr val="windowText" lastClr="000000"/>
                </a:solidFill>
              </a:rPr>
              <a:t>%</a:t>
            </a:r>
          </a:p>
        </xdr:txBody>
      </xdr:sp>
    </xdr:grpSp>
    <xdr:clientData/>
  </xdr:twoCellAnchor>
  <xdr:twoCellAnchor>
    <xdr:from>
      <xdr:col>0</xdr:col>
      <xdr:colOff>752475</xdr:colOff>
      <xdr:row>84</xdr:row>
      <xdr:rowOff>9524</xdr:rowOff>
    </xdr:from>
    <xdr:to>
      <xdr:col>5</xdr:col>
      <xdr:colOff>742950</xdr:colOff>
      <xdr:row>100</xdr:row>
      <xdr:rowOff>57149</xdr:rowOff>
    </xdr:to>
    <xdr:grpSp>
      <xdr:nvGrpSpPr>
        <xdr:cNvPr id="18" name="Grupo 17">
          <a:extLst>
            <a:ext uri="{FF2B5EF4-FFF2-40B4-BE49-F238E27FC236}">
              <a16:creationId xmlns:a16="http://schemas.microsoft.com/office/drawing/2014/main" id="{00000000-0008-0000-0900-000012000000}"/>
            </a:ext>
          </a:extLst>
        </xdr:cNvPr>
        <xdr:cNvGrpSpPr/>
      </xdr:nvGrpSpPr>
      <xdr:grpSpPr>
        <a:xfrm>
          <a:off x="752475" y="16921691"/>
          <a:ext cx="5811308" cy="3095625"/>
          <a:chOff x="752475" y="16202024"/>
          <a:chExt cx="5810250" cy="3095625"/>
        </a:xfrm>
      </xdr:grpSpPr>
      <xdr:graphicFrame macro="">
        <xdr:nvGraphicFramePr>
          <xdr:cNvPr id="15" name="Gráfico 14">
            <a:extLst>
              <a:ext uri="{FF2B5EF4-FFF2-40B4-BE49-F238E27FC236}">
                <a16:creationId xmlns:a16="http://schemas.microsoft.com/office/drawing/2014/main" id="{00000000-0008-0000-0900-00000F000000}"/>
              </a:ext>
            </a:extLst>
          </xdr:cNvPr>
          <xdr:cNvGraphicFramePr/>
        </xdr:nvGraphicFramePr>
        <xdr:xfrm>
          <a:off x="752475" y="16202024"/>
          <a:ext cx="5810250" cy="309562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4629150" y="18154650"/>
            <a:ext cx="533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46</a:t>
            </a:r>
            <a:r>
              <a:rPr lang="en-US" sz="1400" b="1">
                <a:solidFill>
                  <a:sysClr val="windowText" lastClr="000000"/>
                </a:solidFill>
              </a:rPr>
              <a:t>%</a:t>
            </a:r>
          </a:p>
        </xdr:txBody>
      </xdr:sp>
    </xdr:grpSp>
    <xdr:clientData/>
  </xdr:twoCellAnchor>
  <xdr:twoCellAnchor>
    <xdr:from>
      <xdr:col>0</xdr:col>
      <xdr:colOff>714375</xdr:colOff>
      <xdr:row>106</xdr:row>
      <xdr:rowOff>19049</xdr:rowOff>
    </xdr:from>
    <xdr:to>
      <xdr:col>6</xdr:col>
      <xdr:colOff>0</xdr:colOff>
      <xdr:row>120</xdr:row>
      <xdr:rowOff>104774</xdr:rowOff>
    </xdr:to>
    <xdr:grpSp>
      <xdr:nvGrpSpPr>
        <xdr:cNvPr id="22" name="Grupo 21">
          <a:extLst>
            <a:ext uri="{FF2B5EF4-FFF2-40B4-BE49-F238E27FC236}">
              <a16:creationId xmlns:a16="http://schemas.microsoft.com/office/drawing/2014/main" id="{00000000-0008-0000-0900-000016000000}"/>
            </a:ext>
          </a:extLst>
        </xdr:cNvPr>
        <xdr:cNvGrpSpPr/>
      </xdr:nvGrpSpPr>
      <xdr:grpSpPr>
        <a:xfrm>
          <a:off x="714375" y="21217466"/>
          <a:ext cx="5868458" cy="2752725"/>
          <a:chOff x="714375" y="20478749"/>
          <a:chExt cx="5867400" cy="2752725"/>
        </a:xfrm>
      </xdr:grpSpPr>
      <xdr:graphicFrame macro="">
        <xdr:nvGraphicFramePr>
          <xdr:cNvPr id="19" name="Gráfico 18">
            <a:extLst>
              <a:ext uri="{FF2B5EF4-FFF2-40B4-BE49-F238E27FC236}">
                <a16:creationId xmlns:a16="http://schemas.microsoft.com/office/drawing/2014/main" id="{00000000-0008-0000-0900-000013000000}"/>
              </a:ext>
            </a:extLst>
          </xdr:cNvPr>
          <xdr:cNvGraphicFramePr/>
        </xdr:nvGraphicFramePr>
        <xdr:xfrm>
          <a:off x="714375" y="20478749"/>
          <a:ext cx="5867400" cy="2752725"/>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4657725" y="21888450"/>
            <a:ext cx="609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20</a:t>
            </a:r>
            <a:r>
              <a:rPr lang="en-US" sz="1400" b="1">
                <a:solidFill>
                  <a:sysClr val="windowText" lastClr="000000"/>
                </a:solidFill>
              </a:rPr>
              <a:t>%</a:t>
            </a:r>
          </a:p>
        </xdr:txBody>
      </xdr:sp>
    </xdr:grpSp>
    <xdr:clientData/>
  </xdr:twoCellAnchor>
  <xdr:twoCellAnchor>
    <xdr:from>
      <xdr:col>0</xdr:col>
      <xdr:colOff>752475</xdr:colOff>
      <xdr:row>127</xdr:row>
      <xdr:rowOff>38100</xdr:rowOff>
    </xdr:from>
    <xdr:to>
      <xdr:col>6</xdr:col>
      <xdr:colOff>0</xdr:colOff>
      <xdr:row>141</xdr:row>
      <xdr:rowOff>114300</xdr:rowOff>
    </xdr:to>
    <xdr:grpSp>
      <xdr:nvGrpSpPr>
        <xdr:cNvPr id="27" name="Grupo 26">
          <a:extLst>
            <a:ext uri="{FF2B5EF4-FFF2-40B4-BE49-F238E27FC236}">
              <a16:creationId xmlns:a16="http://schemas.microsoft.com/office/drawing/2014/main" id="{00000000-0008-0000-0900-00001B000000}"/>
            </a:ext>
          </a:extLst>
        </xdr:cNvPr>
        <xdr:cNvGrpSpPr/>
      </xdr:nvGrpSpPr>
      <xdr:grpSpPr>
        <a:xfrm>
          <a:off x="752475" y="25332267"/>
          <a:ext cx="5830358" cy="2743200"/>
          <a:chOff x="752475" y="24574500"/>
          <a:chExt cx="5829300" cy="2743200"/>
        </a:xfrm>
      </xdr:grpSpPr>
      <xdr:graphicFrame macro="">
        <xdr:nvGraphicFramePr>
          <xdr:cNvPr id="24" name="Gráfico 23">
            <a:extLst>
              <a:ext uri="{FF2B5EF4-FFF2-40B4-BE49-F238E27FC236}">
                <a16:creationId xmlns:a16="http://schemas.microsoft.com/office/drawing/2014/main" id="{00000000-0008-0000-0900-000018000000}"/>
              </a:ext>
            </a:extLst>
          </xdr:cNvPr>
          <xdr:cNvGraphicFramePr/>
        </xdr:nvGraphicFramePr>
        <xdr:xfrm>
          <a:off x="752475" y="24574500"/>
          <a:ext cx="5829300" cy="27432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4686300" y="26165175"/>
            <a:ext cx="609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14</a:t>
            </a:r>
            <a:r>
              <a:rPr lang="en-US" sz="1400" b="1">
                <a:solidFill>
                  <a:sysClr val="windowText" lastClr="000000"/>
                </a:solidFill>
              </a:rPr>
              <a:t>%</a:t>
            </a:r>
          </a:p>
        </xdr:txBody>
      </xdr:sp>
    </xdr:grpSp>
    <xdr:clientData/>
  </xdr:twoCellAnchor>
  <xdr:twoCellAnchor>
    <xdr:from>
      <xdr:col>1</xdr:col>
      <xdr:colOff>201083</xdr:colOff>
      <xdr:row>149</xdr:row>
      <xdr:rowOff>19051</xdr:rowOff>
    </xdr:from>
    <xdr:to>
      <xdr:col>6</xdr:col>
      <xdr:colOff>19050</xdr:colOff>
      <xdr:row>164</xdr:row>
      <xdr:rowOff>127001</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180974</xdr:colOff>
      <xdr:row>169</xdr:row>
      <xdr:rowOff>19050</xdr:rowOff>
    </xdr:from>
    <xdr:to>
      <xdr:col>4</xdr:col>
      <xdr:colOff>885824</xdr:colOff>
      <xdr:row>187</xdr:row>
      <xdr:rowOff>38100</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1143000</xdr:colOff>
      <xdr:row>158</xdr:row>
      <xdr:rowOff>95250</xdr:rowOff>
    </xdr:from>
    <xdr:to>
      <xdr:col>4</xdr:col>
      <xdr:colOff>571500</xdr:colOff>
      <xdr:row>160</xdr:row>
      <xdr:rowOff>9525</xdr:rowOff>
    </xdr:to>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4752975" y="30613350"/>
          <a:ext cx="609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52</a:t>
          </a:r>
          <a:r>
            <a:rPr lang="en-US" sz="1400" b="1">
              <a:solidFill>
                <a:sysClr val="windowText" lastClr="000000"/>
              </a:solidFill>
            </a:rPr>
            <a:t>%</a:t>
          </a:r>
        </a:p>
      </xdr:txBody>
    </xdr:sp>
    <xdr:clientData/>
  </xdr:twoCellAnchor>
  <xdr:twoCellAnchor>
    <xdr:from>
      <xdr:col>3</xdr:col>
      <xdr:colOff>247650</xdr:colOff>
      <xdr:row>180</xdr:row>
      <xdr:rowOff>66675</xdr:rowOff>
    </xdr:from>
    <xdr:to>
      <xdr:col>3</xdr:col>
      <xdr:colOff>857250</xdr:colOff>
      <xdr:row>181</xdr:row>
      <xdr:rowOff>171450</xdr:rowOff>
    </xdr:to>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3857625" y="34851975"/>
          <a:ext cx="609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rPr>
            <a:t>22</a:t>
          </a:r>
          <a:r>
            <a:rPr lang="en-US" sz="1400" b="1">
              <a:solidFill>
                <a:sysClr val="windowText" lastClr="000000"/>
              </a:solidFill>
            </a:rPr>
            <a:t>%</a:t>
          </a:r>
        </a:p>
      </xdr:txBody>
    </xdr:sp>
    <xdr:clientData/>
  </xdr:twoCellAnchor>
  <xdr:twoCellAnchor>
    <xdr:from>
      <xdr:col>9</xdr:col>
      <xdr:colOff>0</xdr:colOff>
      <xdr:row>6</xdr:row>
      <xdr:rowOff>46566</xdr:rowOff>
    </xdr:from>
    <xdr:to>
      <xdr:col>12</xdr:col>
      <xdr:colOff>645583</xdr:colOff>
      <xdr:row>25</xdr:row>
      <xdr:rowOff>21167</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467350" cy="1276350"/>
    <xdr:grpSp>
      <xdr:nvGrpSpPr>
        <xdr:cNvPr id="2" name="Shape 2">
          <a:extLst>
            <a:ext uri="{FF2B5EF4-FFF2-40B4-BE49-F238E27FC236}">
              <a16:creationId xmlns:a16="http://schemas.microsoft.com/office/drawing/2014/main" id="{00000000-0008-0000-0B00-000002000000}"/>
            </a:ext>
          </a:extLst>
        </xdr:cNvPr>
        <xdr:cNvGrpSpPr/>
      </xdr:nvGrpSpPr>
      <xdr:grpSpPr>
        <a:xfrm>
          <a:off x="0" y="0"/>
          <a:ext cx="5467350" cy="1276350"/>
          <a:chOff x="2612325" y="3141825"/>
          <a:chExt cx="5467350" cy="1276350"/>
        </a:xfrm>
      </xdr:grpSpPr>
      <xdr:grpSp>
        <xdr:nvGrpSpPr>
          <xdr:cNvPr id="10" name="Shape 10">
            <a:extLst>
              <a:ext uri="{FF2B5EF4-FFF2-40B4-BE49-F238E27FC236}">
                <a16:creationId xmlns:a16="http://schemas.microsoft.com/office/drawing/2014/main" id="{00000000-0008-0000-0B00-00000A000000}"/>
              </a:ext>
            </a:extLst>
          </xdr:cNvPr>
          <xdr:cNvGrpSpPr/>
        </xdr:nvGrpSpPr>
        <xdr:grpSpPr>
          <a:xfrm>
            <a:off x="2612325" y="3141825"/>
            <a:ext cx="5467350" cy="1276350"/>
            <a:chOff x="57150" y="47625"/>
            <a:chExt cx="6316603" cy="1200288"/>
          </a:xfrm>
        </xdr:grpSpPr>
        <xdr:sp macro="" textlink="">
          <xdr:nvSpPr>
            <xdr:cNvPr id="4" name="Shape 4">
              <a:extLst>
                <a:ext uri="{FF2B5EF4-FFF2-40B4-BE49-F238E27FC236}">
                  <a16:creationId xmlns:a16="http://schemas.microsoft.com/office/drawing/2014/main" id="{00000000-0008-0000-0B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1" name="Shape 11" descr="ESCUDO-transp-lema-blanco.png">
              <a:extLst>
                <a:ext uri="{FF2B5EF4-FFF2-40B4-BE49-F238E27FC236}">
                  <a16:creationId xmlns:a16="http://schemas.microsoft.com/office/drawing/2014/main" id="{00000000-0008-0000-0B00-00000B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12" name="Shape 12">
              <a:extLst>
                <a:ext uri="{FF2B5EF4-FFF2-40B4-BE49-F238E27FC236}">
                  <a16:creationId xmlns:a16="http://schemas.microsoft.com/office/drawing/2014/main" id="{00000000-0008-0000-0B00-00000C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514350</xdr:colOff>
      <xdr:row>87</xdr:row>
      <xdr:rowOff>447675</xdr:rowOff>
    </xdr:from>
    <xdr:ext cx="1857375" cy="152400"/>
    <xdr:pic>
      <xdr:nvPicPr>
        <xdr:cNvPr id="3" name="image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rlos%20A\Documents\PC%20CARLOS\CORPAMAG\SEGUIMIENTO%20METAS%20PAI%202020-2023\INFORMES%20SEGUIMIENTO%202020%20PAI\SOPORTES%20INFORMES%20SS%202020\MATRIZ%20DE%20SEGUIMIENTO%20II%20SEM%202020%20ney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2_CRA\Revisiones\Ajustes_20042022\3.%20Formatos%20SINA%20-%20PAI%202021_CRA_20042022_en%20rev%20-Rafael%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chivos\Documentos\MADS\2023\INFORME%20SEM%20I-2023\Anexo%201%20-%20Avance%20en%20las%20metas%20f&#237;sicas%20y%20financieras%20del%20plan%20de%20acci&#243;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uxiliar/Documents/ULTIMO%20INFORME%20PAI%202022%20FINAL_ajustado%2004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row>
        <row r="34">
          <cell r="D34" t="str">
            <v>NO APLICA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Informe Ingreso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3">
          <cell r="D33" t="str">
            <v>SI APLICA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Hoja1"/>
      <sheetName val="Anexo1_Matriz avance fisico-fin"/>
      <sheetName val="Protocolo Inf Gestión"/>
      <sheetName val="Hoja2"/>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5.2.A"/>
      <sheetName val="Datos Generales"/>
      <sheetName val="Hoja1"/>
      <sheetName val="METAS CON BAJO RENDIMIENTO"/>
      <sheetName val="Anexo 1 Matriz Inf Gestión-GD"/>
      <sheetName val="Anexo 1 Matriz Inf Gestión-REV"/>
      <sheetName val="Anexo 2 Matriz Inf Gastos"/>
      <sheetName val="Anexo 3 Matriz inf ingresos"/>
      <sheetName val="RESUMEN FISICO Y FINANCIERO"/>
      <sheetName val="GRAFICOS "/>
      <sheetName val="FORMULA"/>
      <sheetName val="16MIZC"/>
    </sheetNames>
    <sheetDataSet>
      <sheetData sheetId="0">
        <row r="50">
          <cell r="Z50">
            <v>0</v>
          </cell>
          <cell r="AA50">
            <v>0</v>
          </cell>
          <cell r="AB50">
            <v>0</v>
          </cell>
        </row>
        <row r="54">
          <cell r="Z54">
            <v>0</v>
          </cell>
          <cell r="AA54">
            <v>0</v>
          </cell>
          <cell r="AB54">
            <v>0</v>
          </cell>
        </row>
        <row r="58">
          <cell r="Z58">
            <v>0</v>
          </cell>
          <cell r="AA58">
            <v>100000000</v>
          </cell>
          <cell r="AB58">
            <v>69566667</v>
          </cell>
        </row>
        <row r="62">
          <cell r="Z62">
            <v>0</v>
          </cell>
          <cell r="AA62">
            <v>0</v>
          </cell>
          <cell r="AB62">
            <v>0</v>
          </cell>
        </row>
        <row r="66">
          <cell r="Z66">
            <v>0</v>
          </cell>
          <cell r="AA66">
            <v>0</v>
          </cell>
          <cell r="AB66">
            <v>0</v>
          </cell>
        </row>
        <row r="70">
          <cell r="Z70">
            <v>0</v>
          </cell>
          <cell r="AA70">
            <v>0</v>
          </cell>
          <cell r="AB70">
            <v>0</v>
          </cell>
        </row>
        <row r="75">
          <cell r="Z75">
            <v>0</v>
          </cell>
          <cell r="AA75">
            <v>0</v>
          </cell>
          <cell r="AB75">
            <v>0</v>
          </cell>
        </row>
        <row r="79">
          <cell r="Z79">
            <v>0</v>
          </cell>
          <cell r="AA79">
            <v>100000000</v>
          </cell>
          <cell r="AB79">
            <v>88635500</v>
          </cell>
        </row>
        <row r="83">
          <cell r="Z83">
            <v>0</v>
          </cell>
          <cell r="AA83">
            <v>0</v>
          </cell>
          <cell r="AB83">
            <v>0</v>
          </cell>
        </row>
        <row r="89">
          <cell r="Z89">
            <v>0</v>
          </cell>
          <cell r="AA89">
            <v>0</v>
          </cell>
          <cell r="AB89">
            <v>0</v>
          </cell>
        </row>
        <row r="93">
          <cell r="Z93">
            <v>0</v>
          </cell>
          <cell r="AA93">
            <v>0</v>
          </cell>
          <cell r="AB93">
            <v>0</v>
          </cell>
        </row>
        <row r="97">
          <cell r="Z97">
            <v>0</v>
          </cell>
          <cell r="AA97">
            <v>0</v>
          </cell>
          <cell r="AB97">
            <v>0</v>
          </cell>
        </row>
        <row r="101">
          <cell r="Z101">
            <v>81877059</v>
          </cell>
          <cell r="AA101">
            <v>0</v>
          </cell>
          <cell r="AB101">
            <v>0</v>
          </cell>
        </row>
        <row r="105">
          <cell r="Z105">
            <v>0</v>
          </cell>
          <cell r="AA105">
            <v>0</v>
          </cell>
          <cell r="AB105">
            <v>0</v>
          </cell>
        </row>
        <row r="109">
          <cell r="Z109">
            <v>0</v>
          </cell>
          <cell r="AA109">
            <v>0</v>
          </cell>
          <cell r="AB109">
            <v>0</v>
          </cell>
        </row>
        <row r="122">
          <cell r="Z122">
            <v>0</v>
          </cell>
          <cell r="AA122">
            <v>0</v>
          </cell>
          <cell r="AB122">
            <v>0</v>
          </cell>
        </row>
        <row r="128">
          <cell r="Z128">
            <v>0</v>
          </cell>
          <cell r="AA128">
            <v>0</v>
          </cell>
          <cell r="AB128">
            <v>0</v>
          </cell>
        </row>
        <row r="132">
          <cell r="Z132">
            <v>0</v>
          </cell>
          <cell r="AA132">
            <v>0</v>
          </cell>
          <cell r="AB132">
            <v>0</v>
          </cell>
        </row>
        <row r="136">
          <cell r="Z136">
            <v>0</v>
          </cell>
          <cell r="AA136">
            <v>0</v>
          </cell>
          <cell r="AB136">
            <v>0</v>
          </cell>
        </row>
        <row r="146">
          <cell r="Z146">
            <v>0</v>
          </cell>
          <cell r="AA146">
            <v>0</v>
          </cell>
          <cell r="AB146">
            <v>0</v>
          </cell>
        </row>
        <row r="150">
          <cell r="Z150">
            <v>0</v>
          </cell>
          <cell r="AA150">
            <v>0</v>
          </cell>
          <cell r="AB150">
            <v>0</v>
          </cell>
        </row>
        <row r="154">
          <cell r="Z154">
            <v>0</v>
          </cell>
          <cell r="AA154">
            <v>0</v>
          </cell>
          <cell r="AB154">
            <v>0</v>
          </cell>
        </row>
        <row r="160">
          <cell r="Z160">
            <v>0</v>
          </cell>
          <cell r="AA160">
            <v>0</v>
          </cell>
          <cell r="AB160">
            <v>0</v>
          </cell>
        </row>
        <row r="164">
          <cell r="Z164">
            <v>0</v>
          </cell>
          <cell r="AA164">
            <v>0</v>
          </cell>
          <cell r="AB164">
            <v>0</v>
          </cell>
        </row>
        <row r="168">
          <cell r="Z168">
            <v>0</v>
          </cell>
          <cell r="AA168">
            <v>0</v>
          </cell>
          <cell r="AB168">
            <v>0</v>
          </cell>
        </row>
        <row r="172">
          <cell r="Z172">
            <v>0</v>
          </cell>
          <cell r="AA172">
            <v>0</v>
          </cell>
          <cell r="AB172">
            <v>0</v>
          </cell>
        </row>
        <row r="176">
          <cell r="Z176">
            <v>0</v>
          </cell>
          <cell r="AA176">
            <v>0</v>
          </cell>
          <cell r="AB176">
            <v>0</v>
          </cell>
        </row>
        <row r="180">
          <cell r="Z180">
            <v>0</v>
          </cell>
          <cell r="AA180">
            <v>0</v>
          </cell>
          <cell r="AB180">
            <v>0</v>
          </cell>
        </row>
        <row r="185">
          <cell r="Z185">
            <v>0</v>
          </cell>
          <cell r="AA185">
            <v>0</v>
          </cell>
          <cell r="AB185">
            <v>0</v>
          </cell>
        </row>
        <row r="189">
          <cell r="Z189">
            <v>0</v>
          </cell>
          <cell r="AA189">
            <v>0</v>
          </cell>
          <cell r="AB189">
            <v>0</v>
          </cell>
        </row>
      </sheetData>
      <sheetData sheetId="1">
        <row r="5">
          <cell r="H5" t="str">
            <v>Corporación Autónoma Regional del Alto Magdalena - CAM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planeacion@corpocesar.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 workbookViewId="0">
      <selection activeCell="C15" sqref="C15"/>
    </sheetView>
  </sheetViews>
  <sheetFormatPr baseColWidth="10" defaultColWidth="14.42578125" defaultRowHeight="15" customHeight="1" x14ac:dyDescent="0.25"/>
  <cols>
    <col min="1" max="1" width="5.85546875" customWidth="1"/>
    <col min="2" max="2" width="44.28515625" customWidth="1"/>
    <col min="3" max="3" width="68.5703125" customWidth="1"/>
    <col min="4" max="6" width="10.7109375" customWidth="1"/>
    <col min="7" max="7" width="10.7109375" hidden="1" customWidth="1"/>
    <col min="8" max="8" width="15.5703125" hidden="1" customWidth="1"/>
    <col min="9" max="9" width="11.42578125" hidden="1" customWidth="1"/>
    <col min="10" max="26" width="10.7109375" customWidth="1"/>
  </cols>
  <sheetData>
    <row r="1" spans="1:26" ht="130.5" customHeight="1" x14ac:dyDescent="0.25">
      <c r="A1" s="1"/>
      <c r="B1" s="2"/>
      <c r="C1" s="3"/>
      <c r="S1" s="4"/>
      <c r="T1" s="4"/>
      <c r="U1" s="4"/>
      <c r="V1" s="4"/>
      <c r="W1" s="4"/>
      <c r="X1" s="4"/>
      <c r="Y1" s="4"/>
      <c r="Z1" s="4"/>
    </row>
    <row r="2" spans="1:26" ht="39.75" customHeight="1" x14ac:dyDescent="0.25">
      <c r="A2" s="1187" t="s">
        <v>0</v>
      </c>
      <c r="B2" s="1188"/>
      <c r="C2" s="1189"/>
      <c r="S2" s="5"/>
      <c r="T2" s="5"/>
      <c r="U2" s="5"/>
      <c r="V2" s="5"/>
      <c r="W2" s="5"/>
      <c r="X2" s="5"/>
      <c r="Y2" s="5"/>
      <c r="Z2" s="5"/>
    </row>
    <row r="5" spans="1:26" ht="23.25" customHeight="1" x14ac:dyDescent="0.25">
      <c r="A5" s="6"/>
      <c r="B5" s="962" t="s">
        <v>1</v>
      </c>
      <c r="C5" s="963" t="s">
        <v>2</v>
      </c>
      <c r="D5" s="6"/>
      <c r="E5" s="6"/>
      <c r="F5" s="6"/>
      <c r="G5" s="6"/>
      <c r="H5" s="6" t="s">
        <v>3</v>
      </c>
      <c r="I5" s="6"/>
      <c r="J5" s="6"/>
      <c r="K5" s="6"/>
      <c r="L5" s="6"/>
      <c r="M5" s="6"/>
      <c r="N5" s="6"/>
      <c r="O5" s="6"/>
      <c r="P5" s="6"/>
      <c r="Q5" s="6"/>
      <c r="R5" s="6"/>
      <c r="S5" s="6"/>
      <c r="T5" s="6"/>
      <c r="U5" s="6"/>
      <c r="V5" s="6"/>
      <c r="W5" s="6"/>
      <c r="X5" s="6"/>
      <c r="Y5" s="6"/>
      <c r="Z5" s="6"/>
    </row>
    <row r="6" spans="1:26" ht="23.25" customHeight="1" x14ac:dyDescent="0.25">
      <c r="A6" s="6"/>
      <c r="B6" s="962" t="s">
        <v>4</v>
      </c>
      <c r="C6" s="963" t="s">
        <v>60</v>
      </c>
      <c r="D6" s="6"/>
      <c r="E6" s="6"/>
      <c r="F6" s="6"/>
      <c r="G6" s="6"/>
      <c r="H6" s="6" t="s">
        <v>6</v>
      </c>
      <c r="I6" s="6"/>
      <c r="J6" s="6"/>
      <c r="K6" s="6"/>
      <c r="L6" s="6"/>
      <c r="M6" s="6"/>
      <c r="N6" s="6"/>
      <c r="O6" s="6"/>
      <c r="P6" s="6"/>
      <c r="Q6" s="6"/>
      <c r="R6" s="6"/>
      <c r="S6" s="6"/>
      <c r="T6" s="6"/>
      <c r="U6" s="6"/>
      <c r="V6" s="6"/>
      <c r="W6" s="6"/>
      <c r="X6" s="6"/>
      <c r="Y6" s="6"/>
      <c r="Z6" s="6"/>
    </row>
    <row r="7" spans="1:26" ht="23.25" customHeight="1" x14ac:dyDescent="0.25">
      <c r="A7" s="6"/>
      <c r="B7" s="962" t="s">
        <v>7</v>
      </c>
      <c r="C7" s="963" t="s">
        <v>8</v>
      </c>
      <c r="D7" s="6"/>
      <c r="E7" s="6"/>
      <c r="F7" s="6"/>
      <c r="G7" s="6"/>
      <c r="H7" s="6" t="s">
        <v>9</v>
      </c>
      <c r="I7" s="6"/>
      <c r="J7" s="6"/>
      <c r="K7" s="6"/>
      <c r="L7" s="6"/>
      <c r="M7" s="6"/>
      <c r="N7" s="6"/>
      <c r="O7" s="6"/>
      <c r="P7" s="6"/>
      <c r="Q7" s="6"/>
      <c r="R7" s="6"/>
      <c r="S7" s="6"/>
      <c r="T7" s="6"/>
      <c r="U7" s="6"/>
      <c r="V7" s="6"/>
      <c r="W7" s="6"/>
      <c r="X7" s="6"/>
      <c r="Y7" s="6"/>
      <c r="Z7" s="6"/>
    </row>
    <row r="8" spans="1:26" ht="23.25" customHeight="1" x14ac:dyDescent="0.25">
      <c r="A8" s="6"/>
      <c r="B8" s="962" t="s">
        <v>10</v>
      </c>
      <c r="C8" s="963" t="s">
        <v>11</v>
      </c>
      <c r="D8" s="6"/>
      <c r="E8" s="6"/>
      <c r="F8" s="6"/>
      <c r="G8" s="6"/>
      <c r="H8" s="6" t="s">
        <v>12</v>
      </c>
      <c r="I8" s="6"/>
      <c r="J8" s="6"/>
      <c r="K8" s="6"/>
      <c r="L8" s="6"/>
      <c r="M8" s="6"/>
      <c r="N8" s="6"/>
      <c r="O8" s="6"/>
      <c r="P8" s="6"/>
      <c r="Q8" s="6"/>
      <c r="R8" s="6"/>
      <c r="S8" s="6"/>
      <c r="T8" s="6"/>
      <c r="U8" s="6"/>
      <c r="V8" s="6"/>
      <c r="W8" s="6"/>
      <c r="X8" s="6"/>
      <c r="Y8" s="6"/>
      <c r="Z8" s="6"/>
    </row>
    <row r="9" spans="1:26" ht="23.25" customHeight="1" x14ac:dyDescent="0.25">
      <c r="A9" s="6"/>
      <c r="B9" s="962" t="s">
        <v>13</v>
      </c>
      <c r="C9" s="963" t="s">
        <v>14</v>
      </c>
      <c r="D9" s="6"/>
      <c r="E9" s="6"/>
      <c r="F9" s="6"/>
      <c r="G9" s="6"/>
      <c r="H9" s="6" t="s">
        <v>15</v>
      </c>
      <c r="I9" s="6"/>
      <c r="J9" s="6"/>
      <c r="K9" s="6"/>
      <c r="L9" s="6"/>
      <c r="M9" s="6"/>
      <c r="N9" s="6"/>
      <c r="O9" s="6"/>
      <c r="P9" s="6"/>
      <c r="Q9" s="6"/>
      <c r="R9" s="6"/>
      <c r="S9" s="6"/>
      <c r="T9" s="6"/>
      <c r="U9" s="6"/>
      <c r="V9" s="6"/>
      <c r="W9" s="6"/>
      <c r="X9" s="6"/>
      <c r="Y9" s="6"/>
      <c r="Z9" s="6"/>
    </row>
    <row r="10" spans="1:26" ht="23.25" customHeight="1" x14ac:dyDescent="0.25">
      <c r="A10" s="6"/>
      <c r="B10" s="962" t="s">
        <v>16</v>
      </c>
      <c r="C10" s="964" t="s">
        <v>17</v>
      </c>
      <c r="D10" s="6"/>
      <c r="E10" s="6"/>
      <c r="F10" s="6"/>
      <c r="G10" s="6"/>
      <c r="H10" s="6" t="s">
        <v>18</v>
      </c>
      <c r="I10" s="6"/>
      <c r="J10" s="6"/>
      <c r="K10" s="6"/>
      <c r="L10" s="6"/>
      <c r="M10" s="6"/>
      <c r="N10" s="6"/>
      <c r="O10" s="6"/>
      <c r="P10" s="6"/>
      <c r="Q10" s="6"/>
      <c r="R10" s="6"/>
      <c r="S10" s="6"/>
      <c r="T10" s="6"/>
      <c r="U10" s="6"/>
      <c r="V10" s="6"/>
      <c r="W10" s="6"/>
      <c r="X10" s="6"/>
      <c r="Y10" s="6"/>
      <c r="Z10" s="6"/>
    </row>
    <row r="11" spans="1:26" ht="23.25" customHeight="1" x14ac:dyDescent="0.25">
      <c r="A11" s="6"/>
      <c r="B11" s="962" t="s">
        <v>19</v>
      </c>
      <c r="C11" s="965" t="s">
        <v>20</v>
      </c>
      <c r="D11" s="6"/>
      <c r="E11" s="6"/>
      <c r="F11" s="6"/>
      <c r="G11" s="6"/>
      <c r="H11" s="6" t="s">
        <v>21</v>
      </c>
      <c r="I11" s="6"/>
      <c r="J11" s="6"/>
      <c r="K11" s="6"/>
      <c r="L11" s="6"/>
      <c r="M11" s="6"/>
      <c r="N11" s="6"/>
      <c r="O11" s="6"/>
      <c r="P11" s="6"/>
      <c r="Q11" s="6"/>
      <c r="R11" s="6"/>
      <c r="S11" s="6"/>
      <c r="T11" s="6"/>
      <c r="U11" s="6"/>
      <c r="V11" s="6"/>
      <c r="W11" s="6"/>
      <c r="X11" s="6"/>
      <c r="Y11" s="6"/>
      <c r="Z11" s="6"/>
    </row>
    <row r="12" spans="1:26" x14ac:dyDescent="0.25">
      <c r="H12" s="7" t="s">
        <v>22</v>
      </c>
    </row>
    <row r="13" spans="1:26" x14ac:dyDescent="0.25">
      <c r="H13" s="7" t="s">
        <v>23</v>
      </c>
    </row>
    <row r="14" spans="1:26" x14ac:dyDescent="0.25">
      <c r="H14" s="7" t="s">
        <v>24</v>
      </c>
    </row>
    <row r="15" spans="1:26" x14ac:dyDescent="0.25">
      <c r="H15" s="7" t="s">
        <v>25</v>
      </c>
    </row>
    <row r="16" spans="1:26" x14ac:dyDescent="0.25">
      <c r="H16" s="7" t="s">
        <v>26</v>
      </c>
    </row>
    <row r="17" spans="1:26" x14ac:dyDescent="0.25">
      <c r="H17" s="7" t="s">
        <v>27</v>
      </c>
    </row>
    <row r="18" spans="1:26" x14ac:dyDescent="0.25">
      <c r="H18" s="7" t="s">
        <v>28</v>
      </c>
    </row>
    <row r="19" spans="1:26" x14ac:dyDescent="0.25">
      <c r="H19" s="7" t="s">
        <v>29</v>
      </c>
    </row>
    <row r="20" spans="1:26" x14ac:dyDescent="0.25">
      <c r="H20" s="7" t="s">
        <v>30</v>
      </c>
    </row>
    <row r="21" spans="1:26" ht="15.75" customHeight="1" x14ac:dyDescent="0.25">
      <c r="H21" s="7" t="s">
        <v>2</v>
      </c>
    </row>
    <row r="22" spans="1:26" ht="15.75" customHeight="1" x14ac:dyDescent="0.25">
      <c r="H22" s="7" t="s">
        <v>31</v>
      </c>
    </row>
    <row r="23" spans="1:26" ht="15.75" customHeight="1" x14ac:dyDescent="0.25">
      <c r="H23" s="7" t="s">
        <v>32</v>
      </c>
    </row>
    <row r="24" spans="1:26" ht="15.75" customHeight="1" x14ac:dyDescent="0.25">
      <c r="H24" s="7" t="s">
        <v>33</v>
      </c>
    </row>
    <row r="25" spans="1:26" ht="15.75" customHeight="1" x14ac:dyDescent="0.25">
      <c r="H25" s="7" t="s">
        <v>34</v>
      </c>
    </row>
    <row r="26" spans="1:26" ht="15.75" customHeight="1" x14ac:dyDescent="0.25">
      <c r="H26" s="7" t="s">
        <v>35</v>
      </c>
    </row>
    <row r="27" spans="1:26" ht="15.75" customHeight="1" x14ac:dyDescent="0.25">
      <c r="H27" s="7" t="s">
        <v>36</v>
      </c>
    </row>
    <row r="28" spans="1:26" ht="15.75" customHeight="1" x14ac:dyDescent="0.25">
      <c r="H28" s="7" t="s">
        <v>37</v>
      </c>
    </row>
    <row r="29" spans="1:26" ht="15.75" customHeight="1" x14ac:dyDescent="0.25">
      <c r="A29" s="8"/>
      <c r="B29" s="8"/>
      <c r="C29" s="8"/>
      <c r="D29" s="8"/>
      <c r="E29" s="8"/>
      <c r="F29" s="8"/>
      <c r="G29" s="8"/>
      <c r="H29" s="8" t="s">
        <v>38</v>
      </c>
      <c r="I29" s="8"/>
      <c r="J29" s="8"/>
      <c r="K29" s="8"/>
      <c r="L29" s="8"/>
      <c r="M29" s="8"/>
      <c r="N29" s="8"/>
      <c r="O29" s="8"/>
      <c r="P29" s="8"/>
      <c r="Q29" s="8"/>
      <c r="R29" s="8"/>
      <c r="S29" s="8"/>
      <c r="T29" s="8"/>
      <c r="U29" s="8"/>
      <c r="V29" s="8"/>
      <c r="W29" s="8"/>
      <c r="X29" s="8"/>
      <c r="Y29" s="8"/>
      <c r="Z29" s="8"/>
    </row>
    <row r="30" spans="1:26" ht="15.75" customHeight="1" x14ac:dyDescent="0.25">
      <c r="H30" s="7" t="s">
        <v>39</v>
      </c>
    </row>
    <row r="31" spans="1:26" ht="15.75" customHeight="1" x14ac:dyDescent="0.25">
      <c r="H31" s="7" t="s">
        <v>40</v>
      </c>
    </row>
    <row r="32" spans="1:26" ht="15.75" customHeight="1" x14ac:dyDescent="0.25">
      <c r="H32" s="7" t="s">
        <v>41</v>
      </c>
    </row>
    <row r="33" spans="8:8" ht="15.75" customHeight="1" x14ac:dyDescent="0.25">
      <c r="H33" s="7" t="s">
        <v>42</v>
      </c>
    </row>
    <row r="34" spans="8:8" ht="15.75" customHeight="1" x14ac:dyDescent="0.25">
      <c r="H34" s="7" t="s">
        <v>43</v>
      </c>
    </row>
    <row r="35" spans="8:8" ht="15.75" customHeight="1" x14ac:dyDescent="0.25">
      <c r="H35" s="7" t="s">
        <v>44</v>
      </c>
    </row>
    <row r="36" spans="8:8" ht="15.75" customHeight="1" x14ac:dyDescent="0.25">
      <c r="H36" s="7" t="s">
        <v>45</v>
      </c>
    </row>
    <row r="37" spans="8:8" ht="15.75" customHeight="1" x14ac:dyDescent="0.25">
      <c r="H37" s="7" t="s">
        <v>46</v>
      </c>
    </row>
    <row r="38" spans="8:8" ht="15.75" customHeight="1" x14ac:dyDescent="0.25"/>
    <row r="39" spans="8:8" ht="15.75" customHeight="1" x14ac:dyDescent="0.25">
      <c r="H39" s="7" t="s">
        <v>47</v>
      </c>
    </row>
    <row r="40" spans="8:8" ht="15.75" customHeight="1" x14ac:dyDescent="0.25">
      <c r="H40" s="7" t="s">
        <v>48</v>
      </c>
    </row>
    <row r="41" spans="8:8" ht="15.75" customHeight="1" x14ac:dyDescent="0.25">
      <c r="H41" s="7" t="s">
        <v>49</v>
      </c>
    </row>
    <row r="42" spans="8:8" ht="15.75" customHeight="1" x14ac:dyDescent="0.25">
      <c r="H42" s="7" t="s">
        <v>50</v>
      </c>
    </row>
    <row r="43" spans="8:8" ht="15.75" customHeight="1" x14ac:dyDescent="0.25">
      <c r="H43" s="7" t="s">
        <v>51</v>
      </c>
    </row>
    <row r="44" spans="8:8" ht="15.75" customHeight="1" x14ac:dyDescent="0.25">
      <c r="H44" s="7" t="s">
        <v>52</v>
      </c>
    </row>
    <row r="45" spans="8:8" ht="15.75" customHeight="1" x14ac:dyDescent="0.25">
      <c r="H45" s="7" t="s">
        <v>53</v>
      </c>
    </row>
    <row r="46" spans="8:8" ht="15.75" customHeight="1" x14ac:dyDescent="0.25">
      <c r="H46" s="7" t="s">
        <v>54</v>
      </c>
    </row>
    <row r="47" spans="8:8" ht="15.75" customHeight="1" x14ac:dyDescent="0.25">
      <c r="H47" s="8" t="s">
        <v>55</v>
      </c>
    </row>
    <row r="48" spans="8:8" ht="15.75" customHeight="1" x14ac:dyDescent="0.25">
      <c r="H48" s="8" t="s">
        <v>56</v>
      </c>
    </row>
    <row r="49" spans="8:8" ht="15.75" customHeight="1" x14ac:dyDescent="0.25">
      <c r="H49" s="8" t="s">
        <v>57</v>
      </c>
    </row>
    <row r="50" spans="8:8" ht="15.75" customHeight="1" x14ac:dyDescent="0.25">
      <c r="H50" s="8" t="s">
        <v>5</v>
      </c>
    </row>
    <row r="51" spans="8:8" ht="15.75" customHeight="1" x14ac:dyDescent="0.25">
      <c r="H51" s="8" t="s">
        <v>58</v>
      </c>
    </row>
    <row r="52" spans="8:8" ht="15.75" customHeight="1" x14ac:dyDescent="0.25">
      <c r="H52" s="8" t="s">
        <v>59</v>
      </c>
    </row>
    <row r="53" spans="8:8" ht="15.75" customHeight="1" x14ac:dyDescent="0.25">
      <c r="H53" s="8" t="s">
        <v>60</v>
      </c>
    </row>
    <row r="54" spans="8:8" ht="15.75" customHeight="1" x14ac:dyDescent="0.25">
      <c r="H54" s="8" t="s">
        <v>61</v>
      </c>
    </row>
    <row r="55" spans="8:8" ht="15.75" customHeight="1" x14ac:dyDescent="0.25">
      <c r="H55" s="8" t="s">
        <v>62</v>
      </c>
    </row>
    <row r="56" spans="8:8" ht="15.75" customHeight="1" x14ac:dyDescent="0.25">
      <c r="H56" s="8" t="s">
        <v>63</v>
      </c>
    </row>
    <row r="57" spans="8:8" ht="15.75" customHeight="1" x14ac:dyDescent="0.25">
      <c r="H57" s="8" t="s">
        <v>64</v>
      </c>
    </row>
    <row r="58" spans="8:8" ht="15.75" customHeight="1" x14ac:dyDescent="0.25">
      <c r="H58" s="8" t="s">
        <v>65</v>
      </c>
    </row>
    <row r="59" spans="8:8" ht="15.75" customHeight="1" x14ac:dyDescent="0.25"/>
    <row r="60" spans="8:8" ht="15.75" customHeight="1" x14ac:dyDescent="0.25"/>
    <row r="61" spans="8:8" ht="15.75" customHeight="1" x14ac:dyDescent="0.25"/>
    <row r="62" spans="8:8" ht="15.75" customHeight="1" x14ac:dyDescent="0.25"/>
    <row r="63" spans="8:8" ht="15.75" customHeight="1" x14ac:dyDescent="0.25"/>
    <row r="64" spans="8: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C2"/>
  </mergeCells>
  <dataValidations count="2">
    <dataValidation type="list" allowBlank="1" showInputMessage="1" showErrorMessage="1" prompt="Seleccione la CAR de la cual incorporara la información" sqref="C5">
      <formula1>Lista_CAR</formula1>
    </dataValidation>
    <dataValidation type="list" allowBlank="1" showInputMessage="1" showErrorMessage="1" prompt="Seleccione el perido a reportar" sqref="C6">
      <formula1>$H$39:$H$58</formula1>
    </dataValidation>
  </dataValidations>
  <hyperlinks>
    <hyperlink ref="C10" r:id="rId1"/>
  </hyperlinks>
  <pageMargins left="0.7" right="0.7" top="0.75" bottom="0.75" header="0" footer="0"/>
  <pageSetup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
  <sheetViews>
    <sheetView view="pageBreakPreview" zoomScaleNormal="100" zoomScaleSheetLayoutView="100" workbookViewId="0">
      <selection activeCell="B2" sqref="B2:B64"/>
    </sheetView>
  </sheetViews>
  <sheetFormatPr baseColWidth="10" defaultColWidth="14.42578125" defaultRowHeight="15" customHeight="1" x14ac:dyDescent="0.25"/>
  <cols>
    <col min="1" max="1" width="2.28515625" customWidth="1"/>
    <col min="2" max="2" width="101.85546875" customWidth="1"/>
    <col min="3" max="3" width="20.140625" customWidth="1"/>
    <col min="4" max="4" width="29.5703125" bestFit="1" customWidth="1"/>
    <col min="5" max="5" width="27.42578125" style="225" customWidth="1"/>
    <col min="6" max="21" width="101.85546875" customWidth="1"/>
  </cols>
  <sheetData>
    <row r="1" spans="1:21" ht="102" customHeight="1" x14ac:dyDescent="0.25">
      <c r="A1" s="8"/>
      <c r="B1" s="251" t="s">
        <v>1467</v>
      </c>
      <c r="C1" s="251" t="s">
        <v>604</v>
      </c>
      <c r="D1" s="252" t="s">
        <v>1343</v>
      </c>
      <c r="E1" s="252" t="s">
        <v>1344</v>
      </c>
      <c r="F1" s="8"/>
      <c r="G1" s="8"/>
      <c r="H1" s="8"/>
      <c r="I1" s="8"/>
      <c r="J1" s="8"/>
      <c r="K1" s="8"/>
      <c r="L1" s="8"/>
      <c r="M1" s="8"/>
      <c r="N1" s="8"/>
      <c r="O1" s="8"/>
      <c r="P1" s="8"/>
      <c r="Q1" s="8"/>
      <c r="R1" s="8"/>
      <c r="S1" s="8"/>
      <c r="T1" s="8"/>
      <c r="U1" s="8"/>
    </row>
    <row r="2" spans="1:21" ht="30" customHeight="1" x14ac:dyDescent="0.25">
      <c r="A2" s="8"/>
      <c r="B2" s="253" t="s">
        <v>116</v>
      </c>
      <c r="C2" s="254">
        <f>'Anexo 1 Matriz Inf Gestión-GD'!R7</f>
        <v>0.58160299999999987</v>
      </c>
      <c r="D2" s="254">
        <f>'Anexo 1 Matriz Inf Gestión-GD'!AL7</f>
        <v>0.52942146843459048</v>
      </c>
      <c r="E2" s="254">
        <f>'Anexo 1 Matriz Inf Gestión-GD'!AQ7</f>
        <v>2.7050844310679754E-2</v>
      </c>
      <c r="F2" s="8"/>
      <c r="G2" s="8"/>
      <c r="H2" s="8"/>
      <c r="I2" s="8"/>
      <c r="J2" s="8"/>
      <c r="K2" s="8"/>
      <c r="L2" s="8"/>
      <c r="M2" s="8"/>
      <c r="N2" s="8"/>
      <c r="O2" s="8"/>
      <c r="P2" s="8"/>
      <c r="Q2" s="8"/>
      <c r="R2" s="8"/>
      <c r="S2" s="8"/>
      <c r="T2" s="8"/>
      <c r="U2" s="8"/>
    </row>
    <row r="3" spans="1:21" ht="30" customHeight="1" x14ac:dyDescent="0.25">
      <c r="A3" s="8"/>
      <c r="B3" s="255" t="s">
        <v>117</v>
      </c>
      <c r="C3" s="256">
        <f>'Anexo 1 Matriz Inf Gestión-GD'!R8</f>
        <v>0.45920499999999997</v>
      </c>
      <c r="D3" s="256">
        <f>'Anexo 1 Matriz Inf Gestión-GD'!AL8</f>
        <v>0.53439369730779107</v>
      </c>
      <c r="E3" s="256">
        <f>'Anexo 1 Matriz Inf Gestión-GD'!AQ8</f>
        <v>2.5276713276708725E-2</v>
      </c>
      <c r="F3" s="8"/>
      <c r="G3" s="8"/>
      <c r="H3" s="8"/>
      <c r="I3" s="8"/>
      <c r="J3" s="8"/>
      <c r="K3" s="8"/>
      <c r="L3" s="8"/>
      <c r="M3" s="8"/>
      <c r="N3" s="8"/>
      <c r="O3" s="8"/>
      <c r="P3" s="8"/>
      <c r="Q3" s="8"/>
      <c r="R3" s="8"/>
      <c r="S3" s="8"/>
      <c r="T3" s="8"/>
      <c r="U3" s="8"/>
    </row>
    <row r="4" spans="1:21" ht="30" customHeight="1" x14ac:dyDescent="0.25">
      <c r="A4" s="8"/>
      <c r="B4" s="257" t="s">
        <v>118</v>
      </c>
      <c r="C4" s="258">
        <f>'Anexo 1 Matriz Inf Gestión-GD'!R9</f>
        <v>0.50149999999999995</v>
      </c>
      <c r="D4" s="258">
        <f>'Anexo 1 Matriz Inf Gestión-GD'!AL9</f>
        <v>4.9805659564588094E-2</v>
      </c>
      <c r="E4" s="259">
        <f>'Anexo 1 Matriz Inf Gestión-GD'!AQ9</f>
        <v>7.3000871820702411E-3</v>
      </c>
      <c r="F4" s="8"/>
      <c r="G4" s="8"/>
      <c r="H4" s="8"/>
      <c r="I4" s="8"/>
      <c r="J4" s="8"/>
      <c r="K4" s="8"/>
      <c r="L4" s="8"/>
      <c r="M4" s="8"/>
      <c r="N4" s="8"/>
      <c r="O4" s="8"/>
      <c r="P4" s="8"/>
      <c r="Q4" s="8"/>
      <c r="R4" s="8"/>
      <c r="S4" s="8"/>
      <c r="T4" s="8"/>
      <c r="U4" s="8"/>
    </row>
    <row r="5" spans="1:21" ht="30" customHeight="1" x14ac:dyDescent="0.25">
      <c r="A5" s="8"/>
      <c r="B5" s="1293" t="s">
        <v>140</v>
      </c>
      <c r="C5" s="1297">
        <f>'Anexo 1 Matriz Inf Gestión-GD'!R17</f>
        <v>0.1</v>
      </c>
      <c r="D5" s="1297">
        <f>'Anexo 1 Matriz Inf Gestión-GD'!AL17</f>
        <v>0.58241200000000004</v>
      </c>
      <c r="E5" s="1302">
        <f>'Anexo 1 Matriz Inf Gestión-GD'!AQ17</f>
        <v>0.109232</v>
      </c>
      <c r="F5" s="8"/>
      <c r="G5" s="8"/>
      <c r="H5" s="8"/>
      <c r="I5" s="8"/>
      <c r="J5" s="8"/>
      <c r="K5" s="8"/>
      <c r="L5" s="8"/>
      <c r="M5" s="8"/>
      <c r="N5" s="8"/>
      <c r="O5" s="8"/>
      <c r="P5" s="8"/>
      <c r="Q5" s="8"/>
      <c r="R5" s="8"/>
      <c r="S5" s="8"/>
      <c r="T5" s="8"/>
      <c r="U5" s="8"/>
    </row>
    <row r="6" spans="1:21" ht="30" customHeight="1" x14ac:dyDescent="0.25">
      <c r="A6" s="8"/>
      <c r="B6" s="1294"/>
      <c r="C6" s="1298"/>
      <c r="D6" s="1298"/>
      <c r="E6" s="1302"/>
      <c r="F6" s="8"/>
      <c r="G6" s="8"/>
      <c r="H6" s="8"/>
      <c r="I6" s="8"/>
      <c r="J6" s="8"/>
      <c r="K6" s="8"/>
      <c r="L6" s="8"/>
      <c r="M6" s="8"/>
      <c r="N6" s="8"/>
      <c r="O6" s="8"/>
      <c r="P6" s="8"/>
      <c r="Q6" s="8"/>
      <c r="R6" s="8"/>
      <c r="S6" s="8"/>
      <c r="T6" s="8"/>
      <c r="U6" s="8"/>
    </row>
    <row r="7" spans="1:21" ht="30" customHeight="1" x14ac:dyDescent="0.25">
      <c r="A7" s="8"/>
      <c r="B7" s="1293" t="s">
        <v>149</v>
      </c>
      <c r="C7" s="1297">
        <f>'Anexo 1 Matriz Inf Gestión-GD'!R21</f>
        <v>0.1784</v>
      </c>
      <c r="D7" s="1297">
        <f>'Anexo 1 Matriz Inf Gestión-GD'!AL21</f>
        <v>0.1563216</v>
      </c>
      <c r="E7" s="1302">
        <f>'Anexo 1 Matriz Inf Gestión-GD'!AQ21</f>
        <v>9.5716599999999999E-2</v>
      </c>
      <c r="F7" s="8"/>
      <c r="G7" s="8"/>
      <c r="H7" s="8"/>
      <c r="I7" s="8"/>
      <c r="J7" s="8"/>
      <c r="K7" s="8"/>
      <c r="L7" s="8"/>
      <c r="M7" s="8"/>
      <c r="N7" s="8"/>
      <c r="O7" s="8"/>
      <c r="P7" s="8"/>
      <c r="Q7" s="8"/>
      <c r="R7" s="8"/>
      <c r="S7" s="8"/>
      <c r="T7" s="8"/>
      <c r="U7" s="8"/>
    </row>
    <row r="8" spans="1:21" ht="30" customHeight="1" x14ac:dyDescent="0.25">
      <c r="A8" s="8"/>
      <c r="B8" s="1294"/>
      <c r="C8" s="1298"/>
      <c r="D8" s="1298"/>
      <c r="E8" s="1302"/>
      <c r="F8" s="8"/>
      <c r="G8" s="8"/>
      <c r="H8" s="8"/>
      <c r="I8" s="8"/>
      <c r="J8" s="8"/>
      <c r="K8" s="8"/>
      <c r="L8" s="8"/>
      <c r="M8" s="8"/>
      <c r="N8" s="8"/>
      <c r="O8" s="8"/>
      <c r="P8" s="8"/>
      <c r="Q8" s="8"/>
      <c r="R8" s="8"/>
      <c r="S8" s="8"/>
      <c r="T8" s="8"/>
      <c r="U8" s="8"/>
    </row>
    <row r="9" spans="1:21" ht="30" customHeight="1" x14ac:dyDescent="0.25">
      <c r="A9" s="8"/>
      <c r="B9" s="1293" t="s">
        <v>166</v>
      </c>
      <c r="C9" s="1297">
        <f>'Anexo 1 Matriz Inf Gestión-GD'!R29</f>
        <v>0.26</v>
      </c>
      <c r="D9" s="1297">
        <f>'Anexo 1 Matriz Inf Gestión-GD'!AL29</f>
        <v>0.1</v>
      </c>
      <c r="E9" s="1302">
        <f>'Anexo 1 Matriz Inf Gestión-GD'!AQ29</f>
        <v>0</v>
      </c>
      <c r="F9" s="8"/>
      <c r="G9" s="8"/>
      <c r="H9" s="8"/>
      <c r="I9" s="8"/>
      <c r="J9" s="8"/>
      <c r="K9" s="8"/>
      <c r="L9" s="8"/>
      <c r="M9" s="8"/>
      <c r="N9" s="8"/>
      <c r="O9" s="8"/>
      <c r="P9" s="8"/>
      <c r="Q9" s="8"/>
      <c r="R9" s="8"/>
      <c r="S9" s="8"/>
      <c r="T9" s="8"/>
      <c r="U9" s="8"/>
    </row>
    <row r="10" spans="1:21" ht="30" customHeight="1" x14ac:dyDescent="0.25">
      <c r="A10" s="8"/>
      <c r="B10" s="1294"/>
      <c r="C10" s="1298"/>
      <c r="D10" s="1298"/>
      <c r="E10" s="1302"/>
      <c r="F10" s="8"/>
      <c r="G10" s="8"/>
      <c r="H10" s="8"/>
      <c r="I10" s="8"/>
      <c r="J10" s="8"/>
      <c r="K10" s="8"/>
      <c r="L10" s="8"/>
      <c r="M10" s="8"/>
      <c r="N10" s="8"/>
      <c r="O10" s="8"/>
      <c r="P10" s="8"/>
      <c r="Q10" s="8"/>
      <c r="R10" s="8"/>
      <c r="S10" s="8"/>
      <c r="T10" s="8"/>
      <c r="U10" s="8"/>
    </row>
    <row r="11" spans="1:21" ht="30" customHeight="1" x14ac:dyDescent="0.25">
      <c r="A11" s="8"/>
      <c r="B11" s="1293" t="s">
        <v>605</v>
      </c>
      <c r="C11" s="1297">
        <f>'Anexo 1 Matriz Inf Gestión-GD'!R35</f>
        <v>0.67399999999999993</v>
      </c>
      <c r="D11" s="1297">
        <f>'Anexo 1 Matriz Inf Gestión-GD'!AL35</f>
        <v>0.72378548666666653</v>
      </c>
      <c r="E11" s="1302">
        <f>'Anexo 1 Matriz Inf Gestión-GD'!AQ35</f>
        <v>0.20752371</v>
      </c>
      <c r="F11" s="8"/>
      <c r="G11" s="8"/>
      <c r="H11" s="8"/>
      <c r="I11" s="8"/>
      <c r="J11" s="8"/>
      <c r="K11" s="8"/>
      <c r="L11" s="8"/>
      <c r="M11" s="8"/>
      <c r="N11" s="8"/>
      <c r="O11" s="8"/>
      <c r="P11" s="8"/>
      <c r="Q11" s="8"/>
      <c r="R11" s="8"/>
      <c r="S11" s="8"/>
      <c r="T11" s="8"/>
      <c r="U11" s="8"/>
    </row>
    <row r="12" spans="1:21" ht="30" customHeight="1" x14ac:dyDescent="0.25">
      <c r="A12" s="8"/>
      <c r="B12" s="1294"/>
      <c r="C12" s="1298"/>
      <c r="D12" s="1298"/>
      <c r="E12" s="1302"/>
      <c r="F12" s="8"/>
      <c r="G12" s="8"/>
      <c r="H12" s="8"/>
      <c r="I12" s="8"/>
      <c r="J12" s="8"/>
      <c r="K12" s="8"/>
      <c r="L12" s="8"/>
      <c r="M12" s="8"/>
      <c r="N12" s="8"/>
      <c r="O12" s="8"/>
      <c r="P12" s="8"/>
      <c r="Q12" s="8"/>
      <c r="R12" s="8"/>
      <c r="S12" s="8"/>
      <c r="T12" s="8"/>
      <c r="U12" s="8"/>
    </row>
    <row r="13" spans="1:21" ht="30" customHeight="1" x14ac:dyDescent="0.25">
      <c r="A13" s="8"/>
      <c r="B13" s="1293" t="s">
        <v>198</v>
      </c>
      <c r="C13" s="1297">
        <f>'Anexo 1 Matriz Inf Gestión-GD'!R41</f>
        <v>0.86249999999999993</v>
      </c>
      <c r="D13" s="1297">
        <f>'Anexo 1 Matriz Inf Gestión-GD'!AL41</f>
        <v>0.97706122774475046</v>
      </c>
      <c r="E13" s="1302">
        <f>'Anexo 1 Matriz Inf Gestión-GD'!AQ41</f>
        <v>6.7301379038795855E-3</v>
      </c>
      <c r="F13" s="8"/>
      <c r="G13" s="8"/>
      <c r="H13" s="8"/>
      <c r="I13" s="8"/>
      <c r="J13" s="8"/>
      <c r="K13" s="8"/>
      <c r="L13" s="8"/>
      <c r="M13" s="8"/>
      <c r="N13" s="8"/>
      <c r="O13" s="8"/>
      <c r="P13" s="8"/>
      <c r="Q13" s="8"/>
      <c r="R13" s="8"/>
      <c r="S13" s="8"/>
      <c r="T13" s="8"/>
      <c r="U13" s="8"/>
    </row>
    <row r="14" spans="1:21" ht="30" customHeight="1" x14ac:dyDescent="0.25">
      <c r="A14" s="8"/>
      <c r="B14" s="1294"/>
      <c r="C14" s="1298"/>
      <c r="D14" s="1298"/>
      <c r="E14" s="1302"/>
      <c r="F14" s="8"/>
      <c r="G14" s="8"/>
      <c r="H14" s="8"/>
      <c r="I14" s="8"/>
      <c r="J14" s="8"/>
      <c r="K14" s="8"/>
      <c r="L14" s="8"/>
      <c r="M14" s="8"/>
      <c r="N14" s="8"/>
      <c r="O14" s="8"/>
      <c r="P14" s="8"/>
      <c r="Q14" s="8"/>
      <c r="R14" s="8"/>
      <c r="S14" s="8"/>
      <c r="T14" s="8"/>
      <c r="U14" s="8"/>
    </row>
    <row r="15" spans="1:21" ht="30" customHeight="1" x14ac:dyDescent="0.25">
      <c r="A15" s="8"/>
      <c r="B15" s="260" t="s">
        <v>221</v>
      </c>
      <c r="C15" s="261">
        <f>'Anexo 1 Matriz Inf Gestión-GD'!R51</f>
        <v>0.76519999999999988</v>
      </c>
      <c r="D15" s="262">
        <f>'Anexo 1 Matriz Inf Gestión-GD'!AL51</f>
        <v>0.50957458333333339</v>
      </c>
      <c r="E15" s="263">
        <f>'Anexo 1 Matriz Inf Gestión-GD'!AQ51</f>
        <v>3.4132371666666668E-2</v>
      </c>
      <c r="F15" s="8"/>
      <c r="G15" s="8"/>
      <c r="H15" s="8"/>
      <c r="I15" s="8"/>
      <c r="J15" s="8"/>
      <c r="K15" s="8"/>
      <c r="L15" s="8"/>
      <c r="M15" s="8"/>
      <c r="N15" s="8"/>
      <c r="O15" s="8"/>
      <c r="P15" s="8"/>
      <c r="Q15" s="8"/>
      <c r="R15" s="8"/>
      <c r="S15" s="8"/>
      <c r="T15" s="8"/>
      <c r="U15" s="8"/>
    </row>
    <row r="16" spans="1:21" ht="30" customHeight="1" x14ac:dyDescent="0.25">
      <c r="A16" s="8"/>
      <c r="B16" s="257" t="s">
        <v>222</v>
      </c>
      <c r="C16" s="264">
        <f>'Anexo 1 Matriz Inf Gestión-GD'!R52</f>
        <v>0.88400000000000001</v>
      </c>
      <c r="D16" s="258">
        <f>'Anexo 1 Matriz Inf Gestión-GD'!AL52</f>
        <v>0.34380250000000001</v>
      </c>
      <c r="E16" s="259">
        <f>'Anexo 1 Matriz Inf Gestión-GD'!AQ56</f>
        <v>0</v>
      </c>
      <c r="F16" s="8"/>
      <c r="G16" s="8"/>
      <c r="H16" s="8"/>
      <c r="I16" s="8"/>
      <c r="J16" s="8"/>
      <c r="K16" s="8"/>
      <c r="L16" s="8"/>
      <c r="M16" s="8"/>
      <c r="N16" s="8"/>
      <c r="O16" s="8"/>
      <c r="P16" s="8"/>
      <c r="Q16" s="8"/>
      <c r="R16" s="8"/>
      <c r="S16" s="8"/>
      <c r="T16" s="8"/>
      <c r="U16" s="8"/>
    </row>
    <row r="17" spans="1:21" ht="30" customHeight="1" x14ac:dyDescent="0.25">
      <c r="A17" s="8"/>
      <c r="B17" s="1293" t="s">
        <v>232</v>
      </c>
      <c r="C17" s="1299">
        <f>'Anexo 1 Matriz Inf Gestión-GD'!R56</f>
        <v>1</v>
      </c>
      <c r="D17" s="1297">
        <f>'Anexo 1 Matriz Inf Gestión-GD'!AL56</f>
        <v>0.36</v>
      </c>
      <c r="E17" s="1302">
        <f>'Anexo 1 Matriz Inf Gestión-GD'!AQ56</f>
        <v>0</v>
      </c>
      <c r="F17" s="8"/>
      <c r="G17" s="8"/>
      <c r="H17" s="8"/>
      <c r="I17" s="8"/>
      <c r="J17" s="8"/>
      <c r="K17" s="8"/>
      <c r="L17" s="8"/>
      <c r="M17" s="8"/>
      <c r="N17" s="8"/>
      <c r="O17" s="8"/>
      <c r="P17" s="8"/>
      <c r="Q17" s="8"/>
      <c r="R17" s="8"/>
      <c r="S17" s="8"/>
      <c r="T17" s="8"/>
      <c r="U17" s="8"/>
    </row>
    <row r="18" spans="1:21" ht="30" customHeight="1" x14ac:dyDescent="0.25">
      <c r="A18" s="8"/>
      <c r="B18" s="1294"/>
      <c r="C18" s="1294"/>
      <c r="D18" s="1298"/>
      <c r="E18" s="1302"/>
      <c r="F18" s="8"/>
      <c r="G18" s="8"/>
      <c r="H18" s="8"/>
      <c r="I18" s="8"/>
      <c r="J18" s="8"/>
      <c r="K18" s="8"/>
      <c r="L18" s="8"/>
      <c r="M18" s="8"/>
      <c r="N18" s="8"/>
      <c r="O18" s="8"/>
      <c r="P18" s="8"/>
      <c r="Q18" s="8"/>
      <c r="R18" s="8"/>
      <c r="S18" s="8"/>
      <c r="T18" s="8"/>
      <c r="U18" s="8"/>
    </row>
    <row r="19" spans="1:21" ht="30" customHeight="1" x14ac:dyDescent="0.25">
      <c r="A19" s="8"/>
      <c r="B19" s="1293" t="s">
        <v>242</v>
      </c>
      <c r="C19" s="1295">
        <f>'Anexo 1 Matriz Inf Gestión-GD'!R60</f>
        <v>0.5</v>
      </c>
      <c r="D19" s="1297">
        <f>'Anexo 1 Matriz Inf Gestión-GD'!AL60</f>
        <v>0.56303222222222216</v>
      </c>
      <c r="E19" s="1302">
        <f>'Anexo 1 Matriz Inf Gestión-GD'!AQ60</f>
        <v>4.1331495555555556E-2</v>
      </c>
      <c r="F19" s="8"/>
      <c r="G19" s="8"/>
      <c r="H19" s="8"/>
      <c r="I19" s="8"/>
      <c r="J19" s="8"/>
      <c r="K19" s="8"/>
      <c r="L19" s="8"/>
      <c r="M19" s="8"/>
      <c r="N19" s="8"/>
      <c r="O19" s="8"/>
      <c r="P19" s="8"/>
      <c r="Q19" s="8"/>
      <c r="R19" s="8"/>
      <c r="S19" s="8"/>
      <c r="T19" s="8"/>
      <c r="U19" s="8"/>
    </row>
    <row r="20" spans="1:21" ht="30" customHeight="1" x14ac:dyDescent="0.25">
      <c r="A20" s="8"/>
      <c r="B20" s="1294"/>
      <c r="C20" s="1296"/>
      <c r="D20" s="1298"/>
      <c r="E20" s="1302"/>
      <c r="F20" s="8"/>
      <c r="G20" s="8"/>
      <c r="H20" s="8"/>
      <c r="I20" s="8"/>
      <c r="J20" s="8"/>
      <c r="K20" s="8"/>
      <c r="L20" s="8"/>
      <c r="M20" s="8"/>
      <c r="N20" s="8"/>
      <c r="O20" s="8"/>
      <c r="P20" s="8"/>
      <c r="Q20" s="8"/>
      <c r="R20" s="8"/>
      <c r="S20" s="8"/>
      <c r="T20" s="8"/>
      <c r="U20" s="8"/>
    </row>
    <row r="21" spans="1:21" ht="30" customHeight="1" x14ac:dyDescent="0.25">
      <c r="A21" s="8"/>
      <c r="B21" s="253" t="s">
        <v>252</v>
      </c>
      <c r="C21" s="254">
        <f>'Anexo 1 Matriz Inf Gestión-GD'!R65</f>
        <v>0.65664119999999992</v>
      </c>
      <c r="D21" s="254">
        <f>'Anexo 1 Matriz Inf Gestión-GD'!AL65</f>
        <v>0.1991561813052749</v>
      </c>
      <c r="E21" s="273">
        <f>'Anexo 1 Matriz Inf Gestión-GD'!AQ65</f>
        <v>3.3568869653163934E-2</v>
      </c>
      <c r="F21" s="8"/>
      <c r="G21" s="8"/>
      <c r="H21" s="8"/>
      <c r="I21" s="8"/>
      <c r="J21" s="8"/>
      <c r="K21" s="8"/>
      <c r="L21" s="8"/>
      <c r="M21" s="8"/>
      <c r="N21" s="8"/>
      <c r="O21" s="8"/>
      <c r="P21" s="8"/>
      <c r="Q21" s="8"/>
      <c r="R21" s="8"/>
      <c r="S21" s="8"/>
      <c r="T21" s="8"/>
      <c r="U21" s="8"/>
    </row>
    <row r="22" spans="1:21" ht="30" customHeight="1" x14ac:dyDescent="0.25">
      <c r="A22" s="8"/>
      <c r="B22" s="255" t="s">
        <v>253</v>
      </c>
      <c r="C22" s="256">
        <f>'Anexo 1 Matriz Inf Gestión-GD'!R66</f>
        <v>0.70616000000000012</v>
      </c>
      <c r="D22" s="256">
        <f>'Anexo 1 Matriz Inf Gestión-GD'!AL66</f>
        <v>9.2562908470756974E-2</v>
      </c>
      <c r="E22" s="272">
        <f>'Anexo 1 Matriz Inf Gestión-GD'!AQ66</f>
        <v>1.0746489797323034E-2</v>
      </c>
      <c r="F22" s="8"/>
      <c r="G22" s="8"/>
      <c r="H22" s="8"/>
      <c r="I22" s="8"/>
      <c r="J22" s="8"/>
      <c r="K22" s="8"/>
      <c r="L22" s="8"/>
      <c r="M22" s="8"/>
      <c r="N22" s="8"/>
      <c r="O22" s="8"/>
      <c r="P22" s="8"/>
      <c r="Q22" s="8"/>
      <c r="R22" s="8"/>
      <c r="S22" s="8"/>
      <c r="T22" s="8"/>
      <c r="U22" s="8"/>
    </row>
    <row r="23" spans="1:21" ht="30" customHeight="1" x14ac:dyDescent="0.25">
      <c r="A23" s="8"/>
      <c r="B23" s="257" t="s">
        <v>254</v>
      </c>
      <c r="C23" s="1100">
        <f>'Anexo 1 Matriz Inf Gestión-GD'!R67</f>
        <v>0.75</v>
      </c>
      <c r="D23" s="258">
        <f>'Anexo 1 Matriz Inf Gestión-GD'!AL67</f>
        <v>7.9719440524626414E-2</v>
      </c>
      <c r="E23" s="259">
        <f>'Anexo 1 Matriz Inf Gestión-GD'!AQ67</f>
        <v>4.3853751331925483E-2</v>
      </c>
      <c r="F23" s="8"/>
      <c r="G23" s="8"/>
      <c r="H23" s="8"/>
      <c r="I23" s="8"/>
      <c r="J23" s="8"/>
      <c r="K23" s="8"/>
      <c r="L23" s="8"/>
      <c r="M23" s="8"/>
      <c r="N23" s="8"/>
      <c r="O23" s="8"/>
      <c r="P23" s="8"/>
      <c r="Q23" s="8"/>
      <c r="R23" s="8"/>
      <c r="S23" s="8"/>
      <c r="T23" s="8"/>
      <c r="U23" s="8"/>
    </row>
    <row r="24" spans="1:21" ht="30" customHeight="1" x14ac:dyDescent="0.25">
      <c r="A24" s="8"/>
      <c r="B24" s="1293" t="s">
        <v>266</v>
      </c>
      <c r="C24" s="1295">
        <f>'Anexo 1 Matriz Inf Gestión-GD'!R72</f>
        <v>0.5</v>
      </c>
      <c r="D24" s="1295">
        <f>'Anexo 1 Matriz Inf Gestión-GD'!AL72</f>
        <v>1.9274986003117743E-2</v>
      </c>
      <c r="E24" s="1302">
        <f>'Anexo 1 Matriz Inf Gestión-GD'!AQ72</f>
        <v>9.4757704804551135E-5</v>
      </c>
      <c r="F24" s="8"/>
      <c r="G24" s="8"/>
      <c r="H24" s="8"/>
      <c r="I24" s="8"/>
      <c r="J24" s="8"/>
      <c r="K24" s="8"/>
      <c r="L24" s="8"/>
      <c r="M24" s="8"/>
      <c r="N24" s="8"/>
      <c r="O24" s="8"/>
      <c r="P24" s="8"/>
      <c r="Q24" s="8"/>
      <c r="R24" s="8"/>
      <c r="S24" s="8"/>
      <c r="T24" s="8"/>
      <c r="U24" s="8"/>
    </row>
    <row r="25" spans="1:21" ht="30" customHeight="1" x14ac:dyDescent="0.25">
      <c r="A25" s="8"/>
      <c r="B25" s="1294"/>
      <c r="C25" s="1296"/>
      <c r="D25" s="1296"/>
      <c r="E25" s="1302"/>
      <c r="F25" s="8"/>
      <c r="G25" s="8"/>
      <c r="H25" s="8"/>
      <c r="I25" s="8"/>
      <c r="J25" s="8"/>
      <c r="K25" s="8"/>
      <c r="L25" s="8"/>
      <c r="M25" s="8"/>
      <c r="N25" s="8"/>
      <c r="O25" s="8"/>
      <c r="P25" s="8"/>
      <c r="Q25" s="8"/>
      <c r="R25" s="8"/>
      <c r="S25" s="8"/>
      <c r="T25" s="8"/>
      <c r="U25" s="8"/>
    </row>
    <row r="26" spans="1:21" ht="30" customHeight="1" x14ac:dyDescent="0.25">
      <c r="A26" s="8"/>
      <c r="B26" s="1293" t="s">
        <v>277</v>
      </c>
      <c r="C26" s="1295">
        <f>'Anexo 1 Matriz Inf Gestión-GD'!R77</f>
        <v>0.45200000000000001</v>
      </c>
      <c r="D26" s="1295">
        <f>'Anexo 1 Matriz Inf Gestión-GD'!AL77</f>
        <v>0.37618623000000001</v>
      </c>
      <c r="E26" s="1302">
        <f>'Anexo 1 Matriz Inf Gestión-GD'!AQ77</f>
        <v>5.79929E-2</v>
      </c>
      <c r="F26" s="8"/>
      <c r="G26" s="8"/>
      <c r="H26" s="8"/>
      <c r="I26" s="8"/>
      <c r="J26" s="8"/>
      <c r="K26" s="8"/>
      <c r="L26" s="8"/>
      <c r="M26" s="8"/>
      <c r="N26" s="8"/>
      <c r="O26" s="8"/>
      <c r="P26" s="8"/>
      <c r="Q26" s="8"/>
      <c r="R26" s="8"/>
      <c r="S26" s="8"/>
      <c r="T26" s="8"/>
      <c r="U26" s="8"/>
    </row>
    <row r="27" spans="1:21" ht="30" customHeight="1" x14ac:dyDescent="0.25">
      <c r="A27" s="8"/>
      <c r="B27" s="1294"/>
      <c r="C27" s="1296"/>
      <c r="D27" s="1296"/>
      <c r="E27" s="1302"/>
      <c r="F27" s="8"/>
      <c r="G27" s="8"/>
      <c r="H27" s="8"/>
      <c r="I27" s="8"/>
      <c r="J27" s="8"/>
      <c r="K27" s="8"/>
      <c r="L27" s="8"/>
      <c r="M27" s="8"/>
      <c r="N27" s="8"/>
      <c r="O27" s="8"/>
      <c r="P27" s="8"/>
      <c r="Q27" s="8"/>
      <c r="R27" s="8"/>
      <c r="S27" s="8"/>
      <c r="T27" s="8"/>
      <c r="U27" s="8"/>
    </row>
    <row r="28" spans="1:21" ht="30" customHeight="1" x14ac:dyDescent="0.25">
      <c r="A28" s="8"/>
      <c r="B28" s="1293" t="s">
        <v>295</v>
      </c>
      <c r="C28" s="1300">
        <f>'Anexo 1 Matriz Inf Gestión-GD'!R86</f>
        <v>0.90480000000000005</v>
      </c>
      <c r="D28" s="1295">
        <f>'Anexo 1 Matriz Inf Gestión-GD'!AL86</f>
        <v>0.91510585</v>
      </c>
      <c r="E28" s="1302">
        <f>'Anexo 1 Matriz Inf Gestión-GD'!AQ86</f>
        <v>0.26785734</v>
      </c>
      <c r="F28" s="8"/>
      <c r="G28" s="8"/>
      <c r="H28" s="8"/>
      <c r="I28" s="8"/>
      <c r="J28" s="8"/>
      <c r="K28" s="8"/>
      <c r="L28" s="8"/>
      <c r="M28" s="8"/>
      <c r="N28" s="8"/>
      <c r="O28" s="8"/>
      <c r="P28" s="8"/>
      <c r="Q28" s="8"/>
      <c r="R28" s="8"/>
      <c r="S28" s="8"/>
      <c r="T28" s="8"/>
      <c r="U28" s="8"/>
    </row>
    <row r="29" spans="1:21" ht="30" customHeight="1" x14ac:dyDescent="0.25">
      <c r="A29" s="8"/>
      <c r="B29" s="1294"/>
      <c r="C29" s="1301"/>
      <c r="D29" s="1296"/>
      <c r="E29" s="1302"/>
      <c r="F29" s="8"/>
      <c r="G29" s="8"/>
      <c r="H29" s="8"/>
      <c r="I29" s="8"/>
      <c r="J29" s="8"/>
      <c r="K29" s="8"/>
      <c r="L29" s="8"/>
      <c r="M29" s="8"/>
      <c r="N29" s="8"/>
      <c r="O29" s="8"/>
      <c r="P29" s="8"/>
      <c r="Q29" s="8"/>
      <c r="R29" s="8"/>
      <c r="S29" s="8"/>
      <c r="T29" s="8"/>
      <c r="U29" s="8"/>
    </row>
    <row r="30" spans="1:21" ht="30" customHeight="1" x14ac:dyDescent="0.25">
      <c r="A30" s="8"/>
      <c r="B30" s="1293" t="s">
        <v>606</v>
      </c>
      <c r="C30" s="1295">
        <f>'Anexo 1 Matriz Inf Gestión-GD'!R91</f>
        <v>0.54899999999999993</v>
      </c>
      <c r="D30" s="1295">
        <f>'Anexo 1 Matriz Inf Gestión-GD'!AL91</f>
        <v>1.3117852044192656E-2</v>
      </c>
      <c r="E30" s="1302">
        <f>'Anexo 1 Matriz Inf Gestión-GD'!AQ91</f>
        <v>2.2642140880891263E-3</v>
      </c>
      <c r="F30" s="8"/>
      <c r="G30" s="8"/>
      <c r="H30" s="8"/>
      <c r="I30" s="8"/>
      <c r="J30" s="8"/>
      <c r="K30" s="8"/>
      <c r="L30" s="8"/>
      <c r="M30" s="8"/>
      <c r="N30" s="8"/>
      <c r="O30" s="8"/>
      <c r="P30" s="8"/>
      <c r="Q30" s="8"/>
      <c r="R30" s="8"/>
      <c r="S30" s="8"/>
      <c r="T30" s="8"/>
      <c r="U30" s="8"/>
    </row>
    <row r="31" spans="1:21" ht="30" customHeight="1" x14ac:dyDescent="0.25">
      <c r="A31" s="8"/>
      <c r="B31" s="1294"/>
      <c r="C31" s="1296"/>
      <c r="D31" s="1296"/>
      <c r="E31" s="1302"/>
      <c r="F31" s="8"/>
      <c r="G31" s="8"/>
      <c r="H31" s="8"/>
      <c r="I31" s="8"/>
      <c r="J31" s="8"/>
      <c r="K31" s="8"/>
      <c r="L31" s="8"/>
      <c r="M31" s="8"/>
      <c r="N31" s="8"/>
      <c r="O31" s="8"/>
      <c r="P31" s="8"/>
      <c r="Q31" s="8"/>
      <c r="R31" s="8"/>
      <c r="S31" s="8"/>
      <c r="T31" s="8"/>
      <c r="U31" s="8"/>
    </row>
    <row r="32" spans="1:21" ht="30" customHeight="1" x14ac:dyDescent="0.25">
      <c r="A32" s="8"/>
      <c r="B32" s="1293" t="s">
        <v>331</v>
      </c>
      <c r="C32" s="1295">
        <f>'Anexo 1 Matriz Inf Gestión-GD'!R103</f>
        <v>1</v>
      </c>
      <c r="D32" s="1295">
        <f>'Anexo 1 Matriz Inf Gestión-GD'!AL103</f>
        <v>0.98062164285714282</v>
      </c>
      <c r="E32" s="1302">
        <f>'Anexo 1 Matriz Inf Gestión-GD'!AQ103</f>
        <v>1.1854999285714284E-2</v>
      </c>
      <c r="F32" s="8"/>
      <c r="G32" s="8"/>
      <c r="H32" s="8"/>
      <c r="I32" s="8"/>
      <c r="J32" s="8"/>
      <c r="K32" s="8"/>
      <c r="L32" s="8"/>
      <c r="M32" s="8"/>
      <c r="N32" s="8"/>
      <c r="O32" s="8"/>
      <c r="P32" s="8"/>
      <c r="Q32" s="8"/>
      <c r="R32" s="8"/>
      <c r="S32" s="8"/>
      <c r="T32" s="8"/>
      <c r="U32" s="8"/>
    </row>
    <row r="33" spans="1:21" ht="30" customHeight="1" x14ac:dyDescent="0.25">
      <c r="A33" s="8"/>
      <c r="B33" s="1294"/>
      <c r="C33" s="1296"/>
      <c r="D33" s="1296"/>
      <c r="E33" s="1302"/>
      <c r="F33" s="8"/>
      <c r="G33" s="8"/>
      <c r="H33" s="8"/>
      <c r="I33" s="8"/>
      <c r="J33" s="8"/>
      <c r="K33" s="8"/>
      <c r="L33" s="8"/>
      <c r="M33" s="8"/>
      <c r="N33" s="8"/>
      <c r="O33" s="8"/>
      <c r="P33" s="8"/>
      <c r="Q33" s="8"/>
      <c r="R33" s="8"/>
      <c r="S33" s="8"/>
      <c r="T33" s="8"/>
      <c r="U33" s="8"/>
    </row>
    <row r="34" spans="1:21" ht="30" customHeight="1" x14ac:dyDescent="0.25">
      <c r="A34" s="8"/>
      <c r="B34" s="255" t="s">
        <v>341</v>
      </c>
      <c r="C34" s="266">
        <f>'Anexo 1 Matriz Inf Gestión-GD'!R107</f>
        <v>0.59099999999999997</v>
      </c>
      <c r="D34" s="266">
        <f>'Anexo 1 Matriz Inf Gestión-GD'!AL107</f>
        <v>0.4311810659061876</v>
      </c>
      <c r="E34" s="272">
        <f>'Anexo 1 Matriz Inf Gestión-GD'!AQ107</f>
        <v>8.3247052070834215E-2</v>
      </c>
      <c r="F34" s="8"/>
      <c r="G34" s="8"/>
      <c r="H34" s="8"/>
      <c r="I34" s="8"/>
      <c r="J34" s="8"/>
      <c r="K34" s="8"/>
      <c r="L34" s="8"/>
      <c r="M34" s="8"/>
      <c r="N34" s="8"/>
      <c r="O34" s="8"/>
      <c r="P34" s="8"/>
      <c r="Q34" s="8"/>
      <c r="R34" s="8"/>
      <c r="S34" s="8"/>
      <c r="T34" s="8"/>
      <c r="U34" s="8"/>
    </row>
    <row r="35" spans="1:21" ht="30" customHeight="1" x14ac:dyDescent="0.25">
      <c r="A35" s="8"/>
      <c r="B35" s="257" t="s">
        <v>607</v>
      </c>
      <c r="C35" s="265">
        <f>'Anexo 1 Matriz Inf Gestión-GD'!R108</f>
        <v>0.59099999999999997</v>
      </c>
      <c r="D35" s="265">
        <f>'Anexo 1 Matriz Inf Gestión-GD'!AL108</f>
        <v>0.4311810659061876</v>
      </c>
      <c r="E35" s="259">
        <f>'Anexo 1 Matriz Inf Gestión-GD'!AQ108</f>
        <v>8.3247052070834215E-2</v>
      </c>
      <c r="F35" s="8"/>
      <c r="G35" s="8"/>
      <c r="H35" s="8"/>
      <c r="I35" s="8"/>
      <c r="J35" s="8"/>
      <c r="K35" s="8"/>
      <c r="L35" s="8"/>
      <c r="M35" s="8"/>
      <c r="N35" s="8"/>
      <c r="O35" s="8"/>
      <c r="P35" s="8"/>
      <c r="Q35" s="8"/>
      <c r="R35" s="8"/>
      <c r="S35" s="8"/>
      <c r="T35" s="8"/>
      <c r="U35" s="8"/>
    </row>
    <row r="36" spans="1:21" ht="30" customHeight="1" x14ac:dyDescent="0.25">
      <c r="A36" s="8"/>
      <c r="B36" s="253" t="s">
        <v>386</v>
      </c>
      <c r="C36" s="267">
        <f>'Anexo 1 Matriz Inf Gestión-GD'!R124</f>
        <v>0.55136000000000007</v>
      </c>
      <c r="D36" s="268">
        <f>'Anexo 1 Matriz Inf Gestión-GD'!AL124</f>
        <v>0.72924423636363633</v>
      </c>
      <c r="E36" s="273">
        <f>'Anexo 1 Matriz Inf Gestión-GD'!AQ124</f>
        <v>0.19703302727272728</v>
      </c>
      <c r="F36" s="8"/>
      <c r="G36" s="8"/>
      <c r="H36" s="8"/>
      <c r="I36" s="8"/>
      <c r="J36" s="8"/>
      <c r="K36" s="8"/>
      <c r="L36" s="8"/>
      <c r="M36" s="8"/>
      <c r="N36" s="8"/>
      <c r="O36" s="8"/>
      <c r="P36" s="8"/>
      <c r="Q36" s="8"/>
      <c r="R36" s="8"/>
      <c r="S36" s="8"/>
      <c r="T36" s="8"/>
      <c r="U36" s="8"/>
    </row>
    <row r="37" spans="1:21" ht="30" customHeight="1" x14ac:dyDescent="0.25">
      <c r="A37" s="8"/>
      <c r="B37" s="255" t="s">
        <v>387</v>
      </c>
      <c r="C37" s="269">
        <f>'Anexo 1 Matriz Inf Gestión-GD'!R125</f>
        <v>0.55136000000000007</v>
      </c>
      <c r="D37" s="269">
        <f>'Anexo 1 Matriz Inf Gestión-GD'!AL125</f>
        <v>0.72924423636363633</v>
      </c>
      <c r="E37" s="272">
        <f>'Anexo 1 Matriz Inf Gestión-GD'!AQ125</f>
        <v>0.19703302727272728</v>
      </c>
      <c r="F37" s="8"/>
      <c r="G37" s="8"/>
      <c r="H37" s="8"/>
      <c r="I37" s="8"/>
      <c r="J37" s="8"/>
      <c r="K37" s="8"/>
      <c r="L37" s="8"/>
      <c r="M37" s="8"/>
      <c r="N37" s="8"/>
      <c r="O37" s="8"/>
      <c r="P37" s="8"/>
      <c r="Q37" s="8"/>
      <c r="R37" s="8"/>
      <c r="S37" s="8"/>
      <c r="T37" s="8"/>
      <c r="U37" s="8"/>
    </row>
    <row r="38" spans="1:21" ht="30" customHeight="1" x14ac:dyDescent="0.25">
      <c r="A38" s="8"/>
      <c r="B38" s="257" t="s">
        <v>608</v>
      </c>
      <c r="C38" s="265">
        <f>'Anexo 1 Matriz Inf Gestión-GD'!R126</f>
        <v>0.70320000000000005</v>
      </c>
      <c r="D38" s="265">
        <f>'Anexo 1 Matriz Inf Gestión-GD'!AL126</f>
        <v>0.97697000000000001</v>
      </c>
      <c r="E38" s="259">
        <f>'Anexo 1 Matriz Inf Gestión-GD'!AQ126</f>
        <v>0.43347266000000001</v>
      </c>
      <c r="F38" s="8"/>
      <c r="G38" s="8"/>
      <c r="H38" s="8"/>
      <c r="I38" s="8"/>
      <c r="J38" s="8"/>
      <c r="K38" s="8"/>
      <c r="L38" s="8"/>
      <c r="M38" s="8"/>
      <c r="N38" s="8"/>
      <c r="O38" s="8"/>
      <c r="P38" s="8"/>
      <c r="Q38" s="8"/>
      <c r="R38" s="8"/>
      <c r="S38" s="8"/>
      <c r="T38" s="8"/>
      <c r="U38" s="8"/>
    </row>
    <row r="39" spans="1:21" ht="30" customHeight="1" x14ac:dyDescent="0.25">
      <c r="A39" s="8"/>
      <c r="B39" s="257" t="s">
        <v>609</v>
      </c>
      <c r="C39" s="265">
        <f>'Anexo 1 Matriz Inf Gestión-GD'!R131</f>
        <v>0.67520000000000002</v>
      </c>
      <c r="D39" s="265">
        <f>'Anexo 1 Matriz Inf Gestión-GD'!AL131</f>
        <v>0.97705666666666657</v>
      </c>
      <c r="E39" s="259">
        <f>'Anexo 1 Matriz Inf Gestión-GD'!AQ131</f>
        <v>0</v>
      </c>
      <c r="F39" s="8"/>
      <c r="G39" s="8"/>
      <c r="H39" s="8"/>
      <c r="I39" s="8"/>
      <c r="J39" s="8"/>
      <c r="K39" s="8"/>
      <c r="L39" s="8"/>
      <c r="M39" s="8"/>
      <c r="N39" s="8"/>
      <c r="O39" s="8"/>
      <c r="P39" s="8"/>
      <c r="Q39" s="8"/>
      <c r="R39" s="8"/>
      <c r="S39" s="8"/>
      <c r="T39" s="8"/>
      <c r="U39" s="8"/>
    </row>
    <row r="40" spans="1:21" ht="30" customHeight="1" x14ac:dyDescent="0.25">
      <c r="A40" s="8"/>
      <c r="B40" s="1293" t="s">
        <v>408</v>
      </c>
      <c r="C40" s="1295">
        <f>'Anexo 1 Matriz Inf Gestión-GD'!R136</f>
        <v>0</v>
      </c>
      <c r="D40" s="1295">
        <f>'Anexo 1 Matriz Inf Gestión-GD'!AL136</f>
        <v>6.8555533333333335E-2</v>
      </c>
      <c r="E40" s="1302">
        <f>'Anexo 1 Matriz Inf Gestión-GD'!AQ136</f>
        <v>0</v>
      </c>
      <c r="F40" s="8"/>
      <c r="G40" s="8"/>
      <c r="H40" s="8"/>
      <c r="I40" s="8"/>
      <c r="J40" s="8"/>
      <c r="K40" s="8"/>
      <c r="L40" s="8"/>
      <c r="M40" s="8"/>
      <c r="N40" s="8"/>
      <c r="O40" s="8"/>
      <c r="P40" s="8"/>
      <c r="Q40" s="8"/>
      <c r="R40" s="8"/>
      <c r="S40" s="8"/>
      <c r="T40" s="8"/>
      <c r="U40" s="8"/>
    </row>
    <row r="41" spans="1:21" ht="30" customHeight="1" x14ac:dyDescent="0.25">
      <c r="A41" s="8"/>
      <c r="B41" s="1294"/>
      <c r="C41" s="1296"/>
      <c r="D41" s="1296"/>
      <c r="E41" s="1302"/>
      <c r="F41" s="8"/>
      <c r="G41" s="8"/>
      <c r="H41" s="8"/>
      <c r="I41" s="8"/>
      <c r="J41" s="8"/>
      <c r="K41" s="8"/>
      <c r="L41" s="8"/>
      <c r="M41" s="8"/>
      <c r="N41" s="8"/>
      <c r="O41" s="8"/>
      <c r="P41" s="8"/>
      <c r="Q41" s="8"/>
      <c r="R41" s="8"/>
      <c r="S41" s="8"/>
      <c r="T41" s="8"/>
      <c r="U41" s="8"/>
    </row>
    <row r="42" spans="1:21" ht="30" customHeight="1" x14ac:dyDescent="0.25">
      <c r="A42" s="8"/>
      <c r="B42" s="253" t="s">
        <v>415</v>
      </c>
      <c r="C42" s="254">
        <f>'Anexo 1 Matriz Inf Gestión-GD'!R139</f>
        <v>0.75519999999999998</v>
      </c>
      <c r="D42" s="254">
        <f>'Anexo 1 Matriz Inf Gestión-GD'!AL139</f>
        <v>0.41124608499999998</v>
      </c>
      <c r="E42" s="273">
        <f>'Anexo 1 Matriz Inf Gestión-GD'!AQ139</f>
        <v>0.13683441499999999</v>
      </c>
      <c r="F42" s="8"/>
      <c r="G42" s="8"/>
      <c r="H42" s="8"/>
      <c r="I42" s="8"/>
      <c r="J42" s="8"/>
      <c r="K42" s="8"/>
      <c r="L42" s="8"/>
      <c r="M42" s="8"/>
      <c r="N42" s="8"/>
      <c r="O42" s="8"/>
      <c r="P42" s="8"/>
      <c r="Q42" s="8"/>
      <c r="R42" s="8"/>
      <c r="S42" s="8"/>
      <c r="T42" s="8"/>
      <c r="U42" s="8"/>
    </row>
    <row r="43" spans="1:21" ht="30" customHeight="1" x14ac:dyDescent="0.25">
      <c r="A43" s="8"/>
      <c r="B43" s="255" t="s">
        <v>416</v>
      </c>
      <c r="C43" s="270">
        <f>'Anexo 1 Matriz Inf Gestión-GD'!R140</f>
        <v>0.75519999999999998</v>
      </c>
      <c r="D43" s="270">
        <f>'Anexo 1 Matriz Inf Gestión-GD'!AL140</f>
        <v>0.41124608499999998</v>
      </c>
      <c r="E43" s="272">
        <f>'Anexo 1 Matriz Inf Gestión-GD'!AQ140</f>
        <v>0.13683441499999999</v>
      </c>
      <c r="F43" s="8"/>
      <c r="G43" s="8"/>
      <c r="H43" s="8"/>
      <c r="I43" s="8"/>
      <c r="J43" s="8"/>
      <c r="K43" s="8"/>
      <c r="L43" s="8"/>
      <c r="M43" s="8"/>
      <c r="N43" s="8"/>
      <c r="O43" s="8"/>
      <c r="P43" s="8"/>
      <c r="Q43" s="8"/>
      <c r="R43" s="8"/>
      <c r="S43" s="8"/>
      <c r="T43" s="8"/>
      <c r="U43" s="8"/>
    </row>
    <row r="44" spans="1:21" ht="47.25" customHeight="1" x14ac:dyDescent="0.25">
      <c r="A44" s="8"/>
      <c r="B44" s="257" t="s">
        <v>610</v>
      </c>
      <c r="C44" s="258">
        <f>'Anexo 1 Matriz Inf Gestión-GD'!R141</f>
        <v>1</v>
      </c>
      <c r="D44" s="258">
        <f>'Anexo 1 Matriz Inf Gestión-GD'!AL141</f>
        <v>0.84853447000000004</v>
      </c>
      <c r="E44" s="259">
        <f>'Anexo 1 Matriz Inf Gestión-GD'!AQ141</f>
        <v>0.22018913000000001</v>
      </c>
      <c r="F44" s="8"/>
      <c r="G44" s="8"/>
      <c r="H44" s="8"/>
      <c r="I44" s="8"/>
      <c r="J44" s="8"/>
      <c r="K44" s="8"/>
      <c r="L44" s="8"/>
      <c r="M44" s="8"/>
      <c r="N44" s="8"/>
      <c r="O44" s="8"/>
      <c r="P44" s="8"/>
      <c r="Q44" s="8"/>
      <c r="R44" s="8"/>
      <c r="S44" s="8"/>
      <c r="T44" s="8"/>
      <c r="U44" s="8"/>
    </row>
    <row r="45" spans="1:21" ht="30" customHeight="1" x14ac:dyDescent="0.25">
      <c r="A45" s="8"/>
      <c r="B45" s="1293" t="s">
        <v>430</v>
      </c>
      <c r="C45" s="1297">
        <f>'Anexo 1 Matriz Inf Gestión-GD'!R147</f>
        <v>0.59200000000000008</v>
      </c>
      <c r="D45" s="1297">
        <f>'Anexo 1 Matriz Inf Gestión-GD'!AL147</f>
        <v>0.36558993499999998</v>
      </c>
      <c r="E45" s="1302">
        <f>'Anexo 1 Matriz Inf Gestión-GD'!AQ147</f>
        <v>0.15593926499999999</v>
      </c>
      <c r="F45" s="8"/>
      <c r="G45" s="8"/>
      <c r="H45" s="8"/>
      <c r="I45" s="8"/>
      <c r="J45" s="8"/>
      <c r="K45" s="8"/>
      <c r="L45" s="8"/>
      <c r="M45" s="8"/>
      <c r="N45" s="8"/>
      <c r="O45" s="8"/>
      <c r="P45" s="8"/>
      <c r="Q45" s="8"/>
      <c r="R45" s="8"/>
      <c r="S45" s="8"/>
      <c r="T45" s="8"/>
      <c r="U45" s="8"/>
    </row>
    <row r="46" spans="1:21" ht="30" customHeight="1" x14ac:dyDescent="0.25">
      <c r="A46" s="8"/>
      <c r="B46" s="1294"/>
      <c r="C46" s="1298"/>
      <c r="D46" s="1298"/>
      <c r="E46" s="1302"/>
      <c r="F46" s="8"/>
      <c r="G46" s="8"/>
      <c r="H46" s="8"/>
      <c r="I46" s="8"/>
      <c r="J46" s="8"/>
      <c r="K46" s="8"/>
      <c r="L46" s="8"/>
      <c r="M46" s="8"/>
      <c r="N46" s="8"/>
      <c r="O46" s="8"/>
      <c r="P46" s="8"/>
      <c r="Q46" s="8"/>
      <c r="R46" s="8"/>
      <c r="S46" s="8"/>
      <c r="T46" s="8"/>
      <c r="U46" s="8"/>
    </row>
    <row r="47" spans="1:21" ht="30" customHeight="1" x14ac:dyDescent="0.25">
      <c r="A47" s="8"/>
      <c r="B47" s="1293" t="s">
        <v>444</v>
      </c>
      <c r="C47" s="1297">
        <f>'Anexo 1 Matriz Inf Gestión-GD'!R154</f>
        <v>1</v>
      </c>
      <c r="D47" s="1297">
        <f>'Anexo 1 Matriz Inf Gestión-GD'!AL154</f>
        <v>6.5269999999999995E-2</v>
      </c>
      <c r="E47" s="1302">
        <f>'Anexo 1 Matriz Inf Gestión-GD'!AQ154</f>
        <v>1.5270000000000001E-2</v>
      </c>
      <c r="F47" s="8"/>
      <c r="G47" s="8"/>
      <c r="H47" s="8"/>
      <c r="I47" s="8"/>
      <c r="J47" s="8"/>
      <c r="K47" s="8"/>
      <c r="L47" s="8"/>
      <c r="M47" s="8"/>
      <c r="N47" s="8"/>
      <c r="O47" s="8"/>
      <c r="P47" s="8"/>
      <c r="Q47" s="8"/>
      <c r="R47" s="8"/>
      <c r="S47" s="8"/>
      <c r="T47" s="8"/>
      <c r="U47" s="8"/>
    </row>
    <row r="48" spans="1:21" ht="30" customHeight="1" x14ac:dyDescent="0.25">
      <c r="A48" s="8"/>
      <c r="B48" s="1294"/>
      <c r="C48" s="1298"/>
      <c r="D48" s="1298"/>
      <c r="E48" s="1302"/>
      <c r="F48" s="8"/>
      <c r="G48" s="8"/>
      <c r="H48" s="8"/>
      <c r="I48" s="8"/>
      <c r="J48" s="8"/>
      <c r="K48" s="8"/>
      <c r="L48" s="8"/>
      <c r="M48" s="8"/>
      <c r="N48" s="8"/>
      <c r="O48" s="8"/>
      <c r="P48" s="8"/>
      <c r="Q48" s="8"/>
      <c r="R48" s="8"/>
      <c r="S48" s="8"/>
      <c r="T48" s="8"/>
      <c r="U48" s="8"/>
    </row>
    <row r="49" spans="1:21" ht="30" customHeight="1" x14ac:dyDescent="0.25">
      <c r="A49" s="8"/>
      <c r="B49" s="253" t="s">
        <v>451</v>
      </c>
      <c r="C49" s="254">
        <f>'Anexo 1 Matriz Inf Gestión-GD'!R158</f>
        <v>0.62028299498746875</v>
      </c>
      <c r="D49" s="254">
        <f>'Anexo 1 Matriz Inf Gestión-GD'!AL158</f>
        <v>0.7000105540013758</v>
      </c>
      <c r="E49" s="254">
        <f>'Anexo 1 Matriz Inf Gestión-GD'!AQ158</f>
        <v>0.21446741206145378</v>
      </c>
      <c r="F49" s="8"/>
      <c r="G49" s="8"/>
      <c r="H49" s="8"/>
      <c r="I49" s="8"/>
      <c r="J49" s="8"/>
      <c r="K49" s="8"/>
      <c r="L49" s="8"/>
      <c r="M49" s="8"/>
      <c r="N49" s="8"/>
      <c r="O49" s="8"/>
      <c r="P49" s="8"/>
      <c r="Q49" s="8"/>
      <c r="R49" s="8"/>
      <c r="S49" s="8"/>
      <c r="T49" s="8"/>
      <c r="U49" s="8"/>
    </row>
    <row r="50" spans="1:21" ht="30" customHeight="1" x14ac:dyDescent="0.25">
      <c r="A50" s="8"/>
      <c r="B50" s="255" t="s">
        <v>452</v>
      </c>
      <c r="C50" s="275">
        <f>'Anexo 1 Matriz Inf Gestión-GD'!R159</f>
        <v>0.65306598997493748</v>
      </c>
      <c r="D50" s="256">
        <f>'Anexo 1 Matriz Inf Gestión-GD'!AL159</f>
        <v>0.72631166523605151</v>
      </c>
      <c r="E50" s="256">
        <f>'Anexo 1 Matriz Inf Gestión-GD'!AQ159</f>
        <v>0.21964571194142893</v>
      </c>
      <c r="F50" s="8"/>
      <c r="G50" s="8"/>
      <c r="H50" s="8"/>
      <c r="I50" s="8"/>
      <c r="J50" s="8"/>
      <c r="K50" s="8"/>
      <c r="L50" s="8"/>
      <c r="M50" s="8"/>
      <c r="N50" s="8"/>
      <c r="O50" s="8"/>
      <c r="P50" s="8"/>
      <c r="Q50" s="8"/>
      <c r="R50" s="8"/>
      <c r="S50" s="8"/>
      <c r="T50" s="8"/>
      <c r="U50" s="8"/>
    </row>
    <row r="51" spans="1:21" ht="30" customHeight="1" x14ac:dyDescent="0.25">
      <c r="A51" s="8"/>
      <c r="B51" s="257" t="s">
        <v>453</v>
      </c>
      <c r="C51" s="274">
        <f>'Anexo 1 Matriz Inf Gestión-GD'!R160</f>
        <v>0.80918947368421057</v>
      </c>
      <c r="D51" s="258">
        <f>'Anexo 1 Matriz Inf Gestión-GD'!AL160</f>
        <v>0.88320627500000004</v>
      </c>
      <c r="E51" s="259">
        <f>'Anexo 1 Matriz Inf Gestión-GD'!AQ160</f>
        <v>0.29597611749999997</v>
      </c>
      <c r="F51" s="8"/>
      <c r="G51" s="8"/>
      <c r="H51" s="8"/>
      <c r="I51" s="8"/>
      <c r="J51" s="8"/>
      <c r="K51" s="8"/>
      <c r="L51" s="8"/>
      <c r="M51" s="8"/>
      <c r="N51" s="8"/>
      <c r="O51" s="8"/>
      <c r="P51" s="8"/>
      <c r="Q51" s="8"/>
      <c r="R51" s="8"/>
      <c r="S51" s="8"/>
      <c r="T51" s="8"/>
      <c r="U51" s="8"/>
    </row>
    <row r="52" spans="1:21" ht="30" customHeight="1" x14ac:dyDescent="0.25">
      <c r="A52" s="8"/>
      <c r="B52" s="1293" t="s">
        <v>611</v>
      </c>
      <c r="C52" s="1295">
        <f>'Anexo 1 Matriz Inf Gestión-GD'!R174</f>
        <v>0.80933333333333335</v>
      </c>
      <c r="D52" s="1297">
        <f>'Anexo 1 Matriz Inf Gestión-GD'!AL174</f>
        <v>0.80971525</v>
      </c>
      <c r="E52" s="1302">
        <f>'Anexo 1 Matriz Inf Gestión-GD'!AQ174</f>
        <v>0.28755649750000001</v>
      </c>
      <c r="F52" s="8"/>
      <c r="G52" s="8"/>
      <c r="H52" s="8"/>
      <c r="I52" s="8"/>
      <c r="J52" s="8"/>
      <c r="K52" s="8"/>
      <c r="L52" s="8"/>
      <c r="M52" s="8"/>
      <c r="N52" s="8"/>
      <c r="O52" s="8"/>
      <c r="P52" s="8"/>
      <c r="Q52" s="8"/>
      <c r="R52" s="8"/>
      <c r="S52" s="8"/>
      <c r="T52" s="8"/>
      <c r="U52" s="8"/>
    </row>
    <row r="53" spans="1:21" ht="30" customHeight="1" x14ac:dyDescent="0.25">
      <c r="A53" s="8"/>
      <c r="B53" s="1294"/>
      <c r="C53" s="1296"/>
      <c r="D53" s="1294"/>
      <c r="E53" s="1302"/>
      <c r="F53" s="8"/>
      <c r="G53" s="8"/>
      <c r="H53" s="8"/>
      <c r="I53" s="8"/>
      <c r="J53" s="8"/>
      <c r="K53" s="8"/>
      <c r="L53" s="8"/>
      <c r="M53" s="8"/>
      <c r="N53" s="8"/>
      <c r="O53" s="8"/>
      <c r="P53" s="8"/>
      <c r="Q53" s="8"/>
      <c r="R53" s="8"/>
      <c r="S53" s="8"/>
      <c r="T53" s="8"/>
      <c r="U53" s="8"/>
    </row>
    <row r="54" spans="1:21" ht="30" customHeight="1" x14ac:dyDescent="0.25">
      <c r="A54" s="8"/>
      <c r="B54" s="1293" t="s">
        <v>512</v>
      </c>
      <c r="C54" s="1295">
        <f>'Anexo 1 Matriz Inf Gestión-GD'!R185</f>
        <v>0.877</v>
      </c>
      <c r="D54" s="1297">
        <f>'Anexo 1 Matriz Inf Gestión-GD'!AL185</f>
        <v>0.86266197593706617</v>
      </c>
      <c r="E54" s="1302">
        <f>'Anexo 1 Matriz Inf Gestión-GD'!AQ185</f>
        <v>0.26067046136048128</v>
      </c>
      <c r="F54" s="8"/>
      <c r="G54" s="8"/>
      <c r="H54" s="8"/>
      <c r="I54" s="8"/>
      <c r="J54" s="8"/>
      <c r="K54" s="8"/>
      <c r="L54" s="8"/>
      <c r="M54" s="8"/>
      <c r="N54" s="8"/>
      <c r="O54" s="8"/>
      <c r="P54" s="8"/>
      <c r="Q54" s="8"/>
      <c r="R54" s="8"/>
      <c r="S54" s="8"/>
      <c r="T54" s="8"/>
      <c r="U54" s="8"/>
    </row>
    <row r="55" spans="1:21" ht="30" customHeight="1" x14ac:dyDescent="0.25">
      <c r="A55" s="8"/>
      <c r="B55" s="1294"/>
      <c r="C55" s="1296"/>
      <c r="D55" s="1294"/>
      <c r="E55" s="1302"/>
      <c r="F55" s="8"/>
      <c r="G55" s="8"/>
      <c r="H55" s="8"/>
      <c r="I55" s="8"/>
      <c r="J55" s="8"/>
      <c r="K55" s="8"/>
      <c r="L55" s="8"/>
      <c r="M55" s="8"/>
      <c r="N55" s="8"/>
      <c r="O55" s="8"/>
      <c r="P55" s="8"/>
      <c r="Q55" s="8"/>
      <c r="R55" s="8"/>
      <c r="S55" s="8"/>
      <c r="T55" s="8"/>
      <c r="U55" s="8"/>
    </row>
    <row r="56" spans="1:21" ht="30" customHeight="1" x14ac:dyDescent="0.25">
      <c r="A56" s="8"/>
      <c r="B56" s="1293" t="s">
        <v>530</v>
      </c>
      <c r="C56" s="1295">
        <f>'Anexo 1 Matriz Inf Gestión-GD'!R193</f>
        <v>0.33974285714285718</v>
      </c>
      <c r="D56" s="1295">
        <f>'Anexo 1 Matriz Inf Gestión-GD'!AL193</f>
        <v>0.40869767499999998</v>
      </c>
      <c r="E56" s="1302">
        <f>'Anexo 1 Matriz Inf Gestión-GD'!AQ193</f>
        <v>4.0825475E-2</v>
      </c>
      <c r="F56" s="8"/>
      <c r="G56" s="8"/>
      <c r="H56" s="8"/>
      <c r="I56" s="8"/>
      <c r="J56" s="8"/>
      <c r="K56" s="8"/>
      <c r="L56" s="8"/>
      <c r="M56" s="8"/>
      <c r="N56" s="8"/>
      <c r="O56" s="8"/>
      <c r="P56" s="8"/>
      <c r="Q56" s="8"/>
      <c r="R56" s="8"/>
      <c r="S56" s="8"/>
      <c r="T56" s="8"/>
      <c r="U56" s="8"/>
    </row>
    <row r="57" spans="1:21" ht="30" customHeight="1" x14ac:dyDescent="0.25">
      <c r="A57" s="8"/>
      <c r="B57" s="1294"/>
      <c r="C57" s="1296"/>
      <c r="D57" s="1296"/>
      <c r="E57" s="1302"/>
      <c r="F57" s="8"/>
      <c r="G57" s="8"/>
      <c r="H57" s="8"/>
      <c r="I57" s="8"/>
      <c r="J57" s="8"/>
      <c r="K57" s="8"/>
      <c r="L57" s="8"/>
      <c r="M57" s="8"/>
      <c r="N57" s="8"/>
      <c r="O57" s="8"/>
      <c r="P57" s="8"/>
      <c r="Q57" s="8"/>
      <c r="R57" s="8"/>
      <c r="S57" s="8"/>
      <c r="T57" s="8"/>
      <c r="U57" s="8"/>
    </row>
    <row r="58" spans="1:21" ht="30" customHeight="1" x14ac:dyDescent="0.25">
      <c r="A58" s="8"/>
      <c r="B58" s="1293" t="s">
        <v>612</v>
      </c>
      <c r="C58" s="1295">
        <f>'Anexo 1 Matriz Inf Gestión-GD'!R201</f>
        <v>0.44</v>
      </c>
      <c r="D58" s="1297">
        <f>'Anexo 1 Matriz Inf Gestión-GD'!AL201</f>
        <v>0.20021565</v>
      </c>
      <c r="E58" s="1302">
        <f>'Anexo 1 Matriz Inf Gestión-GD'!AQ201</f>
        <v>3.39399825E-2</v>
      </c>
      <c r="F58" s="8"/>
      <c r="G58" s="8"/>
      <c r="H58" s="8"/>
      <c r="I58" s="8"/>
      <c r="J58" s="8"/>
      <c r="K58" s="8"/>
      <c r="L58" s="8"/>
      <c r="M58" s="8"/>
      <c r="N58" s="8"/>
      <c r="O58" s="8"/>
      <c r="P58" s="8"/>
      <c r="Q58" s="8"/>
      <c r="R58" s="8"/>
      <c r="S58" s="8"/>
      <c r="T58" s="8"/>
      <c r="U58" s="8"/>
    </row>
    <row r="59" spans="1:21" ht="30" customHeight="1" x14ac:dyDescent="0.25">
      <c r="A59" s="8"/>
      <c r="B59" s="1294"/>
      <c r="C59" s="1296"/>
      <c r="D59" s="1294"/>
      <c r="E59" s="1302"/>
      <c r="F59" s="8"/>
      <c r="G59" s="8"/>
      <c r="H59" s="8"/>
      <c r="I59" s="8"/>
      <c r="J59" s="8"/>
      <c r="K59" s="8"/>
      <c r="L59" s="8"/>
      <c r="M59" s="8"/>
      <c r="N59" s="8"/>
      <c r="O59" s="8"/>
      <c r="P59" s="8"/>
      <c r="Q59" s="8"/>
      <c r="R59" s="8"/>
      <c r="S59" s="8"/>
      <c r="T59" s="8"/>
      <c r="U59" s="8"/>
    </row>
    <row r="60" spans="1:21" ht="30" customHeight="1" x14ac:dyDescent="0.25">
      <c r="A60" s="8"/>
      <c r="B60" s="1293" t="s">
        <v>613</v>
      </c>
      <c r="C60" s="1295">
        <f>'Anexo 1 Matriz Inf Gestión-GD'!R205</f>
        <v>0.37000000000000005</v>
      </c>
      <c r="D60" s="1297">
        <f>'Anexo 1 Matriz Inf Gestión-GD'!AL205</f>
        <v>0.45987018000000002</v>
      </c>
      <c r="E60" s="1302">
        <f>'Anexo 1 Matriz Inf Gestión-GD'!AQ205</f>
        <v>0.216942845</v>
      </c>
      <c r="F60" s="8"/>
      <c r="G60" s="8"/>
      <c r="H60" s="8"/>
      <c r="I60" s="8"/>
      <c r="J60" s="8"/>
      <c r="K60" s="8"/>
      <c r="L60" s="8"/>
      <c r="M60" s="8"/>
      <c r="N60" s="8"/>
      <c r="O60" s="8"/>
      <c r="P60" s="8"/>
      <c r="Q60" s="8"/>
      <c r="R60" s="8"/>
      <c r="S60" s="8"/>
      <c r="T60" s="8"/>
      <c r="U60" s="8"/>
    </row>
    <row r="61" spans="1:21" ht="30" customHeight="1" x14ac:dyDescent="0.25">
      <c r="A61" s="8"/>
      <c r="B61" s="1294"/>
      <c r="C61" s="1296"/>
      <c r="D61" s="1294"/>
      <c r="E61" s="1302"/>
      <c r="F61" s="8"/>
      <c r="G61" s="8"/>
      <c r="H61" s="8"/>
      <c r="I61" s="8"/>
      <c r="J61" s="8"/>
      <c r="K61" s="8"/>
      <c r="L61" s="8"/>
      <c r="M61" s="8"/>
      <c r="N61" s="8"/>
      <c r="O61" s="8"/>
      <c r="P61" s="8"/>
      <c r="Q61" s="8"/>
      <c r="R61" s="8"/>
      <c r="S61" s="8"/>
      <c r="T61" s="8"/>
      <c r="U61" s="8"/>
    </row>
    <row r="62" spans="1:21" ht="30" customHeight="1" x14ac:dyDescent="0.25">
      <c r="A62" s="8"/>
      <c r="B62" s="255" t="s">
        <v>570</v>
      </c>
      <c r="C62" s="266">
        <f>'Anexo 1 Matriz Inf Gestión-GD'!R210</f>
        <v>0.58750000000000002</v>
      </c>
      <c r="D62" s="256">
        <f>'Anexo 1 Matriz Inf Gestión-GD'!AL210</f>
        <v>0.4395638</v>
      </c>
      <c r="E62" s="256">
        <f>'Anexo 1 Matriz Inf Gestión-GD'!AQ210</f>
        <v>0.1631892975</v>
      </c>
      <c r="F62" s="8"/>
      <c r="G62" s="8"/>
      <c r="H62" s="8"/>
      <c r="I62" s="8"/>
      <c r="J62" s="8"/>
      <c r="K62" s="8"/>
      <c r="L62" s="8"/>
      <c r="M62" s="8"/>
      <c r="N62" s="8"/>
      <c r="O62" s="8"/>
      <c r="P62" s="8"/>
      <c r="Q62" s="8"/>
      <c r="R62" s="8"/>
      <c r="S62" s="8"/>
      <c r="T62" s="8"/>
      <c r="U62" s="8"/>
    </row>
    <row r="63" spans="1:21" ht="30" customHeight="1" x14ac:dyDescent="0.25">
      <c r="A63" s="8"/>
      <c r="B63" s="257" t="s">
        <v>571</v>
      </c>
      <c r="C63" s="265">
        <f>'Anexo 1 Matriz Inf Gestión-GD'!R211</f>
        <v>0.76</v>
      </c>
      <c r="D63" s="258">
        <f>'Anexo 1 Matriz Inf Gestión-GD'!AL211</f>
        <v>0.65064429999999995</v>
      </c>
      <c r="E63" s="259">
        <f>'Anexo 1 Matriz Inf Gestión-GD'!AQ211</f>
        <v>0.21938162</v>
      </c>
      <c r="F63" s="8"/>
      <c r="G63" s="8"/>
      <c r="H63" s="8"/>
      <c r="I63" s="8"/>
      <c r="J63" s="8"/>
      <c r="K63" s="8"/>
      <c r="L63" s="8"/>
      <c r="M63" s="8"/>
      <c r="N63" s="8"/>
      <c r="O63" s="8"/>
      <c r="P63" s="8"/>
      <c r="Q63" s="8"/>
      <c r="R63" s="8"/>
      <c r="S63" s="8"/>
      <c r="T63" s="8"/>
      <c r="U63" s="8"/>
    </row>
    <row r="64" spans="1:21" ht="30" customHeight="1" x14ac:dyDescent="0.25">
      <c r="A64" s="8"/>
      <c r="B64" s="257" t="s">
        <v>589</v>
      </c>
      <c r="C64" s="265">
        <f>'Anexo 1 Matriz Inf Gestión-GD'!R218</f>
        <v>0.41500000000000004</v>
      </c>
      <c r="D64" s="258">
        <f>'Anexo 1 Matriz Inf Gestión-GD'!AL218</f>
        <v>0.36920363333333328</v>
      </c>
      <c r="E64" s="259">
        <f>'Anexo 1 Matriz Inf Gestión-GD'!AQ218</f>
        <v>0.14445852333333334</v>
      </c>
      <c r="F64" s="8"/>
      <c r="G64" s="8"/>
      <c r="H64" s="8"/>
      <c r="I64" s="8"/>
      <c r="J64" s="8"/>
      <c r="K64" s="8"/>
      <c r="L64" s="8"/>
      <c r="M64" s="8"/>
      <c r="N64" s="8"/>
      <c r="O64" s="8"/>
      <c r="P64" s="8"/>
      <c r="Q64" s="8"/>
      <c r="R64" s="8"/>
      <c r="S64" s="8"/>
      <c r="T64" s="8"/>
      <c r="U64" s="8"/>
    </row>
    <row r="65" spans="1:21" ht="30" customHeight="1" x14ac:dyDescent="0.25">
      <c r="A65" s="8"/>
      <c r="B65" s="271" t="s">
        <v>614</v>
      </c>
      <c r="C65" s="267">
        <f>'Anexo 1 Matriz Inf Gestión-GD'!R223</f>
        <v>0.62993776899749365</v>
      </c>
      <c r="D65" s="254">
        <f>'Anexo 1 Matriz Inf Gestión-GD'!AL223</f>
        <v>0.29571120449523308</v>
      </c>
      <c r="E65" s="254">
        <f>'Anexo 1 Matriz Inf Gestión-GD'!AQ223</f>
        <v>5.1714228547308255E-2</v>
      </c>
      <c r="F65" s="8"/>
      <c r="G65" s="8"/>
      <c r="H65" s="8"/>
      <c r="I65" s="8"/>
      <c r="J65" s="8"/>
      <c r="K65" s="8"/>
      <c r="L65" s="8"/>
      <c r="M65" s="8"/>
      <c r="N65" s="8"/>
      <c r="O65" s="8"/>
      <c r="P65" s="8"/>
      <c r="Q65" s="8"/>
      <c r="R65" s="8"/>
      <c r="S65" s="8"/>
      <c r="T65" s="8"/>
      <c r="U65" s="8"/>
    </row>
    <row r="66" spans="1:21" ht="30" customHeight="1" x14ac:dyDescent="0.25">
      <c r="A66" s="8"/>
      <c r="B66" s="8"/>
      <c r="C66" s="8"/>
      <c r="D66" s="8"/>
      <c r="E66" s="224"/>
      <c r="F66" s="8"/>
      <c r="G66" s="8"/>
      <c r="H66" s="8"/>
      <c r="I66" s="8"/>
      <c r="J66" s="8"/>
      <c r="K66" s="8"/>
      <c r="L66" s="8"/>
      <c r="M66" s="8"/>
      <c r="N66" s="8"/>
      <c r="O66" s="8"/>
      <c r="P66" s="8"/>
      <c r="Q66" s="8"/>
      <c r="R66" s="8"/>
      <c r="S66" s="8"/>
      <c r="T66" s="8"/>
      <c r="U66" s="8"/>
    </row>
    <row r="67" spans="1:21" ht="30" customHeight="1" x14ac:dyDescent="0.25">
      <c r="A67" s="8"/>
      <c r="B67" s="8"/>
      <c r="C67" s="8"/>
      <c r="D67" s="8"/>
      <c r="E67" s="224"/>
      <c r="F67" s="8"/>
      <c r="G67" s="8"/>
      <c r="H67" s="8"/>
      <c r="I67" s="8"/>
      <c r="J67" s="8"/>
      <c r="K67" s="8"/>
      <c r="L67" s="8"/>
      <c r="M67" s="8"/>
      <c r="N67" s="8"/>
      <c r="O67" s="8"/>
      <c r="P67" s="8"/>
      <c r="Q67" s="8"/>
      <c r="R67" s="8"/>
      <c r="S67" s="8"/>
      <c r="T67" s="8"/>
      <c r="U67" s="8"/>
    </row>
    <row r="68" spans="1:21" ht="30" customHeight="1" x14ac:dyDescent="0.25">
      <c r="A68" s="8"/>
      <c r="B68" s="8"/>
      <c r="C68" s="8"/>
      <c r="D68" s="8"/>
      <c r="E68" s="224"/>
      <c r="F68" s="8"/>
      <c r="G68" s="8"/>
      <c r="H68" s="8"/>
      <c r="I68" s="8"/>
      <c r="J68" s="8"/>
      <c r="K68" s="8"/>
      <c r="L68" s="8"/>
      <c r="M68" s="8"/>
      <c r="N68" s="8"/>
      <c r="O68" s="8"/>
      <c r="P68" s="8"/>
      <c r="Q68" s="8"/>
      <c r="R68" s="8"/>
      <c r="S68" s="8"/>
      <c r="T68" s="8"/>
      <c r="U68" s="8"/>
    </row>
    <row r="69" spans="1:21" ht="30" customHeight="1" x14ac:dyDescent="0.25">
      <c r="A69" s="8"/>
      <c r="B69" s="8"/>
      <c r="C69" s="8"/>
      <c r="D69" s="8"/>
      <c r="E69" s="224"/>
      <c r="F69" s="8"/>
      <c r="G69" s="8"/>
      <c r="H69" s="8"/>
      <c r="I69" s="8"/>
      <c r="J69" s="8"/>
      <c r="K69" s="8"/>
      <c r="L69" s="8"/>
      <c r="M69" s="8"/>
      <c r="N69" s="8"/>
      <c r="O69" s="8"/>
      <c r="P69" s="8"/>
      <c r="Q69" s="8"/>
      <c r="R69" s="8"/>
      <c r="S69" s="8"/>
      <c r="T69" s="8"/>
      <c r="U69" s="8"/>
    </row>
    <row r="70" spans="1:21" ht="30" customHeight="1" x14ac:dyDescent="0.25">
      <c r="A70" s="8"/>
      <c r="B70" s="8"/>
      <c r="C70" s="8"/>
      <c r="D70" s="8"/>
      <c r="E70" s="224"/>
      <c r="F70" s="8"/>
      <c r="G70" s="8"/>
      <c r="H70" s="8"/>
      <c r="I70" s="8"/>
      <c r="J70" s="8"/>
      <c r="K70" s="8"/>
      <c r="L70" s="8"/>
      <c r="M70" s="8"/>
      <c r="N70" s="8"/>
      <c r="O70" s="8"/>
      <c r="P70" s="8"/>
      <c r="Q70" s="8"/>
      <c r="R70" s="8"/>
      <c r="S70" s="8"/>
      <c r="T70" s="8"/>
      <c r="U70" s="8"/>
    </row>
    <row r="71" spans="1:21" ht="30" customHeight="1" x14ac:dyDescent="0.25">
      <c r="A71" s="8"/>
      <c r="B71" s="8"/>
      <c r="C71" s="8"/>
      <c r="D71" s="8"/>
      <c r="E71" s="224"/>
      <c r="F71" s="8"/>
      <c r="G71" s="8"/>
      <c r="H71" s="8"/>
      <c r="I71" s="8"/>
      <c r="J71" s="8"/>
      <c r="K71" s="8"/>
      <c r="L71" s="8"/>
      <c r="M71" s="8"/>
      <c r="N71" s="8"/>
      <c r="O71" s="8"/>
      <c r="P71" s="8"/>
      <c r="Q71" s="8"/>
      <c r="R71" s="8"/>
      <c r="S71" s="8"/>
      <c r="T71" s="8"/>
      <c r="U71" s="8"/>
    </row>
    <row r="72" spans="1:21" ht="30" customHeight="1" x14ac:dyDescent="0.25">
      <c r="A72" s="8"/>
      <c r="B72" s="8"/>
      <c r="C72" s="8"/>
      <c r="D72" s="8"/>
      <c r="E72" s="224"/>
      <c r="F72" s="8"/>
      <c r="G72" s="8"/>
      <c r="H72" s="8"/>
      <c r="I72" s="8"/>
      <c r="J72" s="8"/>
      <c r="K72" s="8"/>
      <c r="L72" s="8"/>
      <c r="M72" s="8"/>
      <c r="N72" s="8"/>
      <c r="O72" s="8"/>
      <c r="P72" s="8"/>
      <c r="Q72" s="8"/>
      <c r="R72" s="8"/>
      <c r="S72" s="8"/>
      <c r="T72" s="8"/>
      <c r="U72" s="8"/>
    </row>
    <row r="73" spans="1:21" ht="30" customHeight="1" x14ac:dyDescent="0.25">
      <c r="A73" s="8"/>
      <c r="B73" s="8"/>
      <c r="C73" s="8"/>
      <c r="D73" s="8"/>
      <c r="E73" s="224"/>
      <c r="F73" s="8"/>
      <c r="G73" s="8"/>
      <c r="H73" s="8"/>
      <c r="I73" s="8"/>
      <c r="J73" s="8"/>
      <c r="K73" s="8"/>
      <c r="L73" s="8"/>
      <c r="M73" s="8"/>
      <c r="N73" s="8"/>
      <c r="O73" s="8"/>
      <c r="P73" s="8"/>
      <c r="Q73" s="8"/>
      <c r="R73" s="8"/>
      <c r="S73" s="8"/>
      <c r="T73" s="8"/>
      <c r="U73" s="8"/>
    </row>
    <row r="74" spans="1:21" ht="30" customHeight="1" x14ac:dyDescent="0.25">
      <c r="A74" s="8"/>
      <c r="B74" s="8"/>
      <c r="C74" s="8"/>
      <c r="D74" s="8"/>
      <c r="E74" s="224"/>
      <c r="F74" s="8"/>
      <c r="G74" s="8"/>
      <c r="H74" s="8"/>
      <c r="I74" s="8"/>
      <c r="J74" s="8"/>
      <c r="K74" s="8"/>
      <c r="L74" s="8"/>
      <c r="M74" s="8"/>
      <c r="N74" s="8"/>
      <c r="O74" s="8"/>
      <c r="P74" s="8"/>
      <c r="Q74" s="8"/>
      <c r="R74" s="8"/>
      <c r="S74" s="8"/>
      <c r="T74" s="8"/>
      <c r="U74" s="8"/>
    </row>
    <row r="75" spans="1:21" ht="30" customHeight="1" x14ac:dyDescent="0.25">
      <c r="A75" s="8"/>
      <c r="B75" s="8"/>
      <c r="C75" s="8"/>
      <c r="D75" s="8"/>
      <c r="E75" s="224"/>
      <c r="F75" s="8"/>
      <c r="G75" s="8"/>
      <c r="H75" s="8"/>
      <c r="I75" s="8"/>
      <c r="J75" s="8"/>
      <c r="K75" s="8"/>
      <c r="L75" s="8"/>
      <c r="M75" s="8"/>
      <c r="N75" s="8"/>
      <c r="O75" s="8"/>
      <c r="P75" s="8"/>
      <c r="Q75" s="8"/>
      <c r="R75" s="8"/>
      <c r="S75" s="8"/>
      <c r="T75" s="8"/>
      <c r="U75" s="8"/>
    </row>
    <row r="76" spans="1:21" ht="30" customHeight="1" x14ac:dyDescent="0.25">
      <c r="A76" s="8"/>
      <c r="B76" s="8"/>
      <c r="C76" s="8"/>
      <c r="D76" s="8"/>
      <c r="E76" s="224"/>
      <c r="F76" s="8"/>
      <c r="G76" s="8"/>
      <c r="H76" s="8"/>
      <c r="I76" s="8"/>
      <c r="J76" s="8"/>
      <c r="K76" s="8"/>
      <c r="L76" s="8"/>
      <c r="M76" s="8"/>
      <c r="N76" s="8"/>
      <c r="O76" s="8"/>
      <c r="P76" s="8"/>
      <c r="Q76" s="8"/>
      <c r="R76" s="8"/>
      <c r="S76" s="8"/>
      <c r="T76" s="8"/>
      <c r="U76" s="8"/>
    </row>
    <row r="77" spans="1:21" ht="30" customHeight="1" x14ac:dyDescent="0.25">
      <c r="A77" s="8"/>
      <c r="B77" s="8"/>
      <c r="C77" s="8"/>
      <c r="D77" s="8"/>
      <c r="E77" s="224"/>
      <c r="F77" s="8"/>
      <c r="G77" s="8"/>
      <c r="H77" s="8"/>
      <c r="I77" s="8"/>
      <c r="J77" s="8"/>
      <c r="K77" s="8"/>
      <c r="L77" s="8"/>
      <c r="M77" s="8"/>
      <c r="N77" s="8"/>
      <c r="O77" s="8"/>
      <c r="P77" s="8"/>
      <c r="Q77" s="8"/>
      <c r="R77" s="8"/>
      <c r="S77" s="8"/>
      <c r="T77" s="8"/>
      <c r="U77" s="8"/>
    </row>
    <row r="78" spans="1:21" ht="30" customHeight="1" x14ac:dyDescent="0.25">
      <c r="A78" s="8"/>
      <c r="B78" s="8"/>
      <c r="C78" s="8"/>
      <c r="D78" s="8"/>
      <c r="E78" s="224"/>
      <c r="F78" s="8"/>
      <c r="G78" s="8"/>
      <c r="H78" s="8"/>
      <c r="I78" s="8"/>
      <c r="J78" s="8"/>
      <c r="K78" s="8"/>
      <c r="L78" s="8"/>
      <c r="M78" s="8"/>
      <c r="N78" s="8"/>
      <c r="O78" s="8"/>
      <c r="P78" s="8"/>
      <c r="Q78" s="8"/>
      <c r="R78" s="8"/>
      <c r="S78" s="8"/>
      <c r="T78" s="8"/>
      <c r="U78" s="8"/>
    </row>
    <row r="79" spans="1:21" ht="30" customHeight="1" x14ac:dyDescent="0.25">
      <c r="A79" s="8"/>
      <c r="B79" s="8"/>
      <c r="C79" s="8"/>
      <c r="D79" s="8"/>
      <c r="E79" s="224"/>
      <c r="F79" s="8"/>
      <c r="G79" s="8"/>
      <c r="H79" s="8"/>
      <c r="I79" s="8"/>
      <c r="J79" s="8"/>
      <c r="K79" s="8"/>
      <c r="L79" s="8"/>
      <c r="M79" s="8"/>
      <c r="N79" s="8"/>
      <c r="O79" s="8"/>
      <c r="P79" s="8"/>
      <c r="Q79" s="8"/>
      <c r="R79" s="8"/>
      <c r="S79" s="8"/>
      <c r="T79" s="8"/>
      <c r="U79" s="8"/>
    </row>
    <row r="80" spans="1:21" ht="30" customHeight="1" x14ac:dyDescent="0.25">
      <c r="A80" s="8"/>
      <c r="B80" s="8"/>
      <c r="C80" s="8"/>
      <c r="D80" s="8"/>
      <c r="E80" s="224"/>
      <c r="F80" s="8"/>
      <c r="G80" s="8"/>
      <c r="H80" s="8"/>
      <c r="I80" s="8"/>
      <c r="J80" s="8"/>
      <c r="K80" s="8"/>
      <c r="L80" s="8"/>
      <c r="M80" s="8"/>
      <c r="N80" s="8"/>
      <c r="O80" s="8"/>
      <c r="P80" s="8"/>
      <c r="Q80" s="8"/>
      <c r="R80" s="8"/>
      <c r="S80" s="8"/>
      <c r="T80" s="8"/>
      <c r="U80" s="8"/>
    </row>
    <row r="81" spans="1:21" ht="30" customHeight="1" x14ac:dyDescent="0.25">
      <c r="A81" s="8"/>
      <c r="B81" s="8"/>
      <c r="C81" s="8"/>
      <c r="D81" s="8"/>
      <c r="E81" s="224"/>
      <c r="F81" s="8"/>
      <c r="G81" s="8"/>
      <c r="H81" s="8"/>
      <c r="I81" s="8"/>
      <c r="J81" s="8"/>
      <c r="K81" s="8"/>
      <c r="L81" s="8"/>
      <c r="M81" s="8"/>
      <c r="N81" s="8"/>
      <c r="O81" s="8"/>
      <c r="P81" s="8"/>
      <c r="Q81" s="8"/>
      <c r="R81" s="8"/>
      <c r="S81" s="8"/>
      <c r="T81" s="8"/>
      <c r="U81" s="8"/>
    </row>
    <row r="82" spans="1:21" ht="30" customHeight="1" x14ac:dyDescent="0.25">
      <c r="A82" s="8"/>
      <c r="B82" s="8"/>
      <c r="C82" s="8"/>
      <c r="D82" s="8"/>
      <c r="E82" s="224"/>
      <c r="F82" s="8"/>
      <c r="G82" s="8"/>
      <c r="H82" s="8"/>
      <c r="I82" s="8"/>
      <c r="J82" s="8"/>
      <c r="K82" s="8"/>
      <c r="L82" s="8"/>
      <c r="M82" s="8"/>
      <c r="N82" s="8"/>
      <c r="O82" s="8"/>
      <c r="P82" s="8"/>
      <c r="Q82" s="8"/>
      <c r="R82" s="8"/>
      <c r="S82" s="8"/>
      <c r="T82" s="8"/>
      <c r="U82" s="8"/>
    </row>
    <row r="83" spans="1:21" ht="30" customHeight="1" x14ac:dyDescent="0.25">
      <c r="A83" s="8"/>
      <c r="B83" s="8"/>
      <c r="C83" s="8"/>
      <c r="D83" s="8"/>
      <c r="E83" s="224"/>
      <c r="F83" s="8"/>
      <c r="G83" s="8"/>
      <c r="H83" s="8"/>
      <c r="I83" s="8"/>
      <c r="J83" s="8"/>
      <c r="K83" s="8"/>
      <c r="L83" s="8"/>
      <c r="M83" s="8"/>
      <c r="N83" s="8"/>
      <c r="O83" s="8"/>
      <c r="P83" s="8"/>
      <c r="Q83" s="8"/>
      <c r="R83" s="8"/>
      <c r="S83" s="8"/>
      <c r="T83" s="8"/>
      <c r="U83" s="8"/>
    </row>
    <row r="84" spans="1:21" ht="30" customHeight="1" x14ac:dyDescent="0.25">
      <c r="A84" s="8"/>
      <c r="B84" s="8"/>
      <c r="C84" s="8"/>
      <c r="D84" s="8"/>
      <c r="E84" s="224"/>
      <c r="F84" s="8"/>
      <c r="G84" s="8"/>
      <c r="H84" s="8"/>
      <c r="I84" s="8"/>
      <c r="J84" s="8"/>
      <c r="K84" s="8"/>
      <c r="L84" s="8"/>
      <c r="M84" s="8"/>
      <c r="N84" s="8"/>
      <c r="O84" s="8"/>
      <c r="P84" s="8"/>
      <c r="Q84" s="8"/>
      <c r="R84" s="8"/>
      <c r="S84" s="8"/>
      <c r="T84" s="8"/>
      <c r="U84" s="8"/>
    </row>
    <row r="85" spans="1:21" ht="30" customHeight="1" x14ac:dyDescent="0.25">
      <c r="A85" s="8"/>
      <c r="B85" s="8"/>
      <c r="C85" s="8"/>
      <c r="D85" s="8"/>
      <c r="E85" s="224"/>
      <c r="F85" s="8"/>
      <c r="G85" s="8"/>
      <c r="H85" s="8"/>
      <c r="I85" s="8"/>
      <c r="J85" s="8"/>
      <c r="K85" s="8"/>
      <c r="L85" s="8"/>
      <c r="M85" s="8"/>
      <c r="N85" s="8"/>
      <c r="O85" s="8"/>
      <c r="P85" s="8"/>
      <c r="Q85" s="8"/>
      <c r="R85" s="8"/>
      <c r="S85" s="8"/>
      <c r="T85" s="8"/>
      <c r="U85" s="8"/>
    </row>
    <row r="86" spans="1:21" ht="30" customHeight="1" x14ac:dyDescent="0.25">
      <c r="A86" s="8"/>
      <c r="B86" s="8"/>
      <c r="C86" s="8"/>
      <c r="D86" s="8"/>
      <c r="E86" s="224"/>
      <c r="F86" s="8"/>
      <c r="G86" s="8"/>
      <c r="H86" s="8"/>
      <c r="I86" s="8"/>
      <c r="J86" s="8"/>
      <c r="K86" s="8"/>
      <c r="L86" s="8"/>
      <c r="M86" s="8"/>
      <c r="N86" s="8"/>
      <c r="O86" s="8"/>
      <c r="P86" s="8"/>
      <c r="Q86" s="8"/>
      <c r="R86" s="8"/>
      <c r="S86" s="8"/>
      <c r="T86" s="8"/>
      <c r="U86" s="8"/>
    </row>
    <row r="87" spans="1:21" ht="30" customHeight="1" x14ac:dyDescent="0.25">
      <c r="A87" s="8"/>
      <c r="B87" s="8"/>
      <c r="C87" s="8"/>
      <c r="D87" s="8"/>
      <c r="E87" s="224"/>
      <c r="F87" s="8"/>
      <c r="G87" s="8"/>
      <c r="H87" s="8"/>
      <c r="I87" s="8"/>
      <c r="J87" s="8"/>
      <c r="K87" s="8"/>
      <c r="L87" s="8"/>
      <c r="M87" s="8"/>
      <c r="N87" s="8"/>
      <c r="O87" s="8"/>
      <c r="P87" s="8"/>
      <c r="Q87" s="8"/>
      <c r="R87" s="8"/>
      <c r="S87" s="8"/>
      <c r="T87" s="8"/>
      <c r="U87" s="8"/>
    </row>
    <row r="88" spans="1:21" ht="30" customHeight="1" x14ac:dyDescent="0.25">
      <c r="A88" s="8"/>
      <c r="B88" s="8"/>
      <c r="C88" s="8"/>
      <c r="D88" s="8"/>
      <c r="E88" s="224"/>
      <c r="F88" s="8"/>
      <c r="G88" s="8"/>
      <c r="H88" s="8"/>
      <c r="I88" s="8"/>
      <c r="J88" s="8"/>
      <c r="K88" s="8"/>
      <c r="L88" s="8"/>
      <c r="M88" s="8"/>
      <c r="N88" s="8"/>
      <c r="O88" s="8"/>
      <c r="P88" s="8"/>
      <c r="Q88" s="8"/>
      <c r="R88" s="8"/>
      <c r="S88" s="8"/>
      <c r="T88" s="8"/>
      <c r="U88" s="8"/>
    </row>
    <row r="89" spans="1:21" ht="30" customHeight="1" x14ac:dyDescent="0.25">
      <c r="A89" s="8"/>
      <c r="B89" s="8"/>
      <c r="C89" s="8"/>
      <c r="D89" s="8"/>
      <c r="E89" s="224"/>
      <c r="F89" s="8"/>
      <c r="G89" s="8"/>
      <c r="H89" s="8"/>
      <c r="I89" s="8"/>
      <c r="J89" s="8"/>
      <c r="K89" s="8"/>
      <c r="L89" s="8"/>
      <c r="M89" s="8"/>
      <c r="N89" s="8"/>
      <c r="O89" s="8"/>
      <c r="P89" s="8"/>
      <c r="Q89" s="8"/>
      <c r="R89" s="8"/>
      <c r="S89" s="8"/>
      <c r="T89" s="8"/>
      <c r="U89" s="8"/>
    </row>
    <row r="90" spans="1:21" ht="30" customHeight="1" x14ac:dyDescent="0.25">
      <c r="A90" s="8"/>
      <c r="B90" s="8"/>
      <c r="C90" s="8"/>
      <c r="D90" s="8"/>
      <c r="E90" s="224"/>
      <c r="F90" s="8"/>
      <c r="G90" s="8"/>
      <c r="H90" s="8"/>
      <c r="I90" s="8"/>
      <c r="J90" s="8"/>
      <c r="K90" s="8"/>
      <c r="L90" s="8"/>
      <c r="M90" s="8"/>
      <c r="N90" s="8"/>
      <c r="O90" s="8"/>
      <c r="P90" s="8"/>
      <c r="Q90" s="8"/>
      <c r="R90" s="8"/>
      <c r="S90" s="8"/>
      <c r="T90" s="8"/>
      <c r="U90" s="8"/>
    </row>
    <row r="91" spans="1:21" ht="30" customHeight="1" x14ac:dyDescent="0.25">
      <c r="A91" s="8"/>
      <c r="B91" s="8"/>
      <c r="C91" s="8"/>
      <c r="D91" s="8"/>
      <c r="E91" s="224"/>
      <c r="F91" s="8"/>
      <c r="G91" s="8"/>
      <c r="H91" s="8"/>
      <c r="I91" s="8"/>
      <c r="J91" s="8"/>
      <c r="K91" s="8"/>
      <c r="L91" s="8"/>
      <c r="M91" s="8"/>
      <c r="N91" s="8"/>
      <c r="O91" s="8"/>
      <c r="P91" s="8"/>
      <c r="Q91" s="8"/>
      <c r="R91" s="8"/>
      <c r="S91" s="8"/>
      <c r="T91" s="8"/>
      <c r="U91" s="8"/>
    </row>
    <row r="92" spans="1:21" ht="30" customHeight="1" x14ac:dyDescent="0.25">
      <c r="A92" s="8"/>
      <c r="B92" s="8"/>
      <c r="C92" s="8"/>
      <c r="D92" s="8"/>
      <c r="E92" s="224"/>
      <c r="F92" s="8"/>
      <c r="G92" s="8"/>
      <c r="H92" s="8"/>
      <c r="I92" s="8"/>
      <c r="J92" s="8"/>
      <c r="K92" s="8"/>
      <c r="L92" s="8"/>
      <c r="M92" s="8"/>
      <c r="N92" s="8"/>
      <c r="O92" s="8"/>
      <c r="P92" s="8"/>
      <c r="Q92" s="8"/>
      <c r="R92" s="8"/>
      <c r="S92" s="8"/>
      <c r="T92" s="8"/>
      <c r="U92" s="8"/>
    </row>
    <row r="93" spans="1:21" ht="30" customHeight="1" x14ac:dyDescent="0.25">
      <c r="A93" s="8"/>
      <c r="B93" s="8"/>
      <c r="C93" s="8"/>
      <c r="D93" s="8"/>
      <c r="E93" s="224"/>
      <c r="F93" s="8"/>
      <c r="G93" s="8"/>
      <c r="H93" s="8"/>
      <c r="I93" s="8"/>
      <c r="J93" s="8"/>
      <c r="K93" s="8"/>
      <c r="L93" s="8"/>
      <c r="M93" s="8"/>
      <c r="N93" s="8"/>
      <c r="O93" s="8"/>
      <c r="P93" s="8"/>
      <c r="Q93" s="8"/>
      <c r="R93" s="8"/>
      <c r="S93" s="8"/>
      <c r="T93" s="8"/>
      <c r="U93" s="8"/>
    </row>
    <row r="94" spans="1:21" ht="30" customHeight="1" x14ac:dyDescent="0.25">
      <c r="A94" s="8"/>
      <c r="B94" s="8"/>
      <c r="C94" s="8"/>
      <c r="D94" s="8"/>
      <c r="E94" s="224"/>
      <c r="F94" s="8"/>
      <c r="G94" s="8"/>
      <c r="H94" s="8"/>
      <c r="I94" s="8"/>
      <c r="J94" s="8"/>
      <c r="K94" s="8"/>
      <c r="L94" s="8"/>
      <c r="M94" s="8"/>
      <c r="N94" s="8"/>
      <c r="O94" s="8"/>
      <c r="P94" s="8"/>
      <c r="Q94" s="8"/>
      <c r="R94" s="8"/>
      <c r="S94" s="8"/>
      <c r="T94" s="8"/>
      <c r="U94" s="8"/>
    </row>
    <row r="95" spans="1:21" ht="30" customHeight="1" x14ac:dyDescent="0.25">
      <c r="A95" s="8"/>
      <c r="B95" s="8"/>
      <c r="C95" s="8"/>
      <c r="D95" s="8"/>
      <c r="E95" s="224"/>
      <c r="F95" s="8"/>
      <c r="G95" s="8"/>
      <c r="H95" s="8"/>
      <c r="I95" s="8"/>
      <c r="J95" s="8"/>
      <c r="K95" s="8"/>
      <c r="L95" s="8"/>
      <c r="M95" s="8"/>
      <c r="N95" s="8"/>
      <c r="O95" s="8"/>
      <c r="P95" s="8"/>
      <c r="Q95" s="8"/>
      <c r="R95" s="8"/>
      <c r="S95" s="8"/>
      <c r="T95" s="8"/>
      <c r="U95" s="8"/>
    </row>
    <row r="96" spans="1:21" ht="30" customHeight="1" x14ac:dyDescent="0.25">
      <c r="A96" s="8"/>
      <c r="B96" s="8"/>
      <c r="C96" s="8"/>
      <c r="D96" s="8"/>
      <c r="E96" s="224"/>
      <c r="F96" s="8"/>
      <c r="G96" s="8"/>
      <c r="H96" s="8"/>
      <c r="I96" s="8"/>
      <c r="J96" s="8"/>
      <c r="K96" s="8"/>
      <c r="L96" s="8"/>
      <c r="M96" s="8"/>
      <c r="N96" s="8"/>
      <c r="O96" s="8"/>
      <c r="P96" s="8"/>
      <c r="Q96" s="8"/>
      <c r="R96" s="8"/>
      <c r="S96" s="8"/>
      <c r="T96" s="8"/>
      <c r="U96" s="8"/>
    </row>
    <row r="97" spans="1:21" ht="30" customHeight="1" x14ac:dyDescent="0.25">
      <c r="A97" s="8"/>
      <c r="B97" s="8"/>
      <c r="C97" s="8"/>
      <c r="D97" s="8"/>
      <c r="E97" s="224"/>
      <c r="F97" s="8"/>
      <c r="G97" s="8"/>
      <c r="H97" s="8"/>
      <c r="I97" s="8"/>
      <c r="J97" s="8"/>
      <c r="K97" s="8"/>
      <c r="L97" s="8"/>
      <c r="M97" s="8"/>
      <c r="N97" s="8"/>
      <c r="O97" s="8"/>
      <c r="P97" s="8"/>
      <c r="Q97" s="8"/>
      <c r="R97" s="8"/>
      <c r="S97" s="8"/>
      <c r="T97" s="8"/>
      <c r="U97" s="8"/>
    </row>
    <row r="98" spans="1:21" ht="30" customHeight="1" x14ac:dyDescent="0.25">
      <c r="A98" s="8"/>
      <c r="B98" s="8"/>
      <c r="C98" s="8"/>
      <c r="D98" s="8"/>
      <c r="E98" s="224"/>
      <c r="F98" s="8"/>
      <c r="G98" s="8"/>
      <c r="H98" s="8"/>
      <c r="I98" s="8"/>
      <c r="J98" s="8"/>
      <c r="K98" s="8"/>
      <c r="L98" s="8"/>
      <c r="M98" s="8"/>
      <c r="N98" s="8"/>
      <c r="O98" s="8"/>
      <c r="P98" s="8"/>
      <c r="Q98" s="8"/>
      <c r="R98" s="8"/>
      <c r="S98" s="8"/>
      <c r="T98" s="8"/>
      <c r="U98" s="8"/>
    </row>
    <row r="99" spans="1:21" ht="30" customHeight="1" x14ac:dyDescent="0.25">
      <c r="A99" s="8"/>
      <c r="B99" s="8"/>
      <c r="C99" s="8"/>
      <c r="D99" s="8"/>
      <c r="E99" s="224"/>
      <c r="F99" s="8"/>
      <c r="G99" s="8"/>
      <c r="H99" s="8"/>
      <c r="I99" s="8"/>
      <c r="J99" s="8"/>
      <c r="K99" s="8"/>
      <c r="L99" s="8"/>
      <c r="M99" s="8"/>
      <c r="N99" s="8"/>
      <c r="O99" s="8"/>
      <c r="P99" s="8"/>
      <c r="Q99" s="8"/>
      <c r="R99" s="8"/>
      <c r="S99" s="8"/>
      <c r="T99" s="8"/>
      <c r="U99" s="8"/>
    </row>
    <row r="100" spans="1:21" ht="30" customHeight="1" x14ac:dyDescent="0.25">
      <c r="A100" s="8"/>
      <c r="B100" s="8"/>
      <c r="C100" s="8"/>
      <c r="D100" s="8"/>
      <c r="E100" s="224"/>
      <c r="F100" s="8"/>
      <c r="G100" s="8"/>
      <c r="H100" s="8"/>
      <c r="I100" s="8"/>
      <c r="J100" s="8"/>
      <c r="K100" s="8"/>
      <c r="L100" s="8"/>
      <c r="M100" s="8"/>
      <c r="N100" s="8"/>
      <c r="O100" s="8"/>
      <c r="P100" s="8"/>
      <c r="Q100" s="8"/>
      <c r="R100" s="8"/>
      <c r="S100" s="8"/>
      <c r="T100" s="8"/>
      <c r="U100" s="8"/>
    </row>
    <row r="101" spans="1:21" ht="30" customHeight="1" x14ac:dyDescent="0.25">
      <c r="A101" s="8"/>
      <c r="B101" s="8"/>
      <c r="C101" s="8"/>
      <c r="D101" s="8"/>
      <c r="E101" s="224"/>
      <c r="F101" s="8"/>
      <c r="G101" s="8"/>
      <c r="H101" s="8"/>
      <c r="I101" s="8"/>
      <c r="J101" s="8"/>
      <c r="K101" s="8"/>
      <c r="L101" s="8"/>
      <c r="M101" s="8"/>
      <c r="N101" s="8"/>
      <c r="O101" s="8"/>
      <c r="P101" s="8"/>
      <c r="Q101" s="8"/>
      <c r="R101" s="8"/>
      <c r="S101" s="8"/>
      <c r="T101" s="8"/>
      <c r="U101" s="8"/>
    </row>
    <row r="102" spans="1:21" ht="30" customHeight="1" x14ac:dyDescent="0.25">
      <c r="A102" s="8"/>
      <c r="B102" s="8"/>
      <c r="C102" s="8"/>
      <c r="D102" s="8"/>
      <c r="E102" s="224"/>
      <c r="F102" s="8"/>
      <c r="G102" s="8"/>
      <c r="H102" s="8"/>
      <c r="I102" s="8"/>
      <c r="J102" s="8"/>
      <c r="K102" s="8"/>
      <c r="L102" s="8"/>
      <c r="M102" s="8"/>
      <c r="N102" s="8"/>
      <c r="O102" s="8"/>
      <c r="P102" s="8"/>
      <c r="Q102" s="8"/>
      <c r="R102" s="8"/>
      <c r="S102" s="8"/>
      <c r="T102" s="8"/>
      <c r="U102" s="8"/>
    </row>
    <row r="103" spans="1:21" ht="30" customHeight="1" x14ac:dyDescent="0.25">
      <c r="A103" s="8"/>
      <c r="B103" s="8"/>
      <c r="C103" s="8"/>
      <c r="D103" s="8"/>
      <c r="E103" s="224"/>
      <c r="F103" s="8"/>
      <c r="G103" s="8"/>
      <c r="H103" s="8"/>
      <c r="I103" s="8"/>
      <c r="J103" s="8"/>
      <c r="K103" s="8"/>
      <c r="L103" s="8"/>
      <c r="M103" s="8"/>
      <c r="N103" s="8"/>
      <c r="O103" s="8"/>
      <c r="P103" s="8"/>
      <c r="Q103" s="8"/>
      <c r="R103" s="8"/>
      <c r="S103" s="8"/>
      <c r="T103" s="8"/>
      <c r="U103" s="8"/>
    </row>
    <row r="104" spans="1:21" ht="30" customHeight="1" x14ac:dyDescent="0.25">
      <c r="A104" s="8"/>
      <c r="B104" s="8"/>
      <c r="C104" s="8"/>
      <c r="D104" s="8"/>
      <c r="E104" s="224"/>
      <c r="F104" s="8"/>
      <c r="G104" s="8"/>
      <c r="H104" s="8"/>
      <c r="I104" s="8"/>
      <c r="J104" s="8"/>
      <c r="K104" s="8"/>
      <c r="L104" s="8"/>
      <c r="M104" s="8"/>
      <c r="N104" s="8"/>
      <c r="O104" s="8"/>
      <c r="P104" s="8"/>
      <c r="Q104" s="8"/>
      <c r="R104" s="8"/>
      <c r="S104" s="8"/>
      <c r="T104" s="8"/>
      <c r="U104" s="8"/>
    </row>
    <row r="105" spans="1:21" ht="30" customHeight="1" x14ac:dyDescent="0.25">
      <c r="A105" s="8"/>
      <c r="B105" s="8"/>
      <c r="C105" s="8"/>
      <c r="D105" s="8"/>
      <c r="E105" s="224"/>
      <c r="F105" s="8"/>
      <c r="G105" s="8"/>
      <c r="H105" s="8"/>
      <c r="I105" s="8"/>
      <c r="J105" s="8"/>
      <c r="K105" s="8"/>
      <c r="L105" s="8"/>
      <c r="M105" s="8"/>
      <c r="N105" s="8"/>
      <c r="O105" s="8"/>
      <c r="P105" s="8"/>
      <c r="Q105" s="8"/>
      <c r="R105" s="8"/>
      <c r="S105" s="8"/>
      <c r="T105" s="8"/>
      <c r="U105" s="8"/>
    </row>
    <row r="106" spans="1:21" ht="30" customHeight="1" x14ac:dyDescent="0.25">
      <c r="A106" s="8"/>
      <c r="B106" s="8"/>
      <c r="C106" s="8"/>
      <c r="D106" s="8"/>
      <c r="E106" s="224"/>
      <c r="F106" s="8"/>
      <c r="G106" s="8"/>
      <c r="H106" s="8"/>
      <c r="I106" s="8"/>
      <c r="J106" s="8"/>
      <c r="K106" s="8"/>
      <c r="L106" s="8"/>
      <c r="M106" s="8"/>
      <c r="N106" s="8"/>
      <c r="O106" s="8"/>
      <c r="P106" s="8"/>
      <c r="Q106" s="8"/>
      <c r="R106" s="8"/>
      <c r="S106" s="8"/>
      <c r="T106" s="8"/>
      <c r="U106" s="8"/>
    </row>
    <row r="107" spans="1:21" ht="30" customHeight="1" x14ac:dyDescent="0.25">
      <c r="A107" s="8"/>
      <c r="B107" s="8"/>
      <c r="C107" s="8"/>
      <c r="D107" s="8"/>
      <c r="E107" s="224"/>
      <c r="F107" s="8"/>
      <c r="G107" s="8"/>
      <c r="H107" s="8"/>
      <c r="I107" s="8"/>
      <c r="J107" s="8"/>
      <c r="K107" s="8"/>
      <c r="L107" s="8"/>
      <c r="M107" s="8"/>
      <c r="N107" s="8"/>
      <c r="O107" s="8"/>
      <c r="P107" s="8"/>
      <c r="Q107" s="8"/>
      <c r="R107" s="8"/>
      <c r="S107" s="8"/>
      <c r="T107" s="8"/>
      <c r="U107" s="8"/>
    </row>
    <row r="108" spans="1:21" ht="30" customHeight="1" x14ac:dyDescent="0.25">
      <c r="A108" s="8"/>
      <c r="B108" s="8"/>
      <c r="C108" s="8"/>
      <c r="D108" s="8"/>
      <c r="E108" s="224"/>
      <c r="F108" s="8"/>
      <c r="G108" s="8"/>
      <c r="H108" s="8"/>
      <c r="I108" s="8"/>
      <c r="J108" s="8"/>
      <c r="K108" s="8"/>
      <c r="L108" s="8"/>
      <c r="M108" s="8"/>
      <c r="N108" s="8"/>
      <c r="O108" s="8"/>
      <c r="P108" s="8"/>
      <c r="Q108" s="8"/>
      <c r="R108" s="8"/>
      <c r="S108" s="8"/>
      <c r="T108" s="8"/>
      <c r="U108" s="8"/>
    </row>
    <row r="109" spans="1:21" ht="30" customHeight="1" x14ac:dyDescent="0.25">
      <c r="A109" s="8"/>
      <c r="B109" s="8"/>
      <c r="C109" s="8"/>
      <c r="D109" s="8"/>
      <c r="E109" s="224"/>
      <c r="F109" s="8"/>
      <c r="G109" s="8"/>
      <c r="H109" s="8"/>
      <c r="I109" s="8"/>
      <c r="J109" s="8"/>
      <c r="K109" s="8"/>
      <c r="L109" s="8"/>
      <c r="M109" s="8"/>
      <c r="N109" s="8"/>
      <c r="O109" s="8"/>
      <c r="P109" s="8"/>
      <c r="Q109" s="8"/>
      <c r="R109" s="8"/>
      <c r="S109" s="8"/>
      <c r="T109" s="8"/>
      <c r="U109" s="8"/>
    </row>
    <row r="110" spans="1:21" ht="30" customHeight="1" x14ac:dyDescent="0.25">
      <c r="A110" s="8"/>
      <c r="B110" s="8"/>
      <c r="C110" s="8"/>
      <c r="D110" s="8"/>
      <c r="E110" s="224"/>
      <c r="F110" s="8"/>
      <c r="G110" s="8"/>
      <c r="H110" s="8"/>
      <c r="I110" s="8"/>
      <c r="J110" s="8"/>
      <c r="K110" s="8"/>
      <c r="L110" s="8"/>
      <c r="M110" s="8"/>
      <c r="N110" s="8"/>
      <c r="O110" s="8"/>
      <c r="P110" s="8"/>
      <c r="Q110" s="8"/>
      <c r="R110" s="8"/>
      <c r="S110" s="8"/>
      <c r="T110" s="8"/>
      <c r="U110" s="8"/>
    </row>
    <row r="111" spans="1:21" ht="30" customHeight="1" x14ac:dyDescent="0.25">
      <c r="A111" s="8"/>
      <c r="B111" s="8"/>
      <c r="C111" s="8"/>
      <c r="D111" s="8"/>
      <c r="E111" s="224"/>
      <c r="F111" s="8"/>
      <c r="G111" s="8"/>
      <c r="H111" s="8"/>
      <c r="I111" s="8"/>
      <c r="J111" s="8"/>
      <c r="K111" s="8"/>
      <c r="L111" s="8"/>
      <c r="M111" s="8"/>
      <c r="N111" s="8"/>
      <c r="O111" s="8"/>
      <c r="P111" s="8"/>
      <c r="Q111" s="8"/>
      <c r="R111" s="8"/>
      <c r="S111" s="8"/>
      <c r="T111" s="8"/>
      <c r="U111" s="8"/>
    </row>
    <row r="112" spans="1:21" ht="30" customHeight="1" x14ac:dyDescent="0.25">
      <c r="A112" s="8"/>
      <c r="B112" s="8"/>
      <c r="C112" s="8"/>
      <c r="D112" s="8"/>
      <c r="E112" s="224"/>
      <c r="F112" s="8"/>
      <c r="G112" s="8"/>
      <c r="H112" s="8"/>
      <c r="I112" s="8"/>
      <c r="J112" s="8"/>
      <c r="K112" s="8"/>
      <c r="L112" s="8"/>
      <c r="M112" s="8"/>
      <c r="N112" s="8"/>
      <c r="O112" s="8"/>
      <c r="P112" s="8"/>
      <c r="Q112" s="8"/>
      <c r="R112" s="8"/>
      <c r="S112" s="8"/>
      <c r="T112" s="8"/>
      <c r="U112" s="8"/>
    </row>
    <row r="113" spans="1:21" ht="30" customHeight="1" x14ac:dyDescent="0.25">
      <c r="A113" s="8"/>
      <c r="B113" s="8"/>
      <c r="C113" s="8"/>
      <c r="D113" s="8"/>
      <c r="E113" s="224"/>
      <c r="F113" s="8"/>
      <c r="G113" s="8"/>
      <c r="H113" s="8"/>
      <c r="I113" s="8"/>
      <c r="J113" s="8"/>
      <c r="K113" s="8"/>
      <c r="L113" s="8"/>
      <c r="M113" s="8"/>
      <c r="N113" s="8"/>
      <c r="O113" s="8"/>
      <c r="P113" s="8"/>
      <c r="Q113" s="8"/>
      <c r="R113" s="8"/>
      <c r="S113" s="8"/>
      <c r="T113" s="8"/>
      <c r="U113" s="8"/>
    </row>
    <row r="114" spans="1:21" ht="30" customHeight="1" x14ac:dyDescent="0.25">
      <c r="A114" s="8"/>
      <c r="B114" s="8"/>
      <c r="C114" s="8"/>
      <c r="D114" s="8"/>
      <c r="E114" s="224"/>
      <c r="F114" s="8"/>
      <c r="G114" s="8"/>
      <c r="H114" s="8"/>
      <c r="I114" s="8"/>
      <c r="J114" s="8"/>
      <c r="K114" s="8"/>
      <c r="L114" s="8"/>
      <c r="M114" s="8"/>
      <c r="N114" s="8"/>
      <c r="O114" s="8"/>
      <c r="P114" s="8"/>
      <c r="Q114" s="8"/>
      <c r="R114" s="8"/>
      <c r="S114" s="8"/>
      <c r="T114" s="8"/>
      <c r="U114" s="8"/>
    </row>
    <row r="115" spans="1:21" ht="30" customHeight="1" x14ac:dyDescent="0.25">
      <c r="A115" s="8"/>
      <c r="B115" s="8"/>
      <c r="C115" s="8"/>
      <c r="D115" s="8"/>
      <c r="E115" s="224"/>
      <c r="F115" s="8"/>
      <c r="G115" s="8"/>
      <c r="H115" s="8"/>
      <c r="I115" s="8"/>
      <c r="J115" s="8"/>
      <c r="K115" s="8"/>
      <c r="L115" s="8"/>
      <c r="M115" s="8"/>
      <c r="N115" s="8"/>
      <c r="O115" s="8"/>
      <c r="P115" s="8"/>
      <c r="Q115" s="8"/>
      <c r="R115" s="8"/>
      <c r="S115" s="8"/>
      <c r="T115" s="8"/>
      <c r="U115" s="8"/>
    </row>
    <row r="116" spans="1:21" ht="30" customHeight="1" x14ac:dyDescent="0.25">
      <c r="A116" s="8"/>
      <c r="B116" s="8"/>
      <c r="C116" s="8"/>
      <c r="D116" s="8"/>
      <c r="E116" s="224"/>
      <c r="F116" s="8"/>
      <c r="G116" s="8"/>
      <c r="H116" s="8"/>
      <c r="I116" s="8"/>
      <c r="J116" s="8"/>
      <c r="K116" s="8"/>
      <c r="L116" s="8"/>
      <c r="M116" s="8"/>
      <c r="N116" s="8"/>
      <c r="O116" s="8"/>
      <c r="P116" s="8"/>
      <c r="Q116" s="8"/>
      <c r="R116" s="8"/>
      <c r="S116" s="8"/>
      <c r="T116" s="8"/>
      <c r="U116" s="8"/>
    </row>
    <row r="117" spans="1:21" ht="30" customHeight="1" x14ac:dyDescent="0.25">
      <c r="A117" s="8"/>
      <c r="B117" s="8"/>
      <c r="C117" s="8"/>
      <c r="D117" s="8"/>
      <c r="E117" s="224"/>
      <c r="F117" s="8"/>
      <c r="G117" s="8"/>
      <c r="H117" s="8"/>
      <c r="I117" s="8"/>
      <c r="J117" s="8"/>
      <c r="K117" s="8"/>
      <c r="L117" s="8"/>
      <c r="M117" s="8"/>
      <c r="N117" s="8"/>
      <c r="O117" s="8"/>
      <c r="P117" s="8"/>
      <c r="Q117" s="8"/>
      <c r="R117" s="8"/>
      <c r="S117" s="8"/>
      <c r="T117" s="8"/>
      <c r="U117" s="8"/>
    </row>
    <row r="118" spans="1:21" ht="30" customHeight="1" x14ac:dyDescent="0.25">
      <c r="A118" s="8"/>
      <c r="B118" s="8"/>
      <c r="C118" s="8"/>
      <c r="D118" s="8"/>
      <c r="E118" s="224"/>
      <c r="F118" s="8"/>
      <c r="G118" s="8"/>
      <c r="H118" s="8"/>
      <c r="I118" s="8"/>
      <c r="J118" s="8"/>
      <c r="K118" s="8"/>
      <c r="L118" s="8"/>
      <c r="M118" s="8"/>
      <c r="N118" s="8"/>
      <c r="O118" s="8"/>
      <c r="P118" s="8"/>
      <c r="Q118" s="8"/>
      <c r="R118" s="8"/>
      <c r="S118" s="8"/>
      <c r="T118" s="8"/>
      <c r="U118" s="8"/>
    </row>
    <row r="119" spans="1:21" ht="30" customHeight="1" x14ac:dyDescent="0.25">
      <c r="A119" s="8"/>
      <c r="B119" s="8"/>
      <c r="C119" s="8"/>
      <c r="D119" s="8"/>
      <c r="E119" s="224"/>
      <c r="F119" s="8"/>
      <c r="G119" s="8"/>
      <c r="H119" s="8"/>
      <c r="I119" s="8"/>
      <c r="J119" s="8"/>
      <c r="K119" s="8"/>
      <c r="L119" s="8"/>
      <c r="M119" s="8"/>
      <c r="N119" s="8"/>
      <c r="O119" s="8"/>
      <c r="P119" s="8"/>
      <c r="Q119" s="8"/>
      <c r="R119" s="8"/>
      <c r="S119" s="8"/>
      <c r="T119" s="8"/>
      <c r="U119" s="8"/>
    </row>
    <row r="120" spans="1:21" ht="30" customHeight="1" x14ac:dyDescent="0.25">
      <c r="A120" s="8"/>
      <c r="B120" s="8"/>
      <c r="C120" s="8"/>
      <c r="D120" s="8"/>
      <c r="E120" s="224"/>
      <c r="F120" s="8"/>
      <c r="G120" s="8"/>
      <c r="H120" s="8"/>
      <c r="I120" s="8"/>
      <c r="J120" s="8"/>
      <c r="K120" s="8"/>
      <c r="L120" s="8"/>
      <c r="M120" s="8"/>
      <c r="N120" s="8"/>
      <c r="O120" s="8"/>
      <c r="P120" s="8"/>
      <c r="Q120" s="8"/>
      <c r="R120" s="8"/>
      <c r="S120" s="8"/>
      <c r="T120" s="8"/>
      <c r="U120" s="8"/>
    </row>
    <row r="121" spans="1:21" ht="30" customHeight="1" x14ac:dyDescent="0.25">
      <c r="A121" s="8"/>
      <c r="B121" s="8"/>
      <c r="C121" s="8"/>
      <c r="D121" s="8"/>
      <c r="E121" s="224"/>
      <c r="F121" s="8"/>
      <c r="G121" s="8"/>
      <c r="H121" s="8"/>
      <c r="I121" s="8"/>
      <c r="J121" s="8"/>
      <c r="K121" s="8"/>
      <c r="L121" s="8"/>
      <c r="M121" s="8"/>
      <c r="N121" s="8"/>
      <c r="O121" s="8"/>
      <c r="P121" s="8"/>
      <c r="Q121" s="8"/>
      <c r="R121" s="8"/>
      <c r="S121" s="8"/>
      <c r="T121" s="8"/>
      <c r="U121" s="8"/>
    </row>
    <row r="122" spans="1:21" ht="30" customHeight="1" x14ac:dyDescent="0.25">
      <c r="A122" s="8"/>
      <c r="B122" s="8"/>
      <c r="C122" s="8"/>
      <c r="D122" s="8"/>
      <c r="E122" s="224"/>
      <c r="F122" s="8"/>
      <c r="G122" s="8"/>
      <c r="H122" s="8"/>
      <c r="I122" s="8"/>
      <c r="J122" s="8"/>
      <c r="K122" s="8"/>
      <c r="L122" s="8"/>
      <c r="M122" s="8"/>
      <c r="N122" s="8"/>
      <c r="O122" s="8"/>
      <c r="P122" s="8"/>
      <c r="Q122" s="8"/>
      <c r="R122" s="8"/>
      <c r="S122" s="8"/>
      <c r="T122" s="8"/>
      <c r="U122" s="8"/>
    </row>
    <row r="123" spans="1:21" ht="30" customHeight="1" x14ac:dyDescent="0.25">
      <c r="A123" s="8"/>
      <c r="B123" s="8"/>
      <c r="C123" s="8"/>
      <c r="D123" s="8"/>
      <c r="E123" s="224"/>
      <c r="F123" s="8"/>
      <c r="G123" s="8"/>
      <c r="H123" s="8"/>
      <c r="I123" s="8"/>
      <c r="J123" s="8"/>
      <c r="K123" s="8"/>
      <c r="L123" s="8"/>
      <c r="M123" s="8"/>
      <c r="N123" s="8"/>
      <c r="O123" s="8"/>
      <c r="P123" s="8"/>
      <c r="Q123" s="8"/>
      <c r="R123" s="8"/>
      <c r="S123" s="8"/>
      <c r="T123" s="8"/>
      <c r="U123" s="8"/>
    </row>
    <row r="124" spans="1:21" ht="30" customHeight="1" x14ac:dyDescent="0.25">
      <c r="A124" s="8"/>
      <c r="B124" s="8"/>
      <c r="C124" s="8"/>
      <c r="D124" s="8"/>
      <c r="E124" s="224"/>
      <c r="F124" s="8"/>
      <c r="G124" s="8"/>
      <c r="H124" s="8"/>
      <c r="I124" s="8"/>
      <c r="J124" s="8"/>
      <c r="K124" s="8"/>
      <c r="L124" s="8"/>
      <c r="M124" s="8"/>
      <c r="N124" s="8"/>
      <c r="O124" s="8"/>
      <c r="P124" s="8"/>
      <c r="Q124" s="8"/>
      <c r="R124" s="8"/>
      <c r="S124" s="8"/>
      <c r="T124" s="8"/>
      <c r="U124" s="8"/>
    </row>
    <row r="125" spans="1:21" ht="30" customHeight="1" x14ac:dyDescent="0.25">
      <c r="A125" s="8"/>
      <c r="B125" s="8"/>
      <c r="C125" s="8"/>
      <c r="D125" s="8"/>
      <c r="E125" s="224"/>
      <c r="F125" s="8"/>
      <c r="G125" s="8"/>
      <c r="H125" s="8"/>
      <c r="I125" s="8"/>
      <c r="J125" s="8"/>
      <c r="K125" s="8"/>
      <c r="L125" s="8"/>
      <c r="M125" s="8"/>
      <c r="N125" s="8"/>
      <c r="O125" s="8"/>
      <c r="P125" s="8"/>
      <c r="Q125" s="8"/>
      <c r="R125" s="8"/>
      <c r="S125" s="8"/>
      <c r="T125" s="8"/>
      <c r="U125" s="8"/>
    </row>
    <row r="126" spans="1:21" ht="30" customHeight="1" x14ac:dyDescent="0.25">
      <c r="A126" s="8"/>
      <c r="B126" s="8"/>
      <c r="C126" s="8"/>
      <c r="D126" s="8"/>
      <c r="E126" s="224"/>
      <c r="F126" s="8"/>
      <c r="G126" s="8"/>
      <c r="H126" s="8"/>
      <c r="I126" s="8"/>
      <c r="J126" s="8"/>
      <c r="K126" s="8"/>
      <c r="L126" s="8"/>
      <c r="M126" s="8"/>
      <c r="N126" s="8"/>
      <c r="O126" s="8"/>
      <c r="P126" s="8"/>
      <c r="Q126" s="8"/>
      <c r="R126" s="8"/>
      <c r="S126" s="8"/>
      <c r="T126" s="8"/>
      <c r="U126" s="8"/>
    </row>
    <row r="127" spans="1:21" ht="30" customHeight="1" x14ac:dyDescent="0.25">
      <c r="A127" s="8"/>
      <c r="B127" s="8"/>
      <c r="C127" s="8"/>
      <c r="D127" s="8"/>
      <c r="E127" s="224"/>
      <c r="F127" s="8"/>
      <c r="G127" s="8"/>
      <c r="H127" s="8"/>
      <c r="I127" s="8"/>
      <c r="J127" s="8"/>
      <c r="K127" s="8"/>
      <c r="L127" s="8"/>
      <c r="M127" s="8"/>
      <c r="N127" s="8"/>
      <c r="O127" s="8"/>
      <c r="P127" s="8"/>
      <c r="Q127" s="8"/>
      <c r="R127" s="8"/>
      <c r="S127" s="8"/>
      <c r="T127" s="8"/>
      <c r="U127" s="8"/>
    </row>
    <row r="128" spans="1:21" ht="30" customHeight="1" x14ac:dyDescent="0.25">
      <c r="A128" s="8"/>
      <c r="B128" s="8"/>
      <c r="C128" s="8"/>
      <c r="D128" s="8"/>
      <c r="E128" s="224"/>
      <c r="F128" s="8"/>
      <c r="G128" s="8"/>
      <c r="H128" s="8"/>
      <c r="I128" s="8"/>
      <c r="J128" s="8"/>
      <c r="K128" s="8"/>
      <c r="L128" s="8"/>
      <c r="M128" s="8"/>
      <c r="N128" s="8"/>
      <c r="O128" s="8"/>
      <c r="P128" s="8"/>
      <c r="Q128" s="8"/>
      <c r="R128" s="8"/>
      <c r="S128" s="8"/>
      <c r="T128" s="8"/>
      <c r="U128" s="8"/>
    </row>
    <row r="129" spans="1:21" ht="30" customHeight="1" x14ac:dyDescent="0.25">
      <c r="A129" s="8"/>
      <c r="B129" s="8"/>
      <c r="C129" s="8"/>
      <c r="D129" s="8"/>
      <c r="E129" s="224"/>
      <c r="F129" s="8"/>
      <c r="G129" s="8"/>
      <c r="H129" s="8"/>
      <c r="I129" s="8"/>
      <c r="J129" s="8"/>
      <c r="K129" s="8"/>
      <c r="L129" s="8"/>
      <c r="M129" s="8"/>
      <c r="N129" s="8"/>
      <c r="O129" s="8"/>
      <c r="P129" s="8"/>
      <c r="Q129" s="8"/>
      <c r="R129" s="8"/>
      <c r="S129" s="8"/>
      <c r="T129" s="8"/>
      <c r="U129" s="8"/>
    </row>
    <row r="130" spans="1:21" ht="30" customHeight="1" x14ac:dyDescent="0.25">
      <c r="A130" s="8"/>
      <c r="B130" s="8"/>
      <c r="C130" s="8"/>
      <c r="D130" s="8"/>
      <c r="E130" s="224"/>
      <c r="F130" s="8"/>
      <c r="G130" s="8"/>
      <c r="H130" s="8"/>
      <c r="I130" s="8"/>
      <c r="J130" s="8"/>
      <c r="K130" s="8"/>
      <c r="L130" s="8"/>
      <c r="M130" s="8"/>
      <c r="N130" s="8"/>
      <c r="O130" s="8"/>
      <c r="P130" s="8"/>
      <c r="Q130" s="8"/>
      <c r="R130" s="8"/>
      <c r="S130" s="8"/>
      <c r="T130" s="8"/>
      <c r="U130" s="8"/>
    </row>
    <row r="131" spans="1:21" ht="30" customHeight="1" x14ac:dyDescent="0.25">
      <c r="A131" s="8"/>
      <c r="B131" s="8"/>
      <c r="C131" s="8"/>
      <c r="D131" s="8"/>
      <c r="E131" s="224"/>
      <c r="F131" s="8"/>
      <c r="G131" s="8"/>
      <c r="H131" s="8"/>
      <c r="I131" s="8"/>
      <c r="J131" s="8"/>
      <c r="K131" s="8"/>
      <c r="L131" s="8"/>
      <c r="M131" s="8"/>
      <c r="N131" s="8"/>
      <c r="O131" s="8"/>
      <c r="P131" s="8"/>
      <c r="Q131" s="8"/>
      <c r="R131" s="8"/>
      <c r="S131" s="8"/>
      <c r="T131" s="8"/>
      <c r="U131" s="8"/>
    </row>
    <row r="132" spans="1:21" ht="30" customHeight="1" x14ac:dyDescent="0.25">
      <c r="A132" s="8"/>
      <c r="B132" s="8"/>
      <c r="C132" s="8"/>
      <c r="D132" s="8"/>
      <c r="E132" s="224"/>
      <c r="F132" s="8"/>
      <c r="G132" s="8"/>
      <c r="H132" s="8"/>
      <c r="I132" s="8"/>
      <c r="J132" s="8"/>
      <c r="K132" s="8"/>
      <c r="L132" s="8"/>
      <c r="M132" s="8"/>
      <c r="N132" s="8"/>
      <c r="O132" s="8"/>
      <c r="P132" s="8"/>
      <c r="Q132" s="8"/>
      <c r="R132" s="8"/>
      <c r="S132" s="8"/>
      <c r="T132" s="8"/>
      <c r="U132" s="8"/>
    </row>
    <row r="133" spans="1:21" ht="30" customHeight="1" x14ac:dyDescent="0.25">
      <c r="A133" s="8"/>
      <c r="B133" s="8"/>
      <c r="C133" s="8"/>
      <c r="D133" s="8"/>
      <c r="E133" s="224"/>
      <c r="F133" s="8"/>
      <c r="G133" s="8"/>
      <c r="H133" s="8"/>
      <c r="I133" s="8"/>
      <c r="J133" s="8"/>
      <c r="K133" s="8"/>
      <c r="L133" s="8"/>
      <c r="M133" s="8"/>
      <c r="N133" s="8"/>
      <c r="O133" s="8"/>
      <c r="P133" s="8"/>
      <c r="Q133" s="8"/>
      <c r="R133" s="8"/>
      <c r="S133" s="8"/>
      <c r="T133" s="8"/>
      <c r="U133" s="8"/>
    </row>
    <row r="134" spans="1:21" ht="30" customHeight="1" x14ac:dyDescent="0.25">
      <c r="A134" s="8"/>
      <c r="B134" s="8"/>
      <c r="C134" s="8"/>
      <c r="D134" s="8"/>
      <c r="E134" s="224"/>
      <c r="F134" s="8"/>
      <c r="G134" s="8"/>
      <c r="H134" s="8"/>
      <c r="I134" s="8"/>
      <c r="J134" s="8"/>
      <c r="K134" s="8"/>
      <c r="L134" s="8"/>
      <c r="M134" s="8"/>
      <c r="N134" s="8"/>
      <c r="O134" s="8"/>
      <c r="P134" s="8"/>
      <c r="Q134" s="8"/>
      <c r="R134" s="8"/>
      <c r="S134" s="8"/>
      <c r="T134" s="8"/>
      <c r="U134" s="8"/>
    </row>
    <row r="135" spans="1:21" ht="30" customHeight="1" x14ac:dyDescent="0.25">
      <c r="A135" s="8"/>
      <c r="B135" s="8"/>
      <c r="C135" s="8"/>
      <c r="D135" s="8"/>
      <c r="E135" s="224"/>
      <c r="F135" s="8"/>
      <c r="G135" s="8"/>
      <c r="H135" s="8"/>
      <c r="I135" s="8"/>
      <c r="J135" s="8"/>
      <c r="K135" s="8"/>
      <c r="L135" s="8"/>
      <c r="M135" s="8"/>
      <c r="N135" s="8"/>
      <c r="O135" s="8"/>
      <c r="P135" s="8"/>
      <c r="Q135" s="8"/>
      <c r="R135" s="8"/>
      <c r="S135" s="8"/>
      <c r="T135" s="8"/>
      <c r="U135" s="8"/>
    </row>
    <row r="136" spans="1:21" ht="30" customHeight="1" x14ac:dyDescent="0.25">
      <c r="A136" s="8"/>
      <c r="B136" s="8"/>
      <c r="C136" s="8"/>
      <c r="D136" s="8"/>
      <c r="E136" s="224"/>
      <c r="F136" s="8"/>
      <c r="G136" s="8"/>
      <c r="H136" s="8"/>
      <c r="I136" s="8"/>
      <c r="J136" s="8"/>
      <c r="K136" s="8"/>
      <c r="L136" s="8"/>
      <c r="M136" s="8"/>
      <c r="N136" s="8"/>
      <c r="O136" s="8"/>
      <c r="P136" s="8"/>
      <c r="Q136" s="8"/>
      <c r="R136" s="8"/>
      <c r="S136" s="8"/>
      <c r="T136" s="8"/>
      <c r="U136" s="8"/>
    </row>
    <row r="137" spans="1:21" ht="30" customHeight="1" x14ac:dyDescent="0.25">
      <c r="A137" s="8"/>
      <c r="B137" s="8"/>
      <c r="C137" s="8"/>
      <c r="D137" s="8"/>
      <c r="E137" s="224"/>
      <c r="F137" s="8"/>
      <c r="G137" s="8"/>
      <c r="H137" s="8"/>
      <c r="I137" s="8"/>
      <c r="J137" s="8"/>
      <c r="K137" s="8"/>
      <c r="L137" s="8"/>
      <c r="M137" s="8"/>
      <c r="N137" s="8"/>
      <c r="O137" s="8"/>
      <c r="P137" s="8"/>
      <c r="Q137" s="8"/>
      <c r="R137" s="8"/>
      <c r="S137" s="8"/>
      <c r="T137" s="8"/>
      <c r="U137" s="8"/>
    </row>
    <row r="138" spans="1:21" ht="30" customHeight="1" x14ac:dyDescent="0.25">
      <c r="A138" s="8"/>
      <c r="B138" s="8"/>
      <c r="C138" s="8"/>
      <c r="D138" s="8"/>
      <c r="E138" s="224"/>
      <c r="F138" s="8"/>
      <c r="G138" s="8"/>
      <c r="H138" s="8"/>
      <c r="I138" s="8"/>
      <c r="J138" s="8"/>
      <c r="K138" s="8"/>
      <c r="L138" s="8"/>
      <c r="M138" s="8"/>
      <c r="N138" s="8"/>
      <c r="O138" s="8"/>
      <c r="P138" s="8"/>
      <c r="Q138" s="8"/>
      <c r="R138" s="8"/>
      <c r="S138" s="8"/>
      <c r="T138" s="8"/>
      <c r="U138" s="8"/>
    </row>
    <row r="139" spans="1:21" ht="30" customHeight="1" x14ac:dyDescent="0.25">
      <c r="A139" s="8"/>
      <c r="B139" s="8"/>
      <c r="C139" s="8"/>
      <c r="D139" s="8"/>
      <c r="E139" s="224"/>
      <c r="F139" s="8"/>
      <c r="G139" s="8"/>
      <c r="H139" s="8"/>
      <c r="I139" s="8"/>
      <c r="J139" s="8"/>
      <c r="K139" s="8"/>
      <c r="L139" s="8"/>
      <c r="M139" s="8"/>
      <c r="N139" s="8"/>
      <c r="O139" s="8"/>
      <c r="P139" s="8"/>
      <c r="Q139" s="8"/>
      <c r="R139" s="8"/>
      <c r="S139" s="8"/>
      <c r="T139" s="8"/>
      <c r="U139" s="8"/>
    </row>
    <row r="140" spans="1:21" ht="30" customHeight="1" x14ac:dyDescent="0.25">
      <c r="A140" s="8"/>
      <c r="B140" s="8"/>
      <c r="C140" s="8"/>
      <c r="D140" s="8"/>
      <c r="E140" s="224"/>
      <c r="F140" s="8"/>
      <c r="G140" s="8"/>
      <c r="H140" s="8"/>
      <c r="I140" s="8"/>
      <c r="J140" s="8"/>
      <c r="K140" s="8"/>
      <c r="L140" s="8"/>
      <c r="M140" s="8"/>
      <c r="N140" s="8"/>
      <c r="O140" s="8"/>
      <c r="P140" s="8"/>
      <c r="Q140" s="8"/>
      <c r="R140" s="8"/>
      <c r="S140" s="8"/>
      <c r="T140" s="8"/>
      <c r="U140" s="8"/>
    </row>
    <row r="141" spans="1:21" ht="30" customHeight="1" x14ac:dyDescent="0.25">
      <c r="A141" s="8"/>
      <c r="B141" s="8"/>
      <c r="C141" s="8"/>
      <c r="D141" s="8"/>
      <c r="E141" s="224"/>
      <c r="F141" s="8"/>
      <c r="G141" s="8"/>
      <c r="H141" s="8"/>
      <c r="I141" s="8"/>
      <c r="J141" s="8"/>
      <c r="K141" s="8"/>
      <c r="L141" s="8"/>
      <c r="M141" s="8"/>
      <c r="N141" s="8"/>
      <c r="O141" s="8"/>
      <c r="P141" s="8"/>
      <c r="Q141" s="8"/>
      <c r="R141" s="8"/>
      <c r="S141" s="8"/>
      <c r="T141" s="8"/>
      <c r="U141" s="8"/>
    </row>
    <row r="142" spans="1:21" ht="30" customHeight="1" x14ac:dyDescent="0.25">
      <c r="A142" s="8"/>
      <c r="B142" s="8"/>
      <c r="C142" s="8"/>
      <c r="D142" s="8"/>
      <c r="E142" s="224"/>
      <c r="F142" s="8"/>
      <c r="G142" s="8"/>
      <c r="H142" s="8"/>
      <c r="I142" s="8"/>
      <c r="J142" s="8"/>
      <c r="K142" s="8"/>
      <c r="L142" s="8"/>
      <c r="M142" s="8"/>
      <c r="N142" s="8"/>
      <c r="O142" s="8"/>
      <c r="P142" s="8"/>
      <c r="Q142" s="8"/>
      <c r="R142" s="8"/>
      <c r="S142" s="8"/>
      <c r="T142" s="8"/>
      <c r="U142" s="8"/>
    </row>
    <row r="143" spans="1:21" ht="30" customHeight="1" x14ac:dyDescent="0.25">
      <c r="A143" s="8"/>
      <c r="B143" s="8"/>
      <c r="C143" s="8"/>
      <c r="D143" s="8"/>
      <c r="E143" s="224"/>
      <c r="F143" s="8"/>
      <c r="G143" s="8"/>
      <c r="H143" s="8"/>
      <c r="I143" s="8"/>
      <c r="J143" s="8"/>
      <c r="K143" s="8"/>
      <c r="L143" s="8"/>
      <c r="M143" s="8"/>
      <c r="N143" s="8"/>
      <c r="O143" s="8"/>
      <c r="P143" s="8"/>
      <c r="Q143" s="8"/>
      <c r="R143" s="8"/>
      <c r="S143" s="8"/>
      <c r="T143" s="8"/>
      <c r="U143" s="8"/>
    </row>
    <row r="144" spans="1:21" ht="30" customHeight="1" x14ac:dyDescent="0.25">
      <c r="A144" s="8"/>
      <c r="B144" s="8"/>
      <c r="C144" s="8"/>
      <c r="D144" s="8"/>
      <c r="E144" s="224"/>
      <c r="F144" s="8"/>
      <c r="G144" s="8"/>
      <c r="H144" s="8"/>
      <c r="I144" s="8"/>
      <c r="J144" s="8"/>
      <c r="K144" s="8"/>
      <c r="L144" s="8"/>
      <c r="M144" s="8"/>
      <c r="N144" s="8"/>
      <c r="O144" s="8"/>
      <c r="P144" s="8"/>
      <c r="Q144" s="8"/>
      <c r="R144" s="8"/>
      <c r="S144" s="8"/>
      <c r="T144" s="8"/>
      <c r="U144" s="8"/>
    </row>
    <row r="145" spans="1:21" ht="30" customHeight="1" x14ac:dyDescent="0.25">
      <c r="A145" s="8"/>
      <c r="B145" s="8"/>
      <c r="C145" s="8"/>
      <c r="D145" s="8"/>
      <c r="E145" s="224"/>
      <c r="F145" s="8"/>
      <c r="G145" s="8"/>
      <c r="H145" s="8"/>
      <c r="I145" s="8"/>
      <c r="J145" s="8"/>
      <c r="K145" s="8"/>
      <c r="L145" s="8"/>
      <c r="M145" s="8"/>
      <c r="N145" s="8"/>
      <c r="O145" s="8"/>
      <c r="P145" s="8"/>
      <c r="Q145" s="8"/>
      <c r="R145" s="8"/>
      <c r="S145" s="8"/>
      <c r="T145" s="8"/>
      <c r="U145" s="8"/>
    </row>
    <row r="146" spans="1:21" ht="30" customHeight="1" x14ac:dyDescent="0.25">
      <c r="A146" s="8"/>
      <c r="B146" s="8"/>
      <c r="C146" s="8"/>
      <c r="D146" s="8"/>
      <c r="E146" s="224"/>
      <c r="F146" s="8"/>
      <c r="G146" s="8"/>
      <c r="H146" s="8"/>
      <c r="I146" s="8"/>
      <c r="J146" s="8"/>
      <c r="K146" s="8"/>
      <c r="L146" s="8"/>
      <c r="M146" s="8"/>
      <c r="N146" s="8"/>
      <c r="O146" s="8"/>
      <c r="P146" s="8"/>
      <c r="Q146" s="8"/>
      <c r="R146" s="8"/>
      <c r="S146" s="8"/>
      <c r="T146" s="8"/>
      <c r="U146" s="8"/>
    </row>
    <row r="147" spans="1:21" ht="30" customHeight="1" x14ac:dyDescent="0.25">
      <c r="A147" s="8"/>
      <c r="B147" s="8"/>
      <c r="C147" s="8"/>
      <c r="D147" s="8"/>
      <c r="E147" s="224"/>
      <c r="F147" s="8"/>
      <c r="G147" s="8"/>
      <c r="H147" s="8"/>
      <c r="I147" s="8"/>
      <c r="J147" s="8"/>
      <c r="K147" s="8"/>
      <c r="L147" s="8"/>
      <c r="M147" s="8"/>
      <c r="N147" s="8"/>
      <c r="O147" s="8"/>
      <c r="P147" s="8"/>
      <c r="Q147" s="8"/>
      <c r="R147" s="8"/>
      <c r="S147" s="8"/>
      <c r="T147" s="8"/>
      <c r="U147" s="8"/>
    </row>
    <row r="148" spans="1:21" ht="30" customHeight="1" x14ac:dyDescent="0.25">
      <c r="A148" s="8"/>
      <c r="B148" s="8"/>
      <c r="C148" s="8"/>
      <c r="D148" s="8"/>
      <c r="E148" s="224"/>
      <c r="F148" s="8"/>
      <c r="G148" s="8"/>
      <c r="H148" s="8"/>
      <c r="I148" s="8"/>
      <c r="J148" s="8"/>
      <c r="K148" s="8"/>
      <c r="L148" s="8"/>
      <c r="M148" s="8"/>
      <c r="N148" s="8"/>
      <c r="O148" s="8"/>
      <c r="P148" s="8"/>
      <c r="Q148" s="8"/>
      <c r="R148" s="8"/>
      <c r="S148" s="8"/>
      <c r="T148" s="8"/>
      <c r="U148" s="8"/>
    </row>
    <row r="149" spans="1:21" ht="30" customHeight="1" x14ac:dyDescent="0.25">
      <c r="A149" s="8"/>
      <c r="B149" s="8"/>
      <c r="C149" s="8"/>
      <c r="D149" s="8"/>
      <c r="E149" s="224"/>
      <c r="F149" s="8"/>
      <c r="G149" s="8"/>
      <c r="H149" s="8"/>
      <c r="I149" s="8"/>
      <c r="J149" s="8"/>
      <c r="K149" s="8"/>
      <c r="L149" s="8"/>
      <c r="M149" s="8"/>
      <c r="N149" s="8"/>
      <c r="O149" s="8"/>
      <c r="P149" s="8"/>
      <c r="Q149" s="8"/>
      <c r="R149" s="8"/>
      <c r="S149" s="8"/>
      <c r="T149" s="8"/>
      <c r="U149" s="8"/>
    </row>
    <row r="150" spans="1:21" ht="30" customHeight="1" x14ac:dyDescent="0.25">
      <c r="A150" s="8"/>
      <c r="B150" s="8"/>
      <c r="C150" s="8"/>
      <c r="D150" s="8"/>
      <c r="E150" s="224"/>
      <c r="F150" s="8"/>
      <c r="G150" s="8"/>
      <c r="H150" s="8"/>
      <c r="I150" s="8"/>
      <c r="J150" s="8"/>
      <c r="K150" s="8"/>
      <c r="L150" s="8"/>
      <c r="M150" s="8"/>
      <c r="N150" s="8"/>
      <c r="O150" s="8"/>
      <c r="P150" s="8"/>
      <c r="Q150" s="8"/>
      <c r="R150" s="8"/>
      <c r="S150" s="8"/>
      <c r="T150" s="8"/>
      <c r="U150" s="8"/>
    </row>
    <row r="151" spans="1:21" ht="30" customHeight="1" x14ac:dyDescent="0.25">
      <c r="A151" s="8"/>
      <c r="B151" s="8"/>
      <c r="C151" s="8"/>
      <c r="D151" s="8"/>
      <c r="E151" s="224"/>
      <c r="F151" s="8"/>
      <c r="G151" s="8"/>
      <c r="H151" s="8"/>
      <c r="I151" s="8"/>
      <c r="J151" s="8"/>
      <c r="K151" s="8"/>
      <c r="L151" s="8"/>
      <c r="M151" s="8"/>
      <c r="N151" s="8"/>
      <c r="O151" s="8"/>
      <c r="P151" s="8"/>
      <c r="Q151" s="8"/>
      <c r="R151" s="8"/>
      <c r="S151" s="8"/>
      <c r="T151" s="8"/>
      <c r="U151" s="8"/>
    </row>
    <row r="152" spans="1:21" ht="30" customHeight="1" x14ac:dyDescent="0.25">
      <c r="A152" s="8"/>
      <c r="B152" s="8"/>
      <c r="C152" s="8"/>
      <c r="D152" s="8"/>
      <c r="E152" s="224"/>
      <c r="F152" s="8"/>
      <c r="G152" s="8"/>
      <c r="H152" s="8"/>
      <c r="I152" s="8"/>
      <c r="J152" s="8"/>
      <c r="K152" s="8"/>
      <c r="L152" s="8"/>
      <c r="M152" s="8"/>
      <c r="N152" s="8"/>
      <c r="O152" s="8"/>
      <c r="P152" s="8"/>
      <c r="Q152" s="8"/>
      <c r="R152" s="8"/>
      <c r="S152" s="8"/>
      <c r="T152" s="8"/>
      <c r="U152" s="8"/>
    </row>
    <row r="153" spans="1:21" ht="30" customHeight="1" x14ac:dyDescent="0.25">
      <c r="A153" s="8"/>
      <c r="B153" s="8"/>
      <c r="C153" s="8"/>
      <c r="D153" s="8"/>
      <c r="E153" s="224"/>
      <c r="F153" s="8"/>
      <c r="G153" s="8"/>
      <c r="H153" s="8"/>
      <c r="I153" s="8"/>
      <c r="J153" s="8"/>
      <c r="K153" s="8"/>
      <c r="L153" s="8"/>
      <c r="M153" s="8"/>
      <c r="N153" s="8"/>
      <c r="O153" s="8"/>
      <c r="P153" s="8"/>
      <c r="Q153" s="8"/>
      <c r="R153" s="8"/>
      <c r="S153" s="8"/>
      <c r="T153" s="8"/>
      <c r="U153" s="8"/>
    </row>
    <row r="154" spans="1:21" ht="30" customHeight="1" x14ac:dyDescent="0.25">
      <c r="A154" s="8"/>
      <c r="B154" s="8"/>
      <c r="C154" s="8"/>
      <c r="D154" s="8"/>
      <c r="E154" s="224"/>
      <c r="F154" s="8"/>
      <c r="G154" s="8"/>
      <c r="H154" s="8"/>
      <c r="I154" s="8"/>
      <c r="J154" s="8"/>
      <c r="K154" s="8"/>
      <c r="L154" s="8"/>
      <c r="M154" s="8"/>
      <c r="N154" s="8"/>
      <c r="O154" s="8"/>
      <c r="P154" s="8"/>
      <c r="Q154" s="8"/>
      <c r="R154" s="8"/>
      <c r="S154" s="8"/>
      <c r="T154" s="8"/>
      <c r="U154" s="8"/>
    </row>
    <row r="155" spans="1:21" ht="30" customHeight="1" x14ac:dyDescent="0.25">
      <c r="A155" s="8"/>
      <c r="B155" s="8"/>
      <c r="C155" s="8"/>
      <c r="D155" s="8"/>
      <c r="E155" s="224"/>
      <c r="F155" s="8"/>
      <c r="G155" s="8"/>
      <c r="H155" s="8"/>
      <c r="I155" s="8"/>
      <c r="J155" s="8"/>
      <c r="K155" s="8"/>
      <c r="L155" s="8"/>
      <c r="M155" s="8"/>
      <c r="N155" s="8"/>
      <c r="O155" s="8"/>
      <c r="P155" s="8"/>
      <c r="Q155" s="8"/>
      <c r="R155" s="8"/>
      <c r="S155" s="8"/>
      <c r="T155" s="8"/>
      <c r="U155" s="8"/>
    </row>
    <row r="156" spans="1:21" ht="30" customHeight="1" x14ac:dyDescent="0.25">
      <c r="A156" s="8"/>
      <c r="B156" s="8"/>
      <c r="C156" s="8"/>
      <c r="D156" s="8"/>
      <c r="E156" s="224"/>
      <c r="F156" s="8"/>
      <c r="G156" s="8"/>
      <c r="H156" s="8"/>
      <c r="I156" s="8"/>
      <c r="J156" s="8"/>
      <c r="K156" s="8"/>
      <c r="L156" s="8"/>
      <c r="M156" s="8"/>
      <c r="N156" s="8"/>
      <c r="O156" s="8"/>
      <c r="P156" s="8"/>
      <c r="Q156" s="8"/>
      <c r="R156" s="8"/>
      <c r="S156" s="8"/>
      <c r="T156" s="8"/>
      <c r="U156" s="8"/>
    </row>
    <row r="157" spans="1:21" ht="30" customHeight="1" x14ac:dyDescent="0.25">
      <c r="A157" s="8"/>
      <c r="B157" s="8"/>
      <c r="C157" s="8"/>
      <c r="D157" s="8"/>
      <c r="E157" s="224"/>
      <c r="F157" s="8"/>
      <c r="G157" s="8"/>
      <c r="H157" s="8"/>
      <c r="I157" s="8"/>
      <c r="J157" s="8"/>
      <c r="K157" s="8"/>
      <c r="L157" s="8"/>
      <c r="M157" s="8"/>
      <c r="N157" s="8"/>
      <c r="O157" s="8"/>
      <c r="P157" s="8"/>
      <c r="Q157" s="8"/>
      <c r="R157" s="8"/>
      <c r="S157" s="8"/>
      <c r="T157" s="8"/>
      <c r="U157" s="8"/>
    </row>
    <row r="158" spans="1:21" ht="30" customHeight="1" x14ac:dyDescent="0.25">
      <c r="A158" s="8"/>
      <c r="B158" s="8"/>
      <c r="C158" s="8"/>
      <c r="D158" s="8"/>
      <c r="E158" s="224"/>
      <c r="F158" s="8"/>
      <c r="G158" s="8"/>
      <c r="H158" s="8"/>
      <c r="I158" s="8"/>
      <c r="J158" s="8"/>
      <c r="K158" s="8"/>
      <c r="L158" s="8"/>
      <c r="M158" s="8"/>
      <c r="N158" s="8"/>
      <c r="O158" s="8"/>
      <c r="P158" s="8"/>
      <c r="Q158" s="8"/>
      <c r="R158" s="8"/>
      <c r="S158" s="8"/>
      <c r="T158" s="8"/>
      <c r="U158" s="8"/>
    </row>
    <row r="159" spans="1:21" ht="30" customHeight="1" x14ac:dyDescent="0.25">
      <c r="A159" s="8"/>
      <c r="B159" s="8"/>
      <c r="C159" s="8"/>
      <c r="D159" s="8"/>
      <c r="E159" s="224"/>
      <c r="F159" s="8"/>
      <c r="G159" s="8"/>
      <c r="H159" s="8"/>
      <c r="I159" s="8"/>
      <c r="J159" s="8"/>
      <c r="K159" s="8"/>
      <c r="L159" s="8"/>
      <c r="M159" s="8"/>
      <c r="N159" s="8"/>
      <c r="O159" s="8"/>
      <c r="P159" s="8"/>
      <c r="Q159" s="8"/>
      <c r="R159" s="8"/>
      <c r="S159" s="8"/>
      <c r="T159" s="8"/>
      <c r="U159" s="8"/>
    </row>
    <row r="160" spans="1:21" ht="30" customHeight="1" x14ac:dyDescent="0.25">
      <c r="A160" s="8"/>
      <c r="B160" s="8"/>
      <c r="C160" s="8"/>
      <c r="D160" s="8"/>
      <c r="E160" s="224"/>
      <c r="F160" s="8"/>
      <c r="G160" s="8"/>
      <c r="H160" s="8"/>
      <c r="I160" s="8"/>
      <c r="J160" s="8"/>
      <c r="K160" s="8"/>
      <c r="L160" s="8"/>
      <c r="M160" s="8"/>
      <c r="N160" s="8"/>
      <c r="O160" s="8"/>
      <c r="P160" s="8"/>
      <c r="Q160" s="8"/>
      <c r="R160" s="8"/>
      <c r="S160" s="8"/>
      <c r="T160" s="8"/>
      <c r="U160" s="8"/>
    </row>
    <row r="161" spans="1:21" ht="30" customHeight="1" x14ac:dyDescent="0.25">
      <c r="A161" s="8"/>
      <c r="B161" s="8"/>
      <c r="C161" s="8"/>
      <c r="D161" s="8"/>
      <c r="E161" s="224"/>
      <c r="F161" s="8"/>
      <c r="G161" s="8"/>
      <c r="H161" s="8"/>
      <c r="I161" s="8"/>
      <c r="J161" s="8"/>
      <c r="K161" s="8"/>
      <c r="L161" s="8"/>
      <c r="M161" s="8"/>
      <c r="N161" s="8"/>
      <c r="O161" s="8"/>
      <c r="P161" s="8"/>
      <c r="Q161" s="8"/>
      <c r="R161" s="8"/>
      <c r="S161" s="8"/>
      <c r="T161" s="8"/>
      <c r="U161" s="8"/>
    </row>
    <row r="162" spans="1:21" ht="30" customHeight="1" x14ac:dyDescent="0.25">
      <c r="A162" s="8"/>
      <c r="B162" s="8"/>
      <c r="C162" s="8"/>
      <c r="D162" s="8"/>
      <c r="E162" s="224"/>
      <c r="F162" s="8"/>
      <c r="G162" s="8"/>
      <c r="H162" s="8"/>
      <c r="I162" s="8"/>
      <c r="J162" s="8"/>
      <c r="K162" s="8"/>
      <c r="L162" s="8"/>
      <c r="M162" s="8"/>
      <c r="N162" s="8"/>
      <c r="O162" s="8"/>
      <c r="P162" s="8"/>
      <c r="Q162" s="8"/>
      <c r="R162" s="8"/>
      <c r="S162" s="8"/>
      <c r="T162" s="8"/>
      <c r="U162" s="8"/>
    </row>
    <row r="163" spans="1:21" ht="30" customHeight="1" x14ac:dyDescent="0.25">
      <c r="A163" s="8"/>
      <c r="B163" s="8"/>
      <c r="C163" s="8"/>
      <c r="D163" s="8"/>
      <c r="E163" s="224"/>
      <c r="F163" s="8"/>
      <c r="G163" s="8"/>
      <c r="H163" s="8"/>
      <c r="I163" s="8"/>
      <c r="J163" s="8"/>
      <c r="K163" s="8"/>
      <c r="L163" s="8"/>
      <c r="M163" s="8"/>
      <c r="N163" s="8"/>
      <c r="O163" s="8"/>
      <c r="P163" s="8"/>
      <c r="Q163" s="8"/>
      <c r="R163" s="8"/>
      <c r="S163" s="8"/>
      <c r="T163" s="8"/>
      <c r="U163" s="8"/>
    </row>
    <row r="164" spans="1:21" ht="30" customHeight="1" x14ac:dyDescent="0.25">
      <c r="A164" s="8"/>
      <c r="B164" s="8"/>
      <c r="C164" s="8"/>
      <c r="D164" s="8"/>
      <c r="E164" s="224"/>
      <c r="F164" s="8"/>
      <c r="G164" s="8"/>
      <c r="H164" s="8"/>
      <c r="I164" s="8"/>
      <c r="J164" s="8"/>
      <c r="K164" s="8"/>
      <c r="L164" s="8"/>
      <c r="M164" s="8"/>
      <c r="N164" s="8"/>
      <c r="O164" s="8"/>
      <c r="P164" s="8"/>
      <c r="Q164" s="8"/>
      <c r="R164" s="8"/>
      <c r="S164" s="8"/>
      <c r="T164" s="8"/>
      <c r="U164" s="8"/>
    </row>
    <row r="165" spans="1:21" ht="30" customHeight="1" x14ac:dyDescent="0.25">
      <c r="A165" s="8"/>
      <c r="B165" s="8"/>
      <c r="C165" s="8"/>
      <c r="D165" s="8"/>
      <c r="E165" s="224"/>
      <c r="F165" s="8"/>
      <c r="G165" s="8"/>
      <c r="H165" s="8"/>
      <c r="I165" s="8"/>
      <c r="J165" s="8"/>
      <c r="K165" s="8"/>
      <c r="L165" s="8"/>
      <c r="M165" s="8"/>
      <c r="N165" s="8"/>
      <c r="O165" s="8"/>
      <c r="P165" s="8"/>
      <c r="Q165" s="8"/>
      <c r="R165" s="8"/>
      <c r="S165" s="8"/>
      <c r="T165" s="8"/>
      <c r="U165" s="8"/>
    </row>
    <row r="166" spans="1:21" ht="30" customHeight="1" x14ac:dyDescent="0.25">
      <c r="A166" s="8"/>
      <c r="B166" s="8"/>
      <c r="C166" s="8"/>
      <c r="D166" s="8"/>
      <c r="E166" s="224"/>
      <c r="F166" s="8"/>
      <c r="G166" s="8"/>
      <c r="H166" s="8"/>
      <c r="I166" s="8"/>
      <c r="J166" s="8"/>
      <c r="K166" s="8"/>
      <c r="L166" s="8"/>
      <c r="M166" s="8"/>
      <c r="N166" s="8"/>
      <c r="O166" s="8"/>
      <c r="P166" s="8"/>
      <c r="Q166" s="8"/>
      <c r="R166" s="8"/>
      <c r="S166" s="8"/>
      <c r="T166" s="8"/>
      <c r="U166" s="8"/>
    </row>
    <row r="167" spans="1:21" ht="30" customHeight="1" x14ac:dyDescent="0.25">
      <c r="A167" s="8"/>
      <c r="B167" s="8"/>
      <c r="C167" s="8"/>
      <c r="D167" s="8"/>
      <c r="E167" s="224"/>
      <c r="F167" s="8"/>
      <c r="G167" s="8"/>
      <c r="H167" s="8"/>
      <c r="I167" s="8"/>
      <c r="J167" s="8"/>
      <c r="K167" s="8"/>
      <c r="L167" s="8"/>
      <c r="M167" s="8"/>
      <c r="N167" s="8"/>
      <c r="O167" s="8"/>
      <c r="P167" s="8"/>
      <c r="Q167" s="8"/>
      <c r="R167" s="8"/>
      <c r="S167" s="8"/>
      <c r="T167" s="8"/>
      <c r="U167" s="8"/>
    </row>
    <row r="168" spans="1:21" ht="30" customHeight="1" x14ac:dyDescent="0.25">
      <c r="A168" s="8"/>
      <c r="B168" s="8"/>
      <c r="C168" s="8"/>
      <c r="D168" s="8"/>
      <c r="E168" s="224"/>
      <c r="F168" s="8"/>
      <c r="G168" s="8"/>
      <c r="H168" s="8"/>
      <c r="I168" s="8"/>
      <c r="J168" s="8"/>
      <c r="K168" s="8"/>
      <c r="L168" s="8"/>
      <c r="M168" s="8"/>
      <c r="N168" s="8"/>
      <c r="O168" s="8"/>
      <c r="P168" s="8"/>
      <c r="Q168" s="8"/>
      <c r="R168" s="8"/>
      <c r="S168" s="8"/>
      <c r="T168" s="8"/>
      <c r="U168" s="8"/>
    </row>
    <row r="169" spans="1:21" ht="30" customHeight="1" x14ac:dyDescent="0.25">
      <c r="A169" s="8"/>
      <c r="B169" s="8"/>
      <c r="C169" s="8"/>
      <c r="D169" s="8"/>
      <c r="E169" s="224"/>
      <c r="F169" s="8"/>
      <c r="G169" s="8"/>
      <c r="H169" s="8"/>
      <c r="I169" s="8"/>
      <c r="J169" s="8"/>
      <c r="K169" s="8"/>
      <c r="L169" s="8"/>
      <c r="M169" s="8"/>
      <c r="N169" s="8"/>
      <c r="O169" s="8"/>
      <c r="P169" s="8"/>
      <c r="Q169" s="8"/>
      <c r="R169" s="8"/>
      <c r="S169" s="8"/>
      <c r="T169" s="8"/>
      <c r="U169" s="8"/>
    </row>
    <row r="170" spans="1:21" ht="30" customHeight="1" x14ac:dyDescent="0.25">
      <c r="A170" s="8"/>
      <c r="B170" s="8"/>
      <c r="C170" s="8"/>
      <c r="D170" s="8"/>
      <c r="E170" s="224"/>
      <c r="F170" s="8"/>
      <c r="G170" s="8"/>
      <c r="H170" s="8"/>
      <c r="I170" s="8"/>
      <c r="J170" s="8"/>
      <c r="K170" s="8"/>
      <c r="L170" s="8"/>
      <c r="M170" s="8"/>
      <c r="N170" s="8"/>
      <c r="O170" s="8"/>
      <c r="P170" s="8"/>
      <c r="Q170" s="8"/>
      <c r="R170" s="8"/>
      <c r="S170" s="8"/>
      <c r="T170" s="8"/>
      <c r="U170" s="8"/>
    </row>
    <row r="171" spans="1:21" ht="30" customHeight="1" x14ac:dyDescent="0.25">
      <c r="A171" s="8"/>
      <c r="B171" s="8"/>
      <c r="C171" s="8"/>
      <c r="D171" s="8"/>
      <c r="E171" s="224"/>
      <c r="F171" s="8"/>
      <c r="G171" s="8"/>
      <c r="H171" s="8"/>
      <c r="I171" s="8"/>
      <c r="J171" s="8"/>
      <c r="K171" s="8"/>
      <c r="L171" s="8"/>
      <c r="M171" s="8"/>
      <c r="N171" s="8"/>
      <c r="O171" s="8"/>
      <c r="P171" s="8"/>
      <c r="Q171" s="8"/>
      <c r="R171" s="8"/>
      <c r="S171" s="8"/>
      <c r="T171" s="8"/>
      <c r="U171" s="8"/>
    </row>
    <row r="172" spans="1:21" ht="30" customHeight="1" x14ac:dyDescent="0.25">
      <c r="A172" s="8"/>
      <c r="B172" s="8"/>
      <c r="C172" s="8"/>
      <c r="D172" s="8"/>
      <c r="E172" s="224"/>
      <c r="F172" s="8"/>
      <c r="G172" s="8"/>
      <c r="H172" s="8"/>
      <c r="I172" s="8"/>
      <c r="J172" s="8"/>
      <c r="K172" s="8"/>
      <c r="L172" s="8"/>
      <c r="M172" s="8"/>
      <c r="N172" s="8"/>
      <c r="O172" s="8"/>
      <c r="P172" s="8"/>
      <c r="Q172" s="8"/>
      <c r="R172" s="8"/>
      <c r="S172" s="8"/>
      <c r="T172" s="8"/>
      <c r="U172" s="8"/>
    </row>
    <row r="173" spans="1:21" ht="30" customHeight="1" x14ac:dyDescent="0.25">
      <c r="A173" s="8"/>
      <c r="B173" s="8"/>
      <c r="C173" s="8"/>
      <c r="D173" s="8"/>
      <c r="E173" s="224"/>
      <c r="F173" s="8"/>
      <c r="G173" s="8"/>
      <c r="H173" s="8"/>
      <c r="I173" s="8"/>
      <c r="J173" s="8"/>
      <c r="K173" s="8"/>
      <c r="L173" s="8"/>
      <c r="M173" s="8"/>
      <c r="N173" s="8"/>
      <c r="O173" s="8"/>
      <c r="P173" s="8"/>
      <c r="Q173" s="8"/>
      <c r="R173" s="8"/>
      <c r="S173" s="8"/>
      <c r="T173" s="8"/>
      <c r="U173" s="8"/>
    </row>
    <row r="174" spans="1:21" ht="30" customHeight="1" x14ac:dyDescent="0.25">
      <c r="A174" s="8"/>
      <c r="B174" s="8"/>
      <c r="C174" s="8"/>
      <c r="D174" s="8"/>
      <c r="E174" s="224"/>
      <c r="F174" s="8"/>
      <c r="G174" s="8"/>
      <c r="H174" s="8"/>
      <c r="I174" s="8"/>
      <c r="J174" s="8"/>
      <c r="K174" s="8"/>
      <c r="L174" s="8"/>
      <c r="M174" s="8"/>
      <c r="N174" s="8"/>
      <c r="O174" s="8"/>
      <c r="P174" s="8"/>
      <c r="Q174" s="8"/>
      <c r="R174" s="8"/>
      <c r="S174" s="8"/>
      <c r="T174" s="8"/>
      <c r="U174" s="8"/>
    </row>
    <row r="175" spans="1:21" ht="30" customHeight="1" x14ac:dyDescent="0.25">
      <c r="A175" s="8"/>
      <c r="B175" s="8"/>
      <c r="C175" s="8"/>
      <c r="D175" s="8"/>
      <c r="E175" s="224"/>
      <c r="F175" s="8"/>
      <c r="G175" s="8"/>
      <c r="H175" s="8"/>
      <c r="I175" s="8"/>
      <c r="J175" s="8"/>
      <c r="K175" s="8"/>
      <c r="L175" s="8"/>
      <c r="M175" s="8"/>
      <c r="N175" s="8"/>
      <c r="O175" s="8"/>
      <c r="P175" s="8"/>
      <c r="Q175" s="8"/>
      <c r="R175" s="8"/>
      <c r="S175" s="8"/>
      <c r="T175" s="8"/>
      <c r="U175" s="8"/>
    </row>
    <row r="176" spans="1:21" ht="30" customHeight="1" x14ac:dyDescent="0.25">
      <c r="A176" s="8"/>
      <c r="B176" s="8"/>
      <c r="C176" s="8"/>
      <c r="D176" s="8"/>
      <c r="E176" s="224"/>
      <c r="F176" s="8"/>
      <c r="G176" s="8"/>
      <c r="H176" s="8"/>
      <c r="I176" s="8"/>
      <c r="J176" s="8"/>
      <c r="K176" s="8"/>
      <c r="L176" s="8"/>
      <c r="M176" s="8"/>
      <c r="N176" s="8"/>
      <c r="O176" s="8"/>
      <c r="P176" s="8"/>
      <c r="Q176" s="8"/>
      <c r="R176" s="8"/>
      <c r="S176" s="8"/>
      <c r="T176" s="8"/>
      <c r="U176" s="8"/>
    </row>
    <row r="177" spans="1:21" ht="30" customHeight="1" x14ac:dyDescent="0.25">
      <c r="A177" s="8"/>
      <c r="B177" s="8"/>
      <c r="C177" s="8"/>
      <c r="D177" s="8"/>
      <c r="E177" s="224"/>
      <c r="F177" s="8"/>
      <c r="G177" s="8"/>
      <c r="H177" s="8"/>
      <c r="I177" s="8"/>
      <c r="J177" s="8"/>
      <c r="K177" s="8"/>
      <c r="L177" s="8"/>
      <c r="M177" s="8"/>
      <c r="N177" s="8"/>
      <c r="O177" s="8"/>
      <c r="P177" s="8"/>
      <c r="Q177" s="8"/>
      <c r="R177" s="8"/>
      <c r="S177" s="8"/>
      <c r="T177" s="8"/>
      <c r="U177" s="8"/>
    </row>
    <row r="178" spans="1:21" ht="30" customHeight="1" x14ac:dyDescent="0.25">
      <c r="A178" s="8"/>
      <c r="B178" s="8"/>
      <c r="C178" s="8"/>
      <c r="D178" s="8"/>
      <c r="E178" s="224"/>
      <c r="F178" s="8"/>
      <c r="G178" s="8"/>
      <c r="H178" s="8"/>
      <c r="I178" s="8"/>
      <c r="J178" s="8"/>
      <c r="K178" s="8"/>
      <c r="L178" s="8"/>
      <c r="M178" s="8"/>
      <c r="N178" s="8"/>
      <c r="O178" s="8"/>
      <c r="P178" s="8"/>
      <c r="Q178" s="8"/>
      <c r="R178" s="8"/>
      <c r="S178" s="8"/>
      <c r="T178" s="8"/>
      <c r="U178" s="8"/>
    </row>
    <row r="179" spans="1:21" ht="30" customHeight="1" x14ac:dyDescent="0.25">
      <c r="A179" s="8"/>
      <c r="B179" s="8"/>
      <c r="C179" s="8"/>
      <c r="D179" s="8"/>
      <c r="E179" s="224"/>
      <c r="F179" s="8"/>
      <c r="G179" s="8"/>
      <c r="H179" s="8"/>
      <c r="I179" s="8"/>
      <c r="J179" s="8"/>
      <c r="K179" s="8"/>
      <c r="L179" s="8"/>
      <c r="M179" s="8"/>
      <c r="N179" s="8"/>
      <c r="O179" s="8"/>
      <c r="P179" s="8"/>
      <c r="Q179" s="8"/>
      <c r="R179" s="8"/>
      <c r="S179" s="8"/>
      <c r="T179" s="8"/>
      <c r="U179" s="8"/>
    </row>
    <row r="180" spans="1:21" ht="30" customHeight="1" x14ac:dyDescent="0.25">
      <c r="A180" s="8"/>
      <c r="B180" s="8"/>
      <c r="C180" s="8"/>
      <c r="D180" s="8"/>
      <c r="E180" s="224"/>
      <c r="F180" s="8"/>
      <c r="G180" s="8"/>
      <c r="H180" s="8"/>
      <c r="I180" s="8"/>
      <c r="J180" s="8"/>
      <c r="K180" s="8"/>
      <c r="L180" s="8"/>
      <c r="M180" s="8"/>
      <c r="N180" s="8"/>
      <c r="O180" s="8"/>
      <c r="P180" s="8"/>
      <c r="Q180" s="8"/>
      <c r="R180" s="8"/>
      <c r="S180" s="8"/>
      <c r="T180" s="8"/>
      <c r="U180" s="8"/>
    </row>
    <row r="181" spans="1:21" ht="30" customHeight="1" x14ac:dyDescent="0.25">
      <c r="A181" s="8"/>
      <c r="B181" s="8"/>
      <c r="C181" s="8"/>
      <c r="D181" s="8"/>
      <c r="E181" s="224"/>
      <c r="F181" s="8"/>
      <c r="G181" s="8"/>
      <c r="H181" s="8"/>
      <c r="I181" s="8"/>
      <c r="J181" s="8"/>
      <c r="K181" s="8"/>
      <c r="L181" s="8"/>
      <c r="M181" s="8"/>
      <c r="N181" s="8"/>
      <c r="O181" s="8"/>
      <c r="P181" s="8"/>
      <c r="Q181" s="8"/>
      <c r="R181" s="8"/>
      <c r="S181" s="8"/>
      <c r="T181" s="8"/>
      <c r="U181" s="8"/>
    </row>
    <row r="182" spans="1:21" ht="30" customHeight="1" x14ac:dyDescent="0.25">
      <c r="A182" s="8"/>
      <c r="B182" s="8"/>
      <c r="C182" s="8"/>
      <c r="D182" s="8"/>
      <c r="E182" s="224"/>
      <c r="F182" s="8"/>
      <c r="G182" s="8"/>
      <c r="H182" s="8"/>
      <c r="I182" s="8"/>
      <c r="J182" s="8"/>
      <c r="K182" s="8"/>
      <c r="L182" s="8"/>
      <c r="M182" s="8"/>
      <c r="N182" s="8"/>
      <c r="O182" s="8"/>
      <c r="P182" s="8"/>
      <c r="Q182" s="8"/>
      <c r="R182" s="8"/>
      <c r="S182" s="8"/>
      <c r="T182" s="8"/>
      <c r="U182" s="8"/>
    </row>
    <row r="183" spans="1:21" ht="30" customHeight="1" x14ac:dyDescent="0.25">
      <c r="A183" s="8"/>
      <c r="B183" s="8"/>
      <c r="C183" s="8"/>
      <c r="D183" s="8"/>
      <c r="E183" s="224"/>
      <c r="F183" s="8"/>
      <c r="G183" s="8"/>
      <c r="H183" s="8"/>
      <c r="I183" s="8"/>
      <c r="J183" s="8"/>
      <c r="K183" s="8"/>
      <c r="L183" s="8"/>
      <c r="M183" s="8"/>
      <c r="N183" s="8"/>
      <c r="O183" s="8"/>
      <c r="P183" s="8"/>
      <c r="Q183" s="8"/>
      <c r="R183" s="8"/>
      <c r="S183" s="8"/>
      <c r="T183" s="8"/>
      <c r="U183" s="8"/>
    </row>
    <row r="184" spans="1:21" ht="30" customHeight="1" x14ac:dyDescent="0.25">
      <c r="A184" s="8"/>
      <c r="B184" s="8"/>
      <c r="C184" s="8"/>
      <c r="D184" s="8"/>
      <c r="E184" s="224"/>
      <c r="F184" s="8"/>
      <c r="G184" s="8"/>
      <c r="H184" s="8"/>
      <c r="I184" s="8"/>
      <c r="J184" s="8"/>
      <c r="K184" s="8"/>
      <c r="L184" s="8"/>
      <c r="M184" s="8"/>
      <c r="N184" s="8"/>
      <c r="O184" s="8"/>
      <c r="P184" s="8"/>
      <c r="Q184" s="8"/>
      <c r="R184" s="8"/>
      <c r="S184" s="8"/>
      <c r="T184" s="8"/>
      <c r="U184" s="8"/>
    </row>
    <row r="185" spans="1:21" ht="30" customHeight="1" x14ac:dyDescent="0.25">
      <c r="A185" s="8"/>
      <c r="B185" s="8"/>
      <c r="C185" s="8"/>
      <c r="D185" s="8"/>
      <c r="E185" s="224"/>
      <c r="F185" s="8"/>
      <c r="G185" s="8"/>
      <c r="H185" s="8"/>
      <c r="I185" s="8"/>
      <c r="J185" s="8"/>
      <c r="K185" s="8"/>
      <c r="L185" s="8"/>
      <c r="M185" s="8"/>
      <c r="N185" s="8"/>
      <c r="O185" s="8"/>
      <c r="P185" s="8"/>
      <c r="Q185" s="8"/>
      <c r="R185" s="8"/>
      <c r="S185" s="8"/>
      <c r="T185" s="8"/>
      <c r="U185" s="8"/>
    </row>
    <row r="186" spans="1:21" ht="30" customHeight="1" x14ac:dyDescent="0.25">
      <c r="A186" s="8"/>
      <c r="B186" s="8"/>
      <c r="C186" s="8"/>
      <c r="D186" s="8"/>
      <c r="E186" s="224"/>
      <c r="F186" s="8"/>
      <c r="G186" s="8"/>
      <c r="H186" s="8"/>
      <c r="I186" s="8"/>
      <c r="J186" s="8"/>
      <c r="K186" s="8"/>
      <c r="L186" s="8"/>
      <c r="M186" s="8"/>
      <c r="N186" s="8"/>
      <c r="O186" s="8"/>
      <c r="P186" s="8"/>
      <c r="Q186" s="8"/>
      <c r="R186" s="8"/>
      <c r="S186" s="8"/>
      <c r="T186" s="8"/>
      <c r="U186" s="8"/>
    </row>
    <row r="187" spans="1:21" ht="30" customHeight="1" x14ac:dyDescent="0.25">
      <c r="A187" s="8"/>
      <c r="B187" s="8"/>
      <c r="C187" s="8"/>
      <c r="D187" s="8"/>
      <c r="E187" s="224"/>
      <c r="F187" s="8"/>
      <c r="G187" s="8"/>
      <c r="H187" s="8"/>
      <c r="I187" s="8"/>
      <c r="J187" s="8"/>
      <c r="K187" s="8"/>
      <c r="L187" s="8"/>
      <c r="M187" s="8"/>
      <c r="N187" s="8"/>
      <c r="O187" s="8"/>
      <c r="P187" s="8"/>
      <c r="Q187" s="8"/>
      <c r="R187" s="8"/>
      <c r="S187" s="8"/>
      <c r="T187" s="8"/>
      <c r="U187" s="8"/>
    </row>
    <row r="188" spans="1:21" ht="30" customHeight="1" x14ac:dyDescent="0.25">
      <c r="A188" s="8"/>
      <c r="B188" s="8"/>
      <c r="C188" s="8"/>
      <c r="D188" s="8"/>
      <c r="E188" s="224"/>
      <c r="F188" s="8"/>
      <c r="G188" s="8"/>
      <c r="H188" s="8"/>
      <c r="I188" s="8"/>
      <c r="J188" s="8"/>
      <c r="K188" s="8"/>
      <c r="L188" s="8"/>
      <c r="M188" s="8"/>
      <c r="N188" s="8"/>
      <c r="O188" s="8"/>
      <c r="P188" s="8"/>
      <c r="Q188" s="8"/>
      <c r="R188" s="8"/>
      <c r="S188" s="8"/>
      <c r="T188" s="8"/>
      <c r="U188" s="8"/>
    </row>
    <row r="189" spans="1:21" ht="30" customHeight="1" x14ac:dyDescent="0.25">
      <c r="A189" s="8"/>
      <c r="B189" s="8"/>
      <c r="C189" s="8"/>
      <c r="D189" s="8"/>
      <c r="E189" s="224"/>
      <c r="F189" s="8"/>
      <c r="G189" s="8"/>
      <c r="H189" s="8"/>
      <c r="I189" s="8"/>
      <c r="J189" s="8"/>
      <c r="K189" s="8"/>
      <c r="L189" s="8"/>
      <c r="M189" s="8"/>
      <c r="N189" s="8"/>
      <c r="O189" s="8"/>
      <c r="P189" s="8"/>
      <c r="Q189" s="8"/>
      <c r="R189" s="8"/>
      <c r="S189" s="8"/>
      <c r="T189" s="8"/>
      <c r="U189" s="8"/>
    </row>
    <row r="190" spans="1:21" ht="30" customHeight="1" x14ac:dyDescent="0.25">
      <c r="A190" s="8"/>
      <c r="B190" s="8"/>
      <c r="C190" s="8"/>
      <c r="D190" s="8"/>
      <c r="E190" s="224"/>
      <c r="F190" s="8"/>
      <c r="G190" s="8"/>
      <c r="H190" s="8"/>
      <c r="I190" s="8"/>
      <c r="J190" s="8"/>
      <c r="K190" s="8"/>
      <c r="L190" s="8"/>
      <c r="M190" s="8"/>
      <c r="N190" s="8"/>
      <c r="O190" s="8"/>
      <c r="P190" s="8"/>
      <c r="Q190" s="8"/>
      <c r="R190" s="8"/>
      <c r="S190" s="8"/>
      <c r="T190" s="8"/>
      <c r="U190" s="8"/>
    </row>
    <row r="191" spans="1:21" ht="30" customHeight="1" x14ac:dyDescent="0.25">
      <c r="A191" s="8"/>
      <c r="B191" s="8"/>
      <c r="C191" s="8"/>
      <c r="D191" s="8"/>
      <c r="E191" s="224"/>
      <c r="F191" s="8"/>
      <c r="G191" s="8"/>
      <c r="H191" s="8"/>
      <c r="I191" s="8"/>
      <c r="J191" s="8"/>
      <c r="K191" s="8"/>
      <c r="L191" s="8"/>
      <c r="M191" s="8"/>
      <c r="N191" s="8"/>
      <c r="O191" s="8"/>
      <c r="P191" s="8"/>
      <c r="Q191" s="8"/>
      <c r="R191" s="8"/>
      <c r="S191" s="8"/>
      <c r="T191" s="8"/>
      <c r="U191" s="8"/>
    </row>
    <row r="192" spans="1:21" ht="30" customHeight="1" x14ac:dyDescent="0.25">
      <c r="A192" s="8"/>
      <c r="B192" s="8"/>
      <c r="C192" s="8"/>
      <c r="D192" s="8"/>
      <c r="E192" s="224"/>
      <c r="F192" s="8"/>
      <c r="G192" s="8"/>
      <c r="H192" s="8"/>
      <c r="I192" s="8"/>
      <c r="J192" s="8"/>
      <c r="K192" s="8"/>
      <c r="L192" s="8"/>
      <c r="M192" s="8"/>
      <c r="N192" s="8"/>
      <c r="O192" s="8"/>
      <c r="P192" s="8"/>
      <c r="Q192" s="8"/>
      <c r="R192" s="8"/>
      <c r="S192" s="8"/>
      <c r="T192" s="8"/>
      <c r="U192" s="8"/>
    </row>
    <row r="193" spans="1:21" ht="30" customHeight="1" x14ac:dyDescent="0.25">
      <c r="A193" s="8"/>
      <c r="B193" s="8"/>
      <c r="C193" s="8"/>
      <c r="D193" s="8"/>
      <c r="E193" s="224"/>
      <c r="F193" s="8"/>
      <c r="G193" s="8"/>
      <c r="H193" s="8"/>
      <c r="I193" s="8"/>
      <c r="J193" s="8"/>
      <c r="K193" s="8"/>
      <c r="L193" s="8"/>
      <c r="M193" s="8"/>
      <c r="N193" s="8"/>
      <c r="O193" s="8"/>
      <c r="P193" s="8"/>
      <c r="Q193" s="8"/>
      <c r="R193" s="8"/>
      <c r="S193" s="8"/>
      <c r="T193" s="8"/>
      <c r="U193" s="8"/>
    </row>
    <row r="194" spans="1:21" ht="30" customHeight="1" x14ac:dyDescent="0.25">
      <c r="A194" s="8"/>
      <c r="B194" s="8"/>
      <c r="C194" s="8"/>
      <c r="D194" s="8"/>
      <c r="E194" s="224"/>
      <c r="F194" s="8"/>
      <c r="G194" s="8"/>
      <c r="H194" s="8"/>
      <c r="I194" s="8"/>
      <c r="J194" s="8"/>
      <c r="K194" s="8"/>
      <c r="L194" s="8"/>
      <c r="M194" s="8"/>
      <c r="N194" s="8"/>
      <c r="O194" s="8"/>
      <c r="P194" s="8"/>
      <c r="Q194" s="8"/>
      <c r="R194" s="8"/>
      <c r="S194" s="8"/>
      <c r="T194" s="8"/>
      <c r="U194" s="8"/>
    </row>
    <row r="195" spans="1:21" ht="30" customHeight="1" x14ac:dyDescent="0.25">
      <c r="A195" s="8"/>
      <c r="B195" s="8"/>
      <c r="C195" s="8"/>
      <c r="D195" s="8"/>
      <c r="E195" s="224"/>
      <c r="F195" s="8"/>
      <c r="G195" s="8"/>
      <c r="H195" s="8"/>
      <c r="I195" s="8"/>
      <c r="J195" s="8"/>
      <c r="K195" s="8"/>
      <c r="L195" s="8"/>
      <c r="M195" s="8"/>
      <c r="N195" s="8"/>
      <c r="O195" s="8"/>
      <c r="P195" s="8"/>
      <c r="Q195" s="8"/>
      <c r="R195" s="8"/>
      <c r="S195" s="8"/>
      <c r="T195" s="8"/>
      <c r="U195" s="8"/>
    </row>
    <row r="196" spans="1:21" ht="30" customHeight="1" x14ac:dyDescent="0.25">
      <c r="A196" s="8"/>
      <c r="B196" s="8"/>
      <c r="C196" s="8"/>
      <c r="D196" s="8"/>
      <c r="E196" s="224"/>
      <c r="F196" s="8"/>
      <c r="G196" s="8"/>
      <c r="H196" s="8"/>
      <c r="I196" s="8"/>
      <c r="J196" s="8"/>
      <c r="K196" s="8"/>
      <c r="L196" s="8"/>
      <c r="M196" s="8"/>
      <c r="N196" s="8"/>
      <c r="O196" s="8"/>
      <c r="P196" s="8"/>
      <c r="Q196" s="8"/>
      <c r="R196" s="8"/>
      <c r="S196" s="8"/>
      <c r="T196" s="8"/>
      <c r="U196" s="8"/>
    </row>
    <row r="197" spans="1:21" ht="30" customHeight="1" x14ac:dyDescent="0.25">
      <c r="A197" s="8"/>
      <c r="B197" s="8"/>
      <c r="C197" s="8"/>
      <c r="D197" s="8"/>
      <c r="E197" s="224"/>
      <c r="F197" s="8"/>
      <c r="G197" s="8"/>
      <c r="H197" s="8"/>
      <c r="I197" s="8"/>
      <c r="J197" s="8"/>
      <c r="K197" s="8"/>
      <c r="L197" s="8"/>
      <c r="M197" s="8"/>
      <c r="N197" s="8"/>
      <c r="O197" s="8"/>
      <c r="P197" s="8"/>
      <c r="Q197" s="8"/>
      <c r="R197" s="8"/>
      <c r="S197" s="8"/>
      <c r="T197" s="8"/>
      <c r="U197" s="8"/>
    </row>
    <row r="198" spans="1:21" ht="30" customHeight="1" x14ac:dyDescent="0.25">
      <c r="A198" s="8"/>
      <c r="B198" s="8"/>
      <c r="C198" s="8"/>
      <c r="D198" s="8"/>
      <c r="E198" s="224"/>
      <c r="F198" s="8"/>
      <c r="G198" s="8"/>
      <c r="H198" s="8"/>
      <c r="I198" s="8"/>
      <c r="J198" s="8"/>
      <c r="K198" s="8"/>
      <c r="L198" s="8"/>
      <c r="M198" s="8"/>
      <c r="N198" s="8"/>
      <c r="O198" s="8"/>
      <c r="P198" s="8"/>
      <c r="Q198" s="8"/>
      <c r="R198" s="8"/>
      <c r="S198" s="8"/>
      <c r="T198" s="8"/>
      <c r="U198" s="8"/>
    </row>
    <row r="199" spans="1:21" ht="30" customHeight="1" x14ac:dyDescent="0.25">
      <c r="A199" s="8"/>
      <c r="B199" s="8"/>
      <c r="C199" s="8"/>
      <c r="D199" s="8"/>
      <c r="E199" s="224"/>
      <c r="F199" s="8"/>
      <c r="G199" s="8"/>
      <c r="H199" s="8"/>
      <c r="I199" s="8"/>
      <c r="J199" s="8"/>
      <c r="K199" s="8"/>
      <c r="L199" s="8"/>
      <c r="M199" s="8"/>
      <c r="N199" s="8"/>
      <c r="O199" s="8"/>
      <c r="P199" s="8"/>
      <c r="Q199" s="8"/>
      <c r="R199" s="8"/>
      <c r="S199" s="8"/>
      <c r="T199" s="8"/>
      <c r="U199" s="8"/>
    </row>
    <row r="200" spans="1:21" ht="30" customHeight="1" x14ac:dyDescent="0.25">
      <c r="A200" s="8"/>
      <c r="B200" s="8"/>
      <c r="C200" s="8"/>
      <c r="D200" s="8"/>
      <c r="E200" s="224"/>
      <c r="F200" s="8"/>
      <c r="G200" s="8"/>
      <c r="H200" s="8"/>
      <c r="I200" s="8"/>
      <c r="J200" s="8"/>
      <c r="K200" s="8"/>
      <c r="L200" s="8"/>
      <c r="M200" s="8"/>
      <c r="N200" s="8"/>
      <c r="O200" s="8"/>
      <c r="P200" s="8"/>
      <c r="Q200" s="8"/>
      <c r="R200" s="8"/>
      <c r="S200" s="8"/>
      <c r="T200" s="8"/>
      <c r="U200" s="8"/>
    </row>
    <row r="201" spans="1:21" ht="30" customHeight="1" x14ac:dyDescent="0.25">
      <c r="A201" s="8"/>
      <c r="B201" s="8"/>
      <c r="C201" s="8"/>
      <c r="D201" s="8"/>
      <c r="E201" s="224"/>
      <c r="F201" s="8"/>
      <c r="G201" s="8"/>
      <c r="H201" s="8"/>
      <c r="I201" s="8"/>
      <c r="J201" s="8"/>
      <c r="K201" s="8"/>
      <c r="L201" s="8"/>
      <c r="M201" s="8"/>
      <c r="N201" s="8"/>
      <c r="O201" s="8"/>
      <c r="P201" s="8"/>
      <c r="Q201" s="8"/>
      <c r="R201" s="8"/>
      <c r="S201" s="8"/>
      <c r="T201" s="8"/>
      <c r="U201" s="8"/>
    </row>
    <row r="202" spans="1:21" ht="30" customHeight="1" x14ac:dyDescent="0.25">
      <c r="A202" s="8"/>
      <c r="B202" s="8"/>
      <c r="C202" s="8"/>
      <c r="D202" s="8"/>
      <c r="E202" s="224"/>
      <c r="F202" s="8"/>
      <c r="G202" s="8"/>
      <c r="H202" s="8"/>
      <c r="I202" s="8"/>
      <c r="J202" s="8"/>
      <c r="K202" s="8"/>
      <c r="L202" s="8"/>
      <c r="M202" s="8"/>
      <c r="N202" s="8"/>
      <c r="O202" s="8"/>
      <c r="P202" s="8"/>
      <c r="Q202" s="8"/>
      <c r="R202" s="8"/>
      <c r="S202" s="8"/>
      <c r="T202" s="8"/>
      <c r="U202" s="8"/>
    </row>
    <row r="203" spans="1:21" ht="30" customHeight="1" x14ac:dyDescent="0.25">
      <c r="A203" s="8"/>
      <c r="B203" s="8"/>
      <c r="C203" s="8"/>
      <c r="D203" s="8"/>
      <c r="E203" s="224"/>
      <c r="F203" s="8"/>
      <c r="G203" s="8"/>
      <c r="H203" s="8"/>
      <c r="I203" s="8"/>
      <c r="J203" s="8"/>
      <c r="K203" s="8"/>
      <c r="L203" s="8"/>
      <c r="M203" s="8"/>
      <c r="N203" s="8"/>
      <c r="O203" s="8"/>
      <c r="P203" s="8"/>
      <c r="Q203" s="8"/>
      <c r="R203" s="8"/>
      <c r="S203" s="8"/>
      <c r="T203" s="8"/>
      <c r="U203" s="8"/>
    </row>
    <row r="204" spans="1:21" ht="30" customHeight="1" x14ac:dyDescent="0.25">
      <c r="A204" s="8"/>
      <c r="B204" s="8"/>
      <c r="C204" s="8"/>
      <c r="D204" s="8"/>
      <c r="E204" s="224"/>
      <c r="F204" s="8"/>
      <c r="G204" s="8"/>
      <c r="H204" s="8"/>
      <c r="I204" s="8"/>
      <c r="J204" s="8"/>
      <c r="K204" s="8"/>
      <c r="L204" s="8"/>
      <c r="M204" s="8"/>
      <c r="N204" s="8"/>
      <c r="O204" s="8"/>
      <c r="P204" s="8"/>
      <c r="Q204" s="8"/>
      <c r="R204" s="8"/>
      <c r="S204" s="8"/>
      <c r="T204" s="8"/>
      <c r="U204" s="8"/>
    </row>
    <row r="205" spans="1:21" ht="30" customHeight="1" x14ac:dyDescent="0.25">
      <c r="A205" s="8"/>
      <c r="B205" s="8"/>
      <c r="C205" s="8"/>
      <c r="D205" s="8"/>
      <c r="E205" s="224"/>
      <c r="F205" s="8"/>
      <c r="G205" s="8"/>
      <c r="H205" s="8"/>
      <c r="I205" s="8"/>
      <c r="J205" s="8"/>
      <c r="K205" s="8"/>
      <c r="L205" s="8"/>
      <c r="M205" s="8"/>
      <c r="N205" s="8"/>
      <c r="O205" s="8"/>
      <c r="P205" s="8"/>
      <c r="Q205" s="8"/>
      <c r="R205" s="8"/>
      <c r="S205" s="8"/>
      <c r="T205" s="8"/>
      <c r="U205" s="8"/>
    </row>
    <row r="206" spans="1:21" ht="30" customHeight="1" x14ac:dyDescent="0.25">
      <c r="A206" s="8"/>
      <c r="B206" s="8"/>
      <c r="C206" s="8"/>
      <c r="D206" s="8"/>
      <c r="E206" s="224"/>
      <c r="F206" s="8"/>
      <c r="G206" s="8"/>
      <c r="H206" s="8"/>
      <c r="I206" s="8"/>
      <c r="J206" s="8"/>
      <c r="K206" s="8"/>
      <c r="L206" s="8"/>
      <c r="M206" s="8"/>
      <c r="N206" s="8"/>
      <c r="O206" s="8"/>
      <c r="P206" s="8"/>
      <c r="Q206" s="8"/>
      <c r="R206" s="8"/>
      <c r="S206" s="8"/>
      <c r="T206" s="8"/>
      <c r="U206" s="8"/>
    </row>
    <row r="207" spans="1:21" ht="30" customHeight="1" x14ac:dyDescent="0.25">
      <c r="A207" s="8"/>
      <c r="B207" s="8"/>
      <c r="C207" s="8"/>
      <c r="D207" s="8"/>
      <c r="E207" s="224"/>
      <c r="F207" s="8"/>
      <c r="G207" s="8"/>
      <c r="H207" s="8"/>
      <c r="I207" s="8"/>
      <c r="J207" s="8"/>
      <c r="K207" s="8"/>
      <c r="L207" s="8"/>
      <c r="M207" s="8"/>
      <c r="N207" s="8"/>
      <c r="O207" s="8"/>
      <c r="P207" s="8"/>
      <c r="Q207" s="8"/>
      <c r="R207" s="8"/>
      <c r="S207" s="8"/>
      <c r="T207" s="8"/>
      <c r="U207" s="8"/>
    </row>
    <row r="208" spans="1:21" ht="30" customHeight="1" x14ac:dyDescent="0.25">
      <c r="A208" s="8"/>
      <c r="B208" s="8"/>
      <c r="C208" s="8"/>
      <c r="D208" s="8"/>
      <c r="E208" s="224"/>
      <c r="F208" s="8"/>
      <c r="G208" s="8"/>
      <c r="H208" s="8"/>
      <c r="I208" s="8"/>
      <c r="J208" s="8"/>
      <c r="K208" s="8"/>
      <c r="L208" s="8"/>
      <c r="M208" s="8"/>
      <c r="N208" s="8"/>
      <c r="O208" s="8"/>
      <c r="P208" s="8"/>
      <c r="Q208" s="8"/>
      <c r="R208" s="8"/>
      <c r="S208" s="8"/>
      <c r="T208" s="8"/>
      <c r="U208" s="8"/>
    </row>
    <row r="209" spans="1:21" ht="30" customHeight="1" x14ac:dyDescent="0.25">
      <c r="A209" s="8"/>
      <c r="B209" s="8"/>
      <c r="C209" s="8"/>
      <c r="D209" s="8"/>
      <c r="E209" s="224"/>
      <c r="F209" s="8"/>
      <c r="G209" s="8"/>
      <c r="H209" s="8"/>
      <c r="I209" s="8"/>
      <c r="J209" s="8"/>
      <c r="K209" s="8"/>
      <c r="L209" s="8"/>
      <c r="M209" s="8"/>
      <c r="N209" s="8"/>
      <c r="O209" s="8"/>
      <c r="P209" s="8"/>
      <c r="Q209" s="8"/>
      <c r="R209" s="8"/>
      <c r="S209" s="8"/>
      <c r="T209" s="8"/>
      <c r="U209" s="8"/>
    </row>
    <row r="210" spans="1:21" ht="30" customHeight="1" x14ac:dyDescent="0.25">
      <c r="A210" s="8"/>
      <c r="B210" s="8"/>
      <c r="C210" s="8"/>
      <c r="D210" s="8"/>
      <c r="E210" s="224"/>
      <c r="F210" s="8"/>
      <c r="G210" s="8"/>
      <c r="H210" s="8"/>
      <c r="I210" s="8"/>
      <c r="J210" s="8"/>
      <c r="K210" s="8"/>
      <c r="L210" s="8"/>
      <c r="M210" s="8"/>
      <c r="N210" s="8"/>
      <c r="O210" s="8"/>
      <c r="P210" s="8"/>
      <c r="Q210" s="8"/>
      <c r="R210" s="8"/>
      <c r="S210" s="8"/>
      <c r="T210" s="8"/>
      <c r="U210" s="8"/>
    </row>
    <row r="211" spans="1:21" ht="30" customHeight="1" x14ac:dyDescent="0.25">
      <c r="A211" s="8"/>
      <c r="B211" s="8"/>
      <c r="C211" s="8"/>
      <c r="D211" s="8"/>
      <c r="E211" s="224"/>
      <c r="F211" s="8"/>
      <c r="G211" s="8"/>
      <c r="H211" s="8"/>
      <c r="I211" s="8"/>
      <c r="J211" s="8"/>
      <c r="K211" s="8"/>
      <c r="L211" s="8"/>
      <c r="M211" s="8"/>
      <c r="N211" s="8"/>
      <c r="O211" s="8"/>
      <c r="P211" s="8"/>
      <c r="Q211" s="8"/>
      <c r="R211" s="8"/>
      <c r="S211" s="8"/>
      <c r="T211" s="8"/>
      <c r="U211" s="8"/>
    </row>
    <row r="212" spans="1:21" ht="30" customHeight="1" x14ac:dyDescent="0.25">
      <c r="A212" s="8"/>
      <c r="B212" s="8"/>
      <c r="C212" s="8"/>
      <c r="D212" s="8"/>
      <c r="E212" s="224"/>
      <c r="F212" s="8"/>
      <c r="G212" s="8"/>
      <c r="H212" s="8"/>
      <c r="I212" s="8"/>
      <c r="J212" s="8"/>
      <c r="K212" s="8"/>
      <c r="L212" s="8"/>
      <c r="M212" s="8"/>
      <c r="N212" s="8"/>
      <c r="O212" s="8"/>
      <c r="P212" s="8"/>
      <c r="Q212" s="8"/>
      <c r="R212" s="8"/>
      <c r="S212" s="8"/>
      <c r="T212" s="8"/>
      <c r="U212" s="8"/>
    </row>
    <row r="213" spans="1:21" ht="30" customHeight="1" x14ac:dyDescent="0.25">
      <c r="A213" s="8"/>
      <c r="B213" s="8"/>
      <c r="C213" s="8"/>
      <c r="D213" s="8"/>
      <c r="E213" s="224"/>
      <c r="F213" s="8"/>
      <c r="G213" s="8"/>
      <c r="H213" s="8"/>
      <c r="I213" s="8"/>
      <c r="J213" s="8"/>
      <c r="K213" s="8"/>
      <c r="L213" s="8"/>
      <c r="M213" s="8"/>
      <c r="N213" s="8"/>
      <c r="O213" s="8"/>
      <c r="P213" s="8"/>
      <c r="Q213" s="8"/>
      <c r="R213" s="8"/>
      <c r="S213" s="8"/>
      <c r="T213" s="8"/>
      <c r="U213" s="8"/>
    </row>
    <row r="214" spans="1:21" ht="30" customHeight="1" x14ac:dyDescent="0.25">
      <c r="A214" s="8"/>
      <c r="B214" s="8"/>
      <c r="C214" s="8"/>
      <c r="D214" s="8"/>
      <c r="E214" s="224"/>
      <c r="F214" s="8"/>
      <c r="G214" s="8"/>
      <c r="H214" s="8"/>
      <c r="I214" s="8"/>
      <c r="J214" s="8"/>
      <c r="K214" s="8"/>
      <c r="L214" s="8"/>
      <c r="M214" s="8"/>
      <c r="N214" s="8"/>
      <c r="O214" s="8"/>
      <c r="P214" s="8"/>
      <c r="Q214" s="8"/>
      <c r="R214" s="8"/>
      <c r="S214" s="8"/>
      <c r="T214" s="8"/>
      <c r="U214" s="8"/>
    </row>
    <row r="215" spans="1:21" ht="30" customHeight="1" x14ac:dyDescent="0.25">
      <c r="A215" s="8"/>
      <c r="B215" s="8"/>
      <c r="C215" s="8"/>
      <c r="D215" s="8"/>
      <c r="E215" s="224"/>
      <c r="F215" s="8"/>
      <c r="G215" s="8"/>
      <c r="H215" s="8"/>
      <c r="I215" s="8"/>
      <c r="J215" s="8"/>
      <c r="K215" s="8"/>
      <c r="L215" s="8"/>
      <c r="M215" s="8"/>
      <c r="N215" s="8"/>
      <c r="O215" s="8"/>
      <c r="P215" s="8"/>
      <c r="Q215" s="8"/>
      <c r="R215" s="8"/>
      <c r="S215" s="8"/>
      <c r="T215" s="8"/>
      <c r="U215" s="8"/>
    </row>
    <row r="216" spans="1:21" ht="30" customHeight="1" x14ac:dyDescent="0.25">
      <c r="A216" s="8"/>
      <c r="B216" s="8"/>
      <c r="C216" s="8"/>
      <c r="D216" s="8"/>
      <c r="E216" s="224"/>
      <c r="F216" s="8"/>
      <c r="G216" s="8"/>
      <c r="H216" s="8"/>
      <c r="I216" s="8"/>
      <c r="J216" s="8"/>
      <c r="K216" s="8"/>
      <c r="L216" s="8"/>
      <c r="M216" s="8"/>
      <c r="N216" s="8"/>
      <c r="O216" s="8"/>
      <c r="P216" s="8"/>
      <c r="Q216" s="8"/>
      <c r="R216" s="8"/>
      <c r="S216" s="8"/>
      <c r="T216" s="8"/>
      <c r="U216" s="8"/>
    </row>
    <row r="217" spans="1:21" ht="30" customHeight="1" x14ac:dyDescent="0.25">
      <c r="A217" s="8"/>
      <c r="B217" s="8"/>
      <c r="C217" s="8"/>
      <c r="D217" s="8"/>
      <c r="E217" s="224"/>
      <c r="F217" s="8"/>
      <c r="G217" s="8"/>
      <c r="H217" s="8"/>
      <c r="I217" s="8"/>
      <c r="J217" s="8"/>
      <c r="K217" s="8"/>
      <c r="L217" s="8"/>
      <c r="M217" s="8"/>
      <c r="N217" s="8"/>
      <c r="O217" s="8"/>
      <c r="P217" s="8"/>
      <c r="Q217" s="8"/>
      <c r="R217" s="8"/>
      <c r="S217" s="8"/>
      <c r="T217" s="8"/>
      <c r="U217" s="8"/>
    </row>
    <row r="218" spans="1:21" ht="30" customHeight="1" x14ac:dyDescent="0.25">
      <c r="A218" s="8"/>
      <c r="B218" s="8"/>
      <c r="C218" s="8"/>
      <c r="D218" s="8"/>
      <c r="E218" s="224"/>
      <c r="F218" s="8"/>
      <c r="G218" s="8"/>
      <c r="H218" s="8"/>
      <c r="I218" s="8"/>
      <c r="J218" s="8"/>
      <c r="K218" s="8"/>
      <c r="L218" s="8"/>
      <c r="M218" s="8"/>
      <c r="N218" s="8"/>
      <c r="O218" s="8"/>
      <c r="P218" s="8"/>
      <c r="Q218" s="8"/>
      <c r="R218" s="8"/>
      <c r="S218" s="8"/>
      <c r="T218" s="8"/>
      <c r="U218" s="8"/>
    </row>
    <row r="219" spans="1:21" ht="30" customHeight="1" x14ac:dyDescent="0.25">
      <c r="A219" s="8"/>
      <c r="B219" s="8"/>
      <c r="C219" s="8"/>
      <c r="D219" s="8"/>
      <c r="E219" s="224"/>
      <c r="F219" s="8"/>
      <c r="G219" s="8"/>
      <c r="H219" s="8"/>
      <c r="I219" s="8"/>
      <c r="J219" s="8"/>
      <c r="K219" s="8"/>
      <c r="L219" s="8"/>
      <c r="M219" s="8"/>
      <c r="N219" s="8"/>
      <c r="O219" s="8"/>
      <c r="P219" s="8"/>
      <c r="Q219" s="8"/>
      <c r="R219" s="8"/>
      <c r="S219" s="8"/>
      <c r="T219" s="8"/>
      <c r="U219" s="8"/>
    </row>
    <row r="220" spans="1:21" ht="30" customHeight="1" x14ac:dyDescent="0.25">
      <c r="A220" s="8"/>
      <c r="B220" s="8"/>
      <c r="C220" s="8"/>
      <c r="D220" s="8"/>
      <c r="E220" s="224"/>
      <c r="F220" s="8"/>
      <c r="G220" s="8"/>
      <c r="H220" s="8"/>
      <c r="I220" s="8"/>
      <c r="J220" s="8"/>
      <c r="K220" s="8"/>
      <c r="L220" s="8"/>
      <c r="M220" s="8"/>
      <c r="N220" s="8"/>
      <c r="O220" s="8"/>
      <c r="P220" s="8"/>
      <c r="Q220" s="8"/>
      <c r="R220" s="8"/>
      <c r="S220" s="8"/>
      <c r="T220" s="8"/>
      <c r="U220" s="8"/>
    </row>
    <row r="221" spans="1:21" ht="30" customHeight="1" x14ac:dyDescent="0.25">
      <c r="A221" s="8"/>
      <c r="B221" s="8"/>
      <c r="C221" s="8"/>
      <c r="D221" s="8"/>
      <c r="E221" s="224"/>
      <c r="F221" s="8"/>
      <c r="G221" s="8"/>
      <c r="H221" s="8"/>
      <c r="I221" s="8"/>
      <c r="J221" s="8"/>
      <c r="K221" s="8"/>
      <c r="L221" s="8"/>
      <c r="M221" s="8"/>
      <c r="N221" s="8"/>
      <c r="O221" s="8"/>
      <c r="P221" s="8"/>
      <c r="Q221" s="8"/>
      <c r="R221" s="8"/>
      <c r="S221" s="8"/>
      <c r="T221" s="8"/>
      <c r="U221" s="8"/>
    </row>
    <row r="222" spans="1:21" ht="30" customHeight="1" x14ac:dyDescent="0.25">
      <c r="A222" s="8"/>
      <c r="B222" s="8"/>
      <c r="C222" s="8"/>
      <c r="D222" s="8"/>
      <c r="E222" s="224"/>
      <c r="F222" s="8"/>
      <c r="G222" s="8"/>
      <c r="H222" s="8"/>
      <c r="I222" s="8"/>
      <c r="J222" s="8"/>
      <c r="K222" s="8"/>
      <c r="L222" s="8"/>
      <c r="M222" s="8"/>
      <c r="N222" s="8"/>
      <c r="O222" s="8"/>
      <c r="P222" s="8"/>
      <c r="Q222" s="8"/>
      <c r="R222" s="8"/>
      <c r="S222" s="8"/>
      <c r="T222" s="8"/>
      <c r="U222" s="8"/>
    </row>
    <row r="223" spans="1:21" ht="30" customHeight="1" x14ac:dyDescent="0.25">
      <c r="A223" s="8"/>
      <c r="B223" s="8"/>
      <c r="C223" s="8"/>
      <c r="D223" s="8"/>
      <c r="E223" s="224"/>
      <c r="F223" s="8"/>
      <c r="G223" s="8"/>
      <c r="H223" s="8"/>
      <c r="I223" s="8"/>
      <c r="J223" s="8"/>
      <c r="K223" s="8"/>
      <c r="L223" s="8"/>
      <c r="M223" s="8"/>
      <c r="N223" s="8"/>
      <c r="O223" s="8"/>
      <c r="P223" s="8"/>
      <c r="Q223" s="8"/>
      <c r="R223" s="8"/>
      <c r="S223" s="8"/>
      <c r="T223" s="8"/>
      <c r="U223" s="8"/>
    </row>
    <row r="224" spans="1:21" ht="30" customHeight="1" x14ac:dyDescent="0.25">
      <c r="A224" s="8"/>
      <c r="B224" s="8"/>
      <c r="C224" s="8"/>
      <c r="D224" s="8"/>
      <c r="E224" s="224"/>
      <c r="F224" s="8"/>
      <c r="G224" s="8"/>
      <c r="H224" s="8"/>
      <c r="I224" s="8"/>
      <c r="J224" s="8"/>
      <c r="K224" s="8"/>
      <c r="L224" s="8"/>
      <c r="M224" s="8"/>
      <c r="N224" s="8"/>
      <c r="O224" s="8"/>
      <c r="P224" s="8"/>
      <c r="Q224" s="8"/>
      <c r="R224" s="8"/>
      <c r="S224" s="8"/>
      <c r="T224" s="8"/>
      <c r="U224" s="8"/>
    </row>
    <row r="225" spans="1:21" ht="30" customHeight="1" x14ac:dyDescent="0.25">
      <c r="A225" s="8"/>
      <c r="B225" s="8"/>
      <c r="C225" s="8"/>
      <c r="D225" s="8"/>
      <c r="E225" s="224"/>
      <c r="F225" s="8"/>
      <c r="G225" s="8"/>
      <c r="H225" s="8"/>
      <c r="I225" s="8"/>
      <c r="J225" s="8"/>
      <c r="K225" s="8"/>
      <c r="L225" s="8"/>
      <c r="M225" s="8"/>
      <c r="N225" s="8"/>
      <c r="O225" s="8"/>
      <c r="P225" s="8"/>
      <c r="Q225" s="8"/>
      <c r="R225" s="8"/>
      <c r="S225" s="8"/>
      <c r="T225" s="8"/>
      <c r="U225" s="8"/>
    </row>
    <row r="226" spans="1:21" ht="30" customHeight="1" x14ac:dyDescent="0.25">
      <c r="A226" s="8"/>
      <c r="B226" s="8"/>
      <c r="C226" s="8"/>
      <c r="D226" s="8"/>
      <c r="E226" s="224"/>
      <c r="F226" s="8"/>
      <c r="G226" s="8"/>
      <c r="H226" s="8"/>
      <c r="I226" s="8"/>
      <c r="J226" s="8"/>
      <c r="K226" s="8"/>
      <c r="L226" s="8"/>
      <c r="M226" s="8"/>
      <c r="N226" s="8"/>
      <c r="O226" s="8"/>
      <c r="P226" s="8"/>
      <c r="Q226" s="8"/>
      <c r="R226" s="8"/>
      <c r="S226" s="8"/>
      <c r="T226" s="8"/>
      <c r="U226" s="8"/>
    </row>
    <row r="227" spans="1:21" ht="30" customHeight="1" x14ac:dyDescent="0.25">
      <c r="A227" s="8"/>
      <c r="B227" s="8"/>
      <c r="C227" s="8"/>
      <c r="D227" s="8"/>
      <c r="E227" s="224"/>
      <c r="F227" s="8"/>
      <c r="G227" s="8"/>
      <c r="H227" s="8"/>
      <c r="I227" s="8"/>
      <c r="J227" s="8"/>
      <c r="K227" s="8"/>
      <c r="L227" s="8"/>
      <c r="M227" s="8"/>
      <c r="N227" s="8"/>
      <c r="O227" s="8"/>
      <c r="P227" s="8"/>
      <c r="Q227" s="8"/>
      <c r="R227" s="8"/>
      <c r="S227" s="8"/>
      <c r="T227" s="8"/>
      <c r="U227" s="8"/>
    </row>
    <row r="228" spans="1:21" ht="30" customHeight="1" x14ac:dyDescent="0.25">
      <c r="A228" s="8"/>
      <c r="B228" s="8"/>
      <c r="C228" s="8"/>
      <c r="D228" s="8"/>
      <c r="E228" s="224"/>
      <c r="F228" s="8"/>
      <c r="G228" s="8"/>
      <c r="H228" s="8"/>
      <c r="I228" s="8"/>
      <c r="J228" s="8"/>
      <c r="K228" s="8"/>
      <c r="L228" s="8"/>
      <c r="M228" s="8"/>
      <c r="N228" s="8"/>
      <c r="O228" s="8"/>
      <c r="P228" s="8"/>
      <c r="Q228" s="8"/>
      <c r="R228" s="8"/>
      <c r="S228" s="8"/>
      <c r="T228" s="8"/>
      <c r="U228" s="8"/>
    </row>
    <row r="229" spans="1:21" ht="30" customHeight="1" x14ac:dyDescent="0.25">
      <c r="A229" s="8"/>
      <c r="B229" s="8"/>
      <c r="C229" s="8"/>
      <c r="D229" s="8"/>
      <c r="E229" s="224"/>
      <c r="F229" s="8"/>
      <c r="G229" s="8"/>
      <c r="H229" s="8"/>
      <c r="I229" s="8"/>
      <c r="J229" s="8"/>
      <c r="K229" s="8"/>
      <c r="L229" s="8"/>
      <c r="M229" s="8"/>
      <c r="N229" s="8"/>
      <c r="O229" s="8"/>
      <c r="P229" s="8"/>
      <c r="Q229" s="8"/>
      <c r="R229" s="8"/>
      <c r="S229" s="8"/>
      <c r="T229" s="8"/>
      <c r="U229" s="8"/>
    </row>
    <row r="230" spans="1:21" ht="30" customHeight="1" x14ac:dyDescent="0.25">
      <c r="A230" s="8"/>
      <c r="B230" s="8"/>
      <c r="C230" s="8"/>
      <c r="D230" s="8"/>
      <c r="E230" s="224"/>
      <c r="F230" s="8"/>
      <c r="G230" s="8"/>
      <c r="H230" s="8"/>
      <c r="I230" s="8"/>
      <c r="J230" s="8"/>
      <c r="K230" s="8"/>
      <c r="L230" s="8"/>
      <c r="M230" s="8"/>
      <c r="N230" s="8"/>
      <c r="O230" s="8"/>
      <c r="P230" s="8"/>
      <c r="Q230" s="8"/>
      <c r="R230" s="8"/>
      <c r="S230" s="8"/>
      <c r="T230" s="8"/>
      <c r="U230" s="8"/>
    </row>
    <row r="231" spans="1:21" ht="30" customHeight="1" x14ac:dyDescent="0.25">
      <c r="A231" s="8"/>
      <c r="B231" s="8"/>
      <c r="C231" s="8"/>
      <c r="D231" s="8"/>
      <c r="E231" s="224"/>
      <c r="F231" s="8"/>
      <c r="G231" s="8"/>
      <c r="H231" s="8"/>
      <c r="I231" s="8"/>
      <c r="J231" s="8"/>
      <c r="K231" s="8"/>
      <c r="L231" s="8"/>
      <c r="M231" s="8"/>
      <c r="N231" s="8"/>
      <c r="O231" s="8"/>
      <c r="P231" s="8"/>
      <c r="Q231" s="8"/>
      <c r="R231" s="8"/>
      <c r="S231" s="8"/>
      <c r="T231" s="8"/>
      <c r="U231" s="8"/>
    </row>
    <row r="232" spans="1:21" ht="30" customHeight="1" x14ac:dyDescent="0.25">
      <c r="A232" s="8"/>
      <c r="B232" s="8"/>
      <c r="C232" s="8"/>
      <c r="D232" s="8"/>
      <c r="E232" s="224"/>
      <c r="F232" s="8"/>
      <c r="G232" s="8"/>
      <c r="H232" s="8"/>
      <c r="I232" s="8"/>
      <c r="J232" s="8"/>
      <c r="K232" s="8"/>
      <c r="L232" s="8"/>
      <c r="M232" s="8"/>
      <c r="N232" s="8"/>
      <c r="O232" s="8"/>
      <c r="P232" s="8"/>
      <c r="Q232" s="8"/>
      <c r="R232" s="8"/>
      <c r="S232" s="8"/>
      <c r="T232" s="8"/>
      <c r="U232" s="8"/>
    </row>
    <row r="233" spans="1:21" ht="30" customHeight="1" x14ac:dyDescent="0.25">
      <c r="A233" s="8"/>
      <c r="B233" s="8"/>
      <c r="C233" s="8"/>
      <c r="D233" s="8"/>
      <c r="E233" s="224"/>
      <c r="F233" s="8"/>
      <c r="G233" s="8"/>
      <c r="H233" s="8"/>
      <c r="I233" s="8"/>
      <c r="J233" s="8"/>
      <c r="K233" s="8"/>
      <c r="L233" s="8"/>
      <c r="M233" s="8"/>
      <c r="N233" s="8"/>
      <c r="O233" s="8"/>
      <c r="P233" s="8"/>
      <c r="Q233" s="8"/>
      <c r="R233" s="8"/>
      <c r="S233" s="8"/>
      <c r="T233" s="8"/>
      <c r="U233" s="8"/>
    </row>
    <row r="234" spans="1:21" ht="30" customHeight="1" x14ac:dyDescent="0.25">
      <c r="A234" s="8"/>
      <c r="B234" s="8"/>
      <c r="C234" s="8"/>
      <c r="D234" s="8"/>
      <c r="E234" s="224"/>
      <c r="F234" s="8"/>
      <c r="G234" s="8"/>
      <c r="H234" s="8"/>
      <c r="I234" s="8"/>
      <c r="J234" s="8"/>
      <c r="K234" s="8"/>
      <c r="L234" s="8"/>
      <c r="M234" s="8"/>
      <c r="N234" s="8"/>
      <c r="O234" s="8"/>
      <c r="P234" s="8"/>
      <c r="Q234" s="8"/>
      <c r="R234" s="8"/>
      <c r="S234" s="8"/>
      <c r="T234" s="8"/>
      <c r="U234" s="8"/>
    </row>
    <row r="235" spans="1:21" ht="30" customHeight="1" x14ac:dyDescent="0.25">
      <c r="A235" s="8"/>
      <c r="B235" s="8"/>
      <c r="C235" s="8"/>
      <c r="D235" s="8"/>
      <c r="E235" s="224"/>
      <c r="F235" s="8"/>
      <c r="G235" s="8"/>
      <c r="H235" s="8"/>
      <c r="I235" s="8"/>
      <c r="J235" s="8"/>
      <c r="K235" s="8"/>
      <c r="L235" s="8"/>
      <c r="M235" s="8"/>
      <c r="N235" s="8"/>
      <c r="O235" s="8"/>
      <c r="P235" s="8"/>
      <c r="Q235" s="8"/>
      <c r="R235" s="8"/>
      <c r="S235" s="8"/>
      <c r="T235" s="8"/>
      <c r="U235" s="8"/>
    </row>
    <row r="236" spans="1:21" ht="30" customHeight="1" x14ac:dyDescent="0.25">
      <c r="A236" s="8"/>
      <c r="B236" s="8"/>
      <c r="C236" s="8"/>
      <c r="D236" s="8"/>
      <c r="E236" s="224"/>
      <c r="F236" s="8"/>
      <c r="G236" s="8"/>
      <c r="H236" s="8"/>
      <c r="I236" s="8"/>
      <c r="J236" s="8"/>
      <c r="K236" s="8"/>
      <c r="L236" s="8"/>
      <c r="M236" s="8"/>
      <c r="N236" s="8"/>
      <c r="O236" s="8"/>
      <c r="P236" s="8"/>
      <c r="Q236" s="8"/>
      <c r="R236" s="8"/>
      <c r="S236" s="8"/>
      <c r="T236" s="8"/>
      <c r="U236" s="8"/>
    </row>
    <row r="237" spans="1:21" ht="30" customHeight="1" x14ac:dyDescent="0.25">
      <c r="A237" s="8"/>
      <c r="B237" s="8"/>
      <c r="C237" s="8"/>
      <c r="D237" s="8"/>
      <c r="E237" s="224"/>
      <c r="F237" s="8"/>
      <c r="G237" s="8"/>
      <c r="H237" s="8"/>
      <c r="I237" s="8"/>
      <c r="J237" s="8"/>
      <c r="K237" s="8"/>
      <c r="L237" s="8"/>
      <c r="M237" s="8"/>
      <c r="N237" s="8"/>
      <c r="O237" s="8"/>
      <c r="P237" s="8"/>
      <c r="Q237" s="8"/>
      <c r="R237" s="8"/>
      <c r="S237" s="8"/>
      <c r="T237" s="8"/>
      <c r="U237" s="8"/>
    </row>
    <row r="238" spans="1:21" ht="30" customHeight="1" x14ac:dyDescent="0.25">
      <c r="A238" s="8"/>
      <c r="B238" s="8"/>
      <c r="C238" s="8"/>
      <c r="D238" s="8"/>
      <c r="E238" s="224"/>
      <c r="F238" s="8"/>
      <c r="G238" s="8"/>
      <c r="H238" s="8"/>
      <c r="I238" s="8"/>
      <c r="J238" s="8"/>
      <c r="K238" s="8"/>
      <c r="L238" s="8"/>
      <c r="M238" s="8"/>
      <c r="N238" s="8"/>
      <c r="O238" s="8"/>
      <c r="P238" s="8"/>
      <c r="Q238" s="8"/>
      <c r="R238" s="8"/>
      <c r="S238" s="8"/>
      <c r="T238" s="8"/>
      <c r="U238" s="8"/>
    </row>
    <row r="239" spans="1:21" ht="30" customHeight="1" x14ac:dyDescent="0.25">
      <c r="A239" s="8"/>
      <c r="B239" s="8"/>
      <c r="C239" s="8"/>
      <c r="D239" s="8"/>
      <c r="E239" s="224"/>
      <c r="F239" s="8"/>
      <c r="G239" s="8"/>
      <c r="H239" s="8"/>
      <c r="I239" s="8"/>
      <c r="J239" s="8"/>
      <c r="K239" s="8"/>
      <c r="L239" s="8"/>
      <c r="M239" s="8"/>
      <c r="N239" s="8"/>
      <c r="O239" s="8"/>
      <c r="P239" s="8"/>
      <c r="Q239" s="8"/>
      <c r="R239" s="8"/>
      <c r="S239" s="8"/>
      <c r="T239" s="8"/>
      <c r="U239" s="8"/>
    </row>
    <row r="240" spans="1:21" ht="30" customHeight="1" x14ac:dyDescent="0.25">
      <c r="A240" s="8"/>
      <c r="B240" s="8"/>
      <c r="C240" s="8"/>
      <c r="D240" s="8"/>
      <c r="E240" s="224"/>
      <c r="F240" s="8"/>
      <c r="G240" s="8"/>
      <c r="H240" s="8"/>
      <c r="I240" s="8"/>
      <c r="J240" s="8"/>
      <c r="K240" s="8"/>
      <c r="L240" s="8"/>
      <c r="M240" s="8"/>
      <c r="N240" s="8"/>
      <c r="O240" s="8"/>
      <c r="P240" s="8"/>
      <c r="Q240" s="8"/>
      <c r="R240" s="8"/>
      <c r="S240" s="8"/>
      <c r="T240" s="8"/>
      <c r="U240" s="8"/>
    </row>
    <row r="241" spans="1:21" ht="30" customHeight="1" x14ac:dyDescent="0.25">
      <c r="A241" s="8"/>
      <c r="B241" s="8"/>
      <c r="C241" s="8"/>
      <c r="D241" s="8"/>
      <c r="E241" s="224"/>
      <c r="F241" s="8"/>
      <c r="G241" s="8"/>
      <c r="H241" s="8"/>
      <c r="I241" s="8"/>
      <c r="J241" s="8"/>
      <c r="K241" s="8"/>
      <c r="L241" s="8"/>
      <c r="M241" s="8"/>
      <c r="N241" s="8"/>
      <c r="O241" s="8"/>
      <c r="P241" s="8"/>
      <c r="Q241" s="8"/>
      <c r="R241" s="8"/>
      <c r="S241" s="8"/>
      <c r="T241" s="8"/>
      <c r="U241" s="8"/>
    </row>
    <row r="242" spans="1:21" ht="30" customHeight="1" x14ac:dyDescent="0.25">
      <c r="A242" s="8"/>
      <c r="B242" s="8"/>
      <c r="C242" s="8"/>
      <c r="D242" s="8"/>
      <c r="E242" s="224"/>
      <c r="F242" s="8"/>
      <c r="G242" s="8"/>
      <c r="H242" s="8"/>
      <c r="I242" s="8"/>
      <c r="J242" s="8"/>
      <c r="K242" s="8"/>
      <c r="L242" s="8"/>
      <c r="M242" s="8"/>
      <c r="N242" s="8"/>
      <c r="O242" s="8"/>
      <c r="P242" s="8"/>
      <c r="Q242" s="8"/>
      <c r="R242" s="8"/>
      <c r="S242" s="8"/>
      <c r="T242" s="8"/>
      <c r="U242" s="8"/>
    </row>
    <row r="243" spans="1:21" ht="30" customHeight="1" x14ac:dyDescent="0.25">
      <c r="A243" s="8"/>
      <c r="B243" s="8"/>
      <c r="C243" s="8"/>
      <c r="D243" s="8"/>
      <c r="E243" s="224"/>
      <c r="F243" s="8"/>
      <c r="G243" s="8"/>
      <c r="H243" s="8"/>
      <c r="I243" s="8"/>
      <c r="J243" s="8"/>
      <c r="K243" s="8"/>
      <c r="L243" s="8"/>
      <c r="M243" s="8"/>
      <c r="N243" s="8"/>
      <c r="O243" s="8"/>
      <c r="P243" s="8"/>
      <c r="Q243" s="8"/>
      <c r="R243" s="8"/>
      <c r="S243" s="8"/>
      <c r="T243" s="8"/>
      <c r="U243" s="8"/>
    </row>
    <row r="244" spans="1:21" ht="30" customHeight="1" x14ac:dyDescent="0.25">
      <c r="A244" s="8"/>
      <c r="B244" s="8"/>
      <c r="C244" s="8"/>
      <c r="D244" s="8"/>
      <c r="E244" s="224"/>
      <c r="F244" s="8"/>
      <c r="G244" s="8"/>
      <c r="H244" s="8"/>
      <c r="I244" s="8"/>
      <c r="J244" s="8"/>
      <c r="K244" s="8"/>
      <c r="L244" s="8"/>
      <c r="M244" s="8"/>
      <c r="N244" s="8"/>
      <c r="O244" s="8"/>
      <c r="P244" s="8"/>
      <c r="Q244" s="8"/>
      <c r="R244" s="8"/>
      <c r="S244" s="8"/>
      <c r="T244" s="8"/>
      <c r="U244" s="8"/>
    </row>
    <row r="245" spans="1:21" ht="30" customHeight="1" x14ac:dyDescent="0.25">
      <c r="A245" s="8"/>
      <c r="B245" s="8"/>
      <c r="C245" s="8"/>
      <c r="D245" s="8"/>
      <c r="E245" s="224"/>
      <c r="F245" s="8"/>
      <c r="G245" s="8"/>
      <c r="H245" s="8"/>
      <c r="I245" s="8"/>
      <c r="J245" s="8"/>
      <c r="K245" s="8"/>
      <c r="L245" s="8"/>
      <c r="M245" s="8"/>
      <c r="N245" s="8"/>
      <c r="O245" s="8"/>
      <c r="P245" s="8"/>
      <c r="Q245" s="8"/>
      <c r="R245" s="8"/>
      <c r="S245" s="8"/>
      <c r="T245" s="8"/>
      <c r="U245" s="8"/>
    </row>
    <row r="246" spans="1:21" ht="30" customHeight="1" x14ac:dyDescent="0.25">
      <c r="A246" s="8"/>
      <c r="B246" s="8"/>
      <c r="C246" s="8"/>
      <c r="D246" s="8"/>
      <c r="E246" s="224"/>
      <c r="F246" s="8"/>
      <c r="G246" s="8"/>
      <c r="H246" s="8"/>
      <c r="I246" s="8"/>
      <c r="J246" s="8"/>
      <c r="K246" s="8"/>
      <c r="L246" s="8"/>
      <c r="M246" s="8"/>
      <c r="N246" s="8"/>
      <c r="O246" s="8"/>
      <c r="P246" s="8"/>
      <c r="Q246" s="8"/>
      <c r="R246" s="8"/>
      <c r="S246" s="8"/>
      <c r="T246" s="8"/>
      <c r="U246" s="8"/>
    </row>
    <row r="247" spans="1:21" ht="30" customHeight="1" x14ac:dyDescent="0.25">
      <c r="A247" s="8"/>
      <c r="B247" s="8"/>
      <c r="C247" s="8"/>
      <c r="D247" s="8"/>
      <c r="E247" s="224"/>
      <c r="F247" s="8"/>
      <c r="G247" s="8"/>
      <c r="H247" s="8"/>
      <c r="I247" s="8"/>
      <c r="J247" s="8"/>
      <c r="K247" s="8"/>
      <c r="L247" s="8"/>
      <c r="M247" s="8"/>
      <c r="N247" s="8"/>
      <c r="O247" s="8"/>
      <c r="P247" s="8"/>
      <c r="Q247" s="8"/>
      <c r="R247" s="8"/>
      <c r="S247" s="8"/>
      <c r="T247" s="8"/>
      <c r="U247" s="8"/>
    </row>
    <row r="248" spans="1:21" ht="30" customHeight="1" x14ac:dyDescent="0.25">
      <c r="A248" s="8"/>
      <c r="B248" s="8"/>
      <c r="C248" s="8"/>
      <c r="D248" s="8"/>
      <c r="E248" s="224"/>
      <c r="F248" s="8"/>
      <c r="G248" s="8"/>
      <c r="H248" s="8"/>
      <c r="I248" s="8"/>
      <c r="J248" s="8"/>
      <c r="K248" s="8"/>
      <c r="L248" s="8"/>
      <c r="M248" s="8"/>
      <c r="N248" s="8"/>
      <c r="O248" s="8"/>
      <c r="P248" s="8"/>
      <c r="Q248" s="8"/>
      <c r="R248" s="8"/>
      <c r="S248" s="8"/>
      <c r="T248" s="8"/>
      <c r="U248" s="8"/>
    </row>
    <row r="249" spans="1:21" ht="30" customHeight="1" x14ac:dyDescent="0.25">
      <c r="A249" s="8"/>
      <c r="B249" s="8"/>
      <c r="C249" s="8"/>
      <c r="D249" s="8"/>
      <c r="E249" s="224"/>
      <c r="F249" s="8"/>
      <c r="G249" s="8"/>
      <c r="H249" s="8"/>
      <c r="I249" s="8"/>
      <c r="J249" s="8"/>
      <c r="K249" s="8"/>
      <c r="L249" s="8"/>
      <c r="M249" s="8"/>
      <c r="N249" s="8"/>
      <c r="O249" s="8"/>
      <c r="P249" s="8"/>
      <c r="Q249" s="8"/>
      <c r="R249" s="8"/>
      <c r="S249" s="8"/>
      <c r="T249" s="8"/>
      <c r="U249" s="8"/>
    </row>
    <row r="250" spans="1:21" ht="30" customHeight="1" x14ac:dyDescent="0.25">
      <c r="A250" s="8"/>
      <c r="B250" s="8"/>
      <c r="C250" s="8"/>
      <c r="D250" s="8"/>
      <c r="E250" s="224"/>
      <c r="F250" s="8"/>
      <c r="G250" s="8"/>
      <c r="H250" s="8"/>
      <c r="I250" s="8"/>
      <c r="J250" s="8"/>
      <c r="K250" s="8"/>
      <c r="L250" s="8"/>
      <c r="M250" s="8"/>
      <c r="N250" s="8"/>
      <c r="O250" s="8"/>
      <c r="P250" s="8"/>
      <c r="Q250" s="8"/>
      <c r="R250" s="8"/>
      <c r="S250" s="8"/>
      <c r="T250" s="8"/>
      <c r="U250" s="8"/>
    </row>
    <row r="251" spans="1:21" ht="30" customHeight="1" x14ac:dyDescent="0.25">
      <c r="A251" s="8"/>
      <c r="B251" s="8"/>
      <c r="C251" s="8"/>
      <c r="D251" s="8"/>
      <c r="E251" s="224"/>
      <c r="F251" s="8"/>
      <c r="G251" s="8"/>
      <c r="H251" s="8"/>
      <c r="I251" s="8"/>
      <c r="J251" s="8"/>
      <c r="K251" s="8"/>
      <c r="L251" s="8"/>
      <c r="M251" s="8"/>
      <c r="N251" s="8"/>
      <c r="O251" s="8"/>
      <c r="P251" s="8"/>
      <c r="Q251" s="8"/>
      <c r="R251" s="8"/>
      <c r="S251" s="8"/>
      <c r="T251" s="8"/>
      <c r="U251" s="8"/>
    </row>
    <row r="252" spans="1:21" ht="30" customHeight="1" x14ac:dyDescent="0.25">
      <c r="A252" s="8"/>
      <c r="B252" s="8"/>
      <c r="C252" s="8"/>
      <c r="D252" s="8"/>
      <c r="E252" s="224"/>
      <c r="F252" s="8"/>
      <c r="G252" s="8"/>
      <c r="H252" s="8"/>
      <c r="I252" s="8"/>
      <c r="J252" s="8"/>
      <c r="K252" s="8"/>
      <c r="L252" s="8"/>
      <c r="M252" s="8"/>
      <c r="N252" s="8"/>
      <c r="O252" s="8"/>
      <c r="P252" s="8"/>
      <c r="Q252" s="8"/>
      <c r="R252" s="8"/>
      <c r="S252" s="8"/>
      <c r="T252" s="8"/>
      <c r="U252" s="8"/>
    </row>
    <row r="253" spans="1:21" ht="30" customHeight="1" x14ac:dyDescent="0.25">
      <c r="A253" s="8"/>
      <c r="B253" s="8"/>
      <c r="C253" s="8"/>
      <c r="D253" s="8"/>
      <c r="E253" s="224"/>
      <c r="F253" s="8"/>
      <c r="G253" s="8"/>
      <c r="H253" s="8"/>
      <c r="I253" s="8"/>
      <c r="J253" s="8"/>
      <c r="K253" s="8"/>
      <c r="L253" s="8"/>
      <c r="M253" s="8"/>
      <c r="N253" s="8"/>
      <c r="O253" s="8"/>
      <c r="P253" s="8"/>
      <c r="Q253" s="8"/>
      <c r="R253" s="8"/>
      <c r="S253" s="8"/>
      <c r="T253" s="8"/>
      <c r="U253" s="8"/>
    </row>
    <row r="254" spans="1:21" ht="30" customHeight="1" x14ac:dyDescent="0.25">
      <c r="A254" s="8"/>
      <c r="B254" s="8"/>
      <c r="C254" s="8"/>
      <c r="D254" s="8"/>
      <c r="E254" s="224"/>
      <c r="F254" s="8"/>
      <c r="G254" s="8"/>
      <c r="H254" s="8"/>
      <c r="I254" s="8"/>
      <c r="J254" s="8"/>
      <c r="K254" s="8"/>
      <c r="L254" s="8"/>
      <c r="M254" s="8"/>
      <c r="N254" s="8"/>
      <c r="O254" s="8"/>
      <c r="P254" s="8"/>
      <c r="Q254" s="8"/>
      <c r="R254" s="8"/>
      <c r="S254" s="8"/>
      <c r="T254" s="8"/>
      <c r="U254" s="8"/>
    </row>
    <row r="255" spans="1:21" ht="30" customHeight="1" x14ac:dyDescent="0.25">
      <c r="A255" s="8"/>
      <c r="B255" s="8"/>
      <c r="C255" s="8"/>
      <c r="D255" s="8"/>
      <c r="E255" s="224"/>
      <c r="F255" s="8"/>
      <c r="G255" s="8"/>
      <c r="H255" s="8"/>
      <c r="I255" s="8"/>
      <c r="J255" s="8"/>
      <c r="K255" s="8"/>
      <c r="L255" s="8"/>
      <c r="M255" s="8"/>
      <c r="N255" s="8"/>
      <c r="O255" s="8"/>
      <c r="P255" s="8"/>
      <c r="Q255" s="8"/>
      <c r="R255" s="8"/>
      <c r="S255" s="8"/>
      <c r="T255" s="8"/>
      <c r="U255" s="8"/>
    </row>
    <row r="256" spans="1:21" ht="30" customHeight="1" x14ac:dyDescent="0.25">
      <c r="A256" s="8"/>
      <c r="B256" s="8"/>
      <c r="C256" s="8"/>
      <c r="D256" s="8"/>
      <c r="E256" s="224"/>
      <c r="F256" s="8"/>
      <c r="G256" s="8"/>
      <c r="H256" s="8"/>
      <c r="I256" s="8"/>
      <c r="J256" s="8"/>
      <c r="K256" s="8"/>
      <c r="L256" s="8"/>
      <c r="M256" s="8"/>
      <c r="N256" s="8"/>
      <c r="O256" s="8"/>
      <c r="P256" s="8"/>
      <c r="Q256" s="8"/>
      <c r="R256" s="8"/>
      <c r="S256" s="8"/>
      <c r="T256" s="8"/>
      <c r="U256" s="8"/>
    </row>
    <row r="257" spans="1:21" ht="30" customHeight="1" x14ac:dyDescent="0.25">
      <c r="A257" s="8"/>
      <c r="B257" s="8"/>
      <c r="C257" s="8"/>
      <c r="D257" s="8"/>
      <c r="E257" s="224"/>
      <c r="F257" s="8"/>
      <c r="G257" s="8"/>
      <c r="H257" s="8"/>
      <c r="I257" s="8"/>
      <c r="J257" s="8"/>
      <c r="K257" s="8"/>
      <c r="L257" s="8"/>
      <c r="M257" s="8"/>
      <c r="N257" s="8"/>
      <c r="O257" s="8"/>
      <c r="P257" s="8"/>
      <c r="Q257" s="8"/>
      <c r="R257" s="8"/>
      <c r="S257" s="8"/>
      <c r="T257" s="8"/>
      <c r="U257" s="8"/>
    </row>
    <row r="258" spans="1:21" ht="30" customHeight="1" x14ac:dyDescent="0.25">
      <c r="A258" s="8"/>
      <c r="B258" s="8"/>
      <c r="C258" s="8"/>
      <c r="D258" s="8"/>
      <c r="E258" s="224"/>
      <c r="F258" s="8"/>
      <c r="G258" s="8"/>
      <c r="H258" s="8"/>
      <c r="I258" s="8"/>
      <c r="J258" s="8"/>
      <c r="K258" s="8"/>
      <c r="L258" s="8"/>
      <c r="M258" s="8"/>
      <c r="N258" s="8"/>
      <c r="O258" s="8"/>
      <c r="P258" s="8"/>
      <c r="Q258" s="8"/>
      <c r="R258" s="8"/>
      <c r="S258" s="8"/>
      <c r="T258" s="8"/>
      <c r="U258" s="8"/>
    </row>
    <row r="259" spans="1:21" ht="30" customHeight="1" x14ac:dyDescent="0.25">
      <c r="A259" s="8"/>
      <c r="B259" s="8"/>
      <c r="C259" s="8"/>
      <c r="D259" s="8"/>
      <c r="E259" s="224"/>
      <c r="F259" s="8"/>
      <c r="G259" s="8"/>
      <c r="H259" s="8"/>
      <c r="I259" s="8"/>
      <c r="J259" s="8"/>
      <c r="K259" s="8"/>
      <c r="L259" s="8"/>
      <c r="M259" s="8"/>
      <c r="N259" s="8"/>
      <c r="O259" s="8"/>
      <c r="P259" s="8"/>
      <c r="Q259" s="8"/>
      <c r="R259" s="8"/>
      <c r="S259" s="8"/>
      <c r="T259" s="8"/>
      <c r="U259" s="8"/>
    </row>
    <row r="260" spans="1:21" ht="30" customHeight="1" x14ac:dyDescent="0.25">
      <c r="A260" s="8"/>
      <c r="B260" s="8"/>
      <c r="C260" s="8"/>
      <c r="D260" s="8"/>
      <c r="E260" s="224"/>
      <c r="F260" s="8"/>
      <c r="G260" s="8"/>
      <c r="H260" s="8"/>
      <c r="I260" s="8"/>
      <c r="J260" s="8"/>
      <c r="K260" s="8"/>
      <c r="L260" s="8"/>
      <c r="M260" s="8"/>
      <c r="N260" s="8"/>
      <c r="O260" s="8"/>
      <c r="P260" s="8"/>
      <c r="Q260" s="8"/>
      <c r="R260" s="8"/>
      <c r="S260" s="8"/>
      <c r="T260" s="8"/>
      <c r="U260" s="8"/>
    </row>
    <row r="261" spans="1:21" ht="30" customHeight="1" x14ac:dyDescent="0.25">
      <c r="A261" s="8"/>
      <c r="B261" s="8"/>
      <c r="C261" s="8"/>
      <c r="D261" s="8"/>
      <c r="E261" s="224"/>
      <c r="F261" s="8"/>
      <c r="G261" s="8"/>
      <c r="H261" s="8"/>
      <c r="I261" s="8"/>
      <c r="J261" s="8"/>
      <c r="K261" s="8"/>
      <c r="L261" s="8"/>
      <c r="M261" s="8"/>
      <c r="N261" s="8"/>
      <c r="O261" s="8"/>
      <c r="P261" s="8"/>
      <c r="Q261" s="8"/>
      <c r="R261" s="8"/>
      <c r="S261" s="8"/>
      <c r="T261" s="8"/>
      <c r="U261" s="8"/>
    </row>
    <row r="262" spans="1:21" ht="30" customHeight="1" x14ac:dyDescent="0.25">
      <c r="A262" s="8"/>
      <c r="B262" s="8"/>
      <c r="C262" s="8"/>
      <c r="D262" s="8"/>
      <c r="E262" s="224"/>
      <c r="F262" s="8"/>
      <c r="G262" s="8"/>
      <c r="H262" s="8"/>
      <c r="I262" s="8"/>
      <c r="J262" s="8"/>
      <c r="K262" s="8"/>
      <c r="L262" s="8"/>
      <c r="M262" s="8"/>
      <c r="N262" s="8"/>
      <c r="O262" s="8"/>
      <c r="P262" s="8"/>
      <c r="Q262" s="8"/>
      <c r="R262" s="8"/>
      <c r="S262" s="8"/>
      <c r="T262" s="8"/>
      <c r="U262" s="8"/>
    </row>
    <row r="263" spans="1:21" ht="30" customHeight="1" x14ac:dyDescent="0.25">
      <c r="A263" s="8"/>
      <c r="B263" s="8"/>
      <c r="C263" s="8"/>
      <c r="D263" s="8"/>
      <c r="E263" s="224"/>
      <c r="F263" s="8"/>
      <c r="G263" s="8"/>
      <c r="H263" s="8"/>
      <c r="I263" s="8"/>
      <c r="J263" s="8"/>
      <c r="K263" s="8"/>
      <c r="L263" s="8"/>
      <c r="M263" s="8"/>
      <c r="N263" s="8"/>
      <c r="O263" s="8"/>
      <c r="P263" s="8"/>
      <c r="Q263" s="8"/>
      <c r="R263" s="8"/>
      <c r="S263" s="8"/>
      <c r="T263" s="8"/>
      <c r="U263" s="8"/>
    </row>
    <row r="264" spans="1:21" ht="30" customHeight="1" x14ac:dyDescent="0.25">
      <c r="A264" s="8"/>
      <c r="B264" s="8"/>
      <c r="C264" s="8"/>
      <c r="D264" s="8"/>
      <c r="E264" s="224"/>
      <c r="F264" s="8"/>
      <c r="G264" s="8"/>
      <c r="H264" s="8"/>
      <c r="I264" s="8"/>
      <c r="J264" s="8"/>
      <c r="K264" s="8"/>
      <c r="L264" s="8"/>
      <c r="M264" s="8"/>
      <c r="N264" s="8"/>
      <c r="O264" s="8"/>
      <c r="P264" s="8"/>
      <c r="Q264" s="8"/>
      <c r="R264" s="8"/>
      <c r="S264" s="8"/>
      <c r="T264" s="8"/>
      <c r="U264" s="8"/>
    </row>
    <row r="265" spans="1:21" ht="30" customHeight="1" x14ac:dyDescent="0.25">
      <c r="A265" s="8"/>
      <c r="B265" s="8"/>
      <c r="C265" s="8"/>
      <c r="D265" s="8"/>
      <c r="E265" s="224"/>
      <c r="F265" s="8"/>
      <c r="G265" s="8"/>
      <c r="H265" s="8"/>
      <c r="I265" s="8"/>
      <c r="J265" s="8"/>
      <c r="K265" s="8"/>
      <c r="L265" s="8"/>
      <c r="M265" s="8"/>
      <c r="N265" s="8"/>
      <c r="O265" s="8"/>
      <c r="P265" s="8"/>
      <c r="Q265" s="8"/>
      <c r="R265" s="8"/>
      <c r="S265" s="8"/>
      <c r="T265" s="8"/>
      <c r="U265" s="8"/>
    </row>
    <row r="266" spans="1:21" ht="30" customHeight="1" x14ac:dyDescent="0.25">
      <c r="A266" s="8"/>
      <c r="B266" s="8"/>
      <c r="C266" s="8"/>
      <c r="D266" s="8"/>
      <c r="E266" s="224"/>
      <c r="F266" s="8"/>
      <c r="G266" s="8"/>
      <c r="H266" s="8"/>
      <c r="I266" s="8"/>
      <c r="J266" s="8"/>
      <c r="K266" s="8"/>
      <c r="L266" s="8"/>
      <c r="M266" s="8"/>
      <c r="N266" s="8"/>
      <c r="O266" s="8"/>
      <c r="P266" s="8"/>
      <c r="Q266" s="8"/>
      <c r="R266" s="8"/>
      <c r="S266" s="8"/>
      <c r="T266" s="8"/>
      <c r="U266" s="8"/>
    </row>
    <row r="267" spans="1:21" ht="30" customHeight="1" x14ac:dyDescent="0.25">
      <c r="A267" s="8"/>
      <c r="B267" s="8"/>
      <c r="C267" s="8"/>
      <c r="D267" s="8"/>
      <c r="E267" s="224"/>
      <c r="F267" s="8"/>
      <c r="G267" s="8"/>
      <c r="H267" s="8"/>
      <c r="I267" s="8"/>
      <c r="J267" s="8"/>
      <c r="K267" s="8"/>
      <c r="L267" s="8"/>
      <c r="M267" s="8"/>
      <c r="N267" s="8"/>
      <c r="O267" s="8"/>
      <c r="P267" s="8"/>
      <c r="Q267" s="8"/>
      <c r="R267" s="8"/>
      <c r="S267" s="8"/>
      <c r="T267" s="8"/>
      <c r="U267" s="8"/>
    </row>
    <row r="268" spans="1:21" ht="30" customHeight="1" x14ac:dyDescent="0.25">
      <c r="A268" s="8"/>
      <c r="B268" s="8"/>
      <c r="C268" s="8"/>
      <c r="D268" s="8"/>
      <c r="E268" s="224"/>
      <c r="F268" s="8"/>
      <c r="G268" s="8"/>
      <c r="H268" s="8"/>
      <c r="I268" s="8"/>
      <c r="J268" s="8"/>
      <c r="K268" s="8"/>
      <c r="L268" s="8"/>
      <c r="M268" s="8"/>
      <c r="N268" s="8"/>
      <c r="O268" s="8"/>
      <c r="P268" s="8"/>
      <c r="Q268" s="8"/>
      <c r="R268" s="8"/>
      <c r="S268" s="8"/>
      <c r="T268" s="8"/>
      <c r="U268" s="8"/>
    </row>
    <row r="269" spans="1:21" ht="30" customHeight="1" x14ac:dyDescent="0.25">
      <c r="A269" s="8"/>
      <c r="B269" s="8"/>
      <c r="C269" s="8"/>
      <c r="D269" s="8"/>
      <c r="E269" s="224"/>
      <c r="F269" s="8"/>
      <c r="G269" s="8"/>
      <c r="H269" s="8"/>
      <c r="I269" s="8"/>
      <c r="J269" s="8"/>
      <c r="K269" s="8"/>
      <c r="L269" s="8"/>
      <c r="M269" s="8"/>
      <c r="N269" s="8"/>
      <c r="O269" s="8"/>
      <c r="P269" s="8"/>
      <c r="Q269" s="8"/>
      <c r="R269" s="8"/>
      <c r="S269" s="8"/>
      <c r="T269" s="8"/>
      <c r="U269" s="8"/>
    </row>
    <row r="270" spans="1:21" ht="30" customHeight="1" x14ac:dyDescent="0.25">
      <c r="A270" s="8"/>
      <c r="B270" s="8"/>
      <c r="C270" s="8"/>
      <c r="D270" s="8"/>
      <c r="E270" s="224"/>
      <c r="F270" s="8"/>
      <c r="G270" s="8"/>
      <c r="H270" s="8"/>
      <c r="I270" s="8"/>
      <c r="J270" s="8"/>
      <c r="K270" s="8"/>
      <c r="L270" s="8"/>
      <c r="M270" s="8"/>
      <c r="N270" s="8"/>
      <c r="O270" s="8"/>
      <c r="P270" s="8"/>
      <c r="Q270" s="8"/>
      <c r="R270" s="8"/>
      <c r="S270" s="8"/>
      <c r="T270" s="8"/>
      <c r="U270" s="8"/>
    </row>
    <row r="271" spans="1:21" ht="30" customHeight="1" x14ac:dyDescent="0.25">
      <c r="A271" s="8"/>
      <c r="B271" s="8"/>
      <c r="C271" s="8"/>
      <c r="D271" s="8"/>
      <c r="E271" s="224"/>
      <c r="F271" s="8"/>
      <c r="G271" s="8"/>
      <c r="H271" s="8"/>
      <c r="I271" s="8"/>
      <c r="J271" s="8"/>
      <c r="K271" s="8"/>
      <c r="L271" s="8"/>
      <c r="M271" s="8"/>
      <c r="N271" s="8"/>
      <c r="O271" s="8"/>
      <c r="P271" s="8"/>
      <c r="Q271" s="8"/>
      <c r="R271" s="8"/>
      <c r="S271" s="8"/>
      <c r="T271" s="8"/>
      <c r="U271" s="8"/>
    </row>
    <row r="272" spans="1:21" ht="30" customHeight="1" x14ac:dyDescent="0.25">
      <c r="A272" s="8"/>
      <c r="B272" s="8"/>
      <c r="C272" s="8"/>
      <c r="D272" s="8"/>
      <c r="E272" s="224"/>
      <c r="F272" s="8"/>
      <c r="G272" s="8"/>
      <c r="H272" s="8"/>
      <c r="I272" s="8"/>
      <c r="J272" s="8"/>
      <c r="K272" s="8"/>
      <c r="L272" s="8"/>
      <c r="M272" s="8"/>
      <c r="N272" s="8"/>
      <c r="O272" s="8"/>
      <c r="P272" s="8"/>
      <c r="Q272" s="8"/>
      <c r="R272" s="8"/>
      <c r="S272" s="8"/>
      <c r="T272" s="8"/>
      <c r="U272" s="8"/>
    </row>
    <row r="273" spans="1:21" ht="30" customHeight="1" x14ac:dyDescent="0.25">
      <c r="A273" s="8"/>
      <c r="B273" s="8"/>
      <c r="C273" s="8"/>
      <c r="D273" s="8"/>
      <c r="E273" s="224"/>
      <c r="F273" s="8"/>
      <c r="G273" s="8"/>
      <c r="H273" s="8"/>
      <c r="I273" s="8"/>
      <c r="J273" s="8"/>
      <c r="K273" s="8"/>
      <c r="L273" s="8"/>
      <c r="M273" s="8"/>
      <c r="N273" s="8"/>
      <c r="O273" s="8"/>
      <c r="P273" s="8"/>
      <c r="Q273" s="8"/>
      <c r="R273" s="8"/>
      <c r="S273" s="8"/>
      <c r="T273" s="8"/>
      <c r="U273" s="8"/>
    </row>
    <row r="274" spans="1:21" ht="30" customHeight="1" x14ac:dyDescent="0.25">
      <c r="A274" s="8"/>
      <c r="B274" s="8"/>
      <c r="C274" s="8"/>
      <c r="D274" s="8"/>
      <c r="E274" s="224"/>
      <c r="F274" s="8"/>
      <c r="G274" s="8"/>
      <c r="H274" s="8"/>
      <c r="I274" s="8"/>
      <c r="J274" s="8"/>
      <c r="K274" s="8"/>
      <c r="L274" s="8"/>
      <c r="M274" s="8"/>
      <c r="N274" s="8"/>
      <c r="O274" s="8"/>
      <c r="P274" s="8"/>
      <c r="Q274" s="8"/>
      <c r="R274" s="8"/>
      <c r="S274" s="8"/>
      <c r="T274" s="8"/>
      <c r="U274" s="8"/>
    </row>
    <row r="275" spans="1:21" ht="30" customHeight="1" x14ac:dyDescent="0.25">
      <c r="A275" s="8"/>
      <c r="B275" s="8"/>
      <c r="C275" s="8"/>
      <c r="D275" s="8"/>
      <c r="E275" s="224"/>
      <c r="F275" s="8"/>
      <c r="G275" s="8"/>
      <c r="H275" s="8"/>
      <c r="I275" s="8"/>
      <c r="J275" s="8"/>
      <c r="K275" s="8"/>
      <c r="L275" s="8"/>
      <c r="M275" s="8"/>
      <c r="N275" s="8"/>
      <c r="O275" s="8"/>
      <c r="P275" s="8"/>
      <c r="Q275" s="8"/>
      <c r="R275" s="8"/>
      <c r="S275" s="8"/>
      <c r="T275" s="8"/>
      <c r="U275" s="8"/>
    </row>
    <row r="276" spans="1:21" ht="30" customHeight="1" x14ac:dyDescent="0.25">
      <c r="A276" s="8"/>
      <c r="B276" s="8"/>
      <c r="C276" s="8"/>
      <c r="D276" s="8"/>
      <c r="E276" s="224"/>
      <c r="F276" s="8"/>
      <c r="G276" s="8"/>
      <c r="H276" s="8"/>
      <c r="I276" s="8"/>
      <c r="J276" s="8"/>
      <c r="K276" s="8"/>
      <c r="L276" s="8"/>
      <c r="M276" s="8"/>
      <c r="N276" s="8"/>
      <c r="O276" s="8"/>
      <c r="P276" s="8"/>
      <c r="Q276" s="8"/>
      <c r="R276" s="8"/>
      <c r="S276" s="8"/>
      <c r="T276" s="8"/>
      <c r="U276" s="8"/>
    </row>
    <row r="277" spans="1:21" ht="30" customHeight="1" x14ac:dyDescent="0.25">
      <c r="A277" s="8"/>
      <c r="B277" s="8"/>
      <c r="C277" s="8"/>
      <c r="D277" s="8"/>
      <c r="E277" s="224"/>
      <c r="F277" s="8"/>
      <c r="G277" s="8"/>
      <c r="H277" s="8"/>
      <c r="I277" s="8"/>
      <c r="J277" s="8"/>
      <c r="K277" s="8"/>
      <c r="L277" s="8"/>
      <c r="M277" s="8"/>
      <c r="N277" s="8"/>
      <c r="O277" s="8"/>
      <c r="P277" s="8"/>
      <c r="Q277" s="8"/>
      <c r="R277" s="8"/>
      <c r="S277" s="8"/>
      <c r="T277" s="8"/>
      <c r="U277" s="8"/>
    </row>
    <row r="278" spans="1:21" ht="30" customHeight="1" x14ac:dyDescent="0.25">
      <c r="A278" s="8"/>
      <c r="B278" s="8"/>
      <c r="C278" s="8"/>
      <c r="D278" s="8"/>
      <c r="E278" s="224"/>
      <c r="F278" s="8"/>
      <c r="G278" s="8"/>
      <c r="H278" s="8"/>
      <c r="I278" s="8"/>
      <c r="J278" s="8"/>
      <c r="K278" s="8"/>
      <c r="L278" s="8"/>
      <c r="M278" s="8"/>
      <c r="N278" s="8"/>
      <c r="O278" s="8"/>
      <c r="P278" s="8"/>
      <c r="Q278" s="8"/>
      <c r="R278" s="8"/>
      <c r="S278" s="8"/>
      <c r="T278" s="8"/>
      <c r="U278" s="8"/>
    </row>
    <row r="279" spans="1:21" ht="30" customHeight="1" x14ac:dyDescent="0.25">
      <c r="A279" s="8"/>
      <c r="B279" s="8"/>
      <c r="C279" s="8"/>
      <c r="D279" s="8"/>
      <c r="E279" s="224"/>
      <c r="F279" s="8"/>
      <c r="G279" s="8"/>
      <c r="H279" s="8"/>
      <c r="I279" s="8"/>
      <c r="J279" s="8"/>
      <c r="K279" s="8"/>
      <c r="L279" s="8"/>
      <c r="M279" s="8"/>
      <c r="N279" s="8"/>
      <c r="O279" s="8"/>
      <c r="P279" s="8"/>
      <c r="Q279" s="8"/>
      <c r="R279" s="8"/>
      <c r="S279" s="8"/>
      <c r="T279" s="8"/>
      <c r="U279" s="8"/>
    </row>
    <row r="280" spans="1:21" ht="30" customHeight="1" x14ac:dyDescent="0.25">
      <c r="A280" s="8"/>
      <c r="B280" s="8"/>
      <c r="C280" s="8"/>
      <c r="D280" s="8"/>
      <c r="E280" s="224"/>
      <c r="F280" s="8"/>
      <c r="G280" s="8"/>
      <c r="H280" s="8"/>
      <c r="I280" s="8"/>
      <c r="J280" s="8"/>
      <c r="K280" s="8"/>
      <c r="L280" s="8"/>
      <c r="M280" s="8"/>
      <c r="N280" s="8"/>
      <c r="O280" s="8"/>
      <c r="P280" s="8"/>
      <c r="Q280" s="8"/>
      <c r="R280" s="8"/>
      <c r="S280" s="8"/>
      <c r="T280" s="8"/>
      <c r="U280" s="8"/>
    </row>
    <row r="281" spans="1:21" ht="30" customHeight="1" x14ac:dyDescent="0.25">
      <c r="A281" s="8"/>
      <c r="B281" s="8"/>
      <c r="C281" s="8"/>
      <c r="D281" s="8"/>
      <c r="E281" s="224"/>
      <c r="F281" s="8"/>
      <c r="G281" s="8"/>
      <c r="H281" s="8"/>
      <c r="I281" s="8"/>
      <c r="J281" s="8"/>
      <c r="K281" s="8"/>
      <c r="L281" s="8"/>
      <c r="M281" s="8"/>
      <c r="N281" s="8"/>
      <c r="O281" s="8"/>
      <c r="P281" s="8"/>
      <c r="Q281" s="8"/>
      <c r="R281" s="8"/>
      <c r="S281" s="8"/>
      <c r="T281" s="8"/>
      <c r="U281" s="8"/>
    </row>
    <row r="282" spans="1:21" ht="30" customHeight="1" x14ac:dyDescent="0.25">
      <c r="A282" s="8"/>
      <c r="B282" s="8"/>
      <c r="C282" s="8"/>
      <c r="D282" s="8"/>
      <c r="E282" s="224"/>
      <c r="F282" s="8"/>
      <c r="G282" s="8"/>
      <c r="H282" s="8"/>
      <c r="I282" s="8"/>
      <c r="J282" s="8"/>
      <c r="K282" s="8"/>
      <c r="L282" s="8"/>
      <c r="M282" s="8"/>
      <c r="N282" s="8"/>
      <c r="O282" s="8"/>
      <c r="P282" s="8"/>
      <c r="Q282" s="8"/>
      <c r="R282" s="8"/>
      <c r="S282" s="8"/>
      <c r="T282" s="8"/>
      <c r="U282" s="8"/>
    </row>
    <row r="283" spans="1:21" ht="30" customHeight="1" x14ac:dyDescent="0.25">
      <c r="A283" s="8"/>
      <c r="B283" s="8"/>
      <c r="C283" s="8"/>
      <c r="D283" s="8"/>
      <c r="E283" s="224"/>
      <c r="F283" s="8"/>
      <c r="G283" s="8"/>
      <c r="H283" s="8"/>
      <c r="I283" s="8"/>
      <c r="J283" s="8"/>
      <c r="K283" s="8"/>
      <c r="L283" s="8"/>
      <c r="M283" s="8"/>
      <c r="N283" s="8"/>
      <c r="O283" s="8"/>
      <c r="P283" s="8"/>
      <c r="Q283" s="8"/>
      <c r="R283" s="8"/>
      <c r="S283" s="8"/>
      <c r="T283" s="8"/>
      <c r="U283" s="8"/>
    </row>
    <row r="284" spans="1:21" ht="30" customHeight="1" x14ac:dyDescent="0.25">
      <c r="A284" s="8"/>
      <c r="B284" s="8"/>
      <c r="C284" s="8"/>
      <c r="D284" s="8"/>
      <c r="E284" s="224"/>
      <c r="F284" s="8"/>
      <c r="G284" s="8"/>
      <c r="H284" s="8"/>
      <c r="I284" s="8"/>
      <c r="J284" s="8"/>
      <c r="K284" s="8"/>
      <c r="L284" s="8"/>
      <c r="M284" s="8"/>
      <c r="N284" s="8"/>
      <c r="O284" s="8"/>
      <c r="P284" s="8"/>
      <c r="Q284" s="8"/>
      <c r="R284" s="8"/>
      <c r="S284" s="8"/>
      <c r="T284" s="8"/>
      <c r="U284" s="8"/>
    </row>
    <row r="285" spans="1:21" ht="30" customHeight="1" x14ac:dyDescent="0.25">
      <c r="A285" s="8"/>
      <c r="B285" s="8"/>
      <c r="C285" s="8"/>
      <c r="D285" s="8"/>
      <c r="E285" s="224"/>
      <c r="F285" s="8"/>
      <c r="G285" s="8"/>
      <c r="H285" s="8"/>
      <c r="I285" s="8"/>
      <c r="J285" s="8"/>
      <c r="K285" s="8"/>
      <c r="L285" s="8"/>
      <c r="M285" s="8"/>
      <c r="N285" s="8"/>
      <c r="O285" s="8"/>
      <c r="P285" s="8"/>
      <c r="Q285" s="8"/>
      <c r="R285" s="8"/>
      <c r="S285" s="8"/>
      <c r="T285" s="8"/>
      <c r="U285" s="8"/>
    </row>
    <row r="286" spans="1:21" ht="30" customHeight="1" x14ac:dyDescent="0.25">
      <c r="A286" s="8"/>
      <c r="B286" s="8"/>
      <c r="C286" s="8"/>
      <c r="D286" s="8"/>
      <c r="E286" s="224"/>
      <c r="F286" s="8"/>
      <c r="G286" s="8"/>
      <c r="H286" s="8"/>
      <c r="I286" s="8"/>
      <c r="J286" s="8"/>
      <c r="K286" s="8"/>
      <c r="L286" s="8"/>
      <c r="M286" s="8"/>
      <c r="N286" s="8"/>
      <c r="O286" s="8"/>
      <c r="P286" s="8"/>
      <c r="Q286" s="8"/>
      <c r="R286" s="8"/>
      <c r="S286" s="8"/>
      <c r="T286" s="8"/>
      <c r="U286" s="8"/>
    </row>
    <row r="287" spans="1:21" ht="30" customHeight="1" x14ac:dyDescent="0.25">
      <c r="A287" s="8"/>
      <c r="B287" s="8"/>
      <c r="C287" s="8"/>
      <c r="D287" s="8"/>
      <c r="E287" s="224"/>
      <c r="F287" s="8"/>
      <c r="G287" s="8"/>
      <c r="H287" s="8"/>
      <c r="I287" s="8"/>
      <c r="J287" s="8"/>
      <c r="K287" s="8"/>
      <c r="L287" s="8"/>
      <c r="M287" s="8"/>
      <c r="N287" s="8"/>
      <c r="O287" s="8"/>
      <c r="P287" s="8"/>
      <c r="Q287" s="8"/>
      <c r="R287" s="8"/>
      <c r="S287" s="8"/>
      <c r="T287" s="8"/>
      <c r="U287" s="8"/>
    </row>
    <row r="288" spans="1:21" ht="30" customHeight="1" x14ac:dyDescent="0.25">
      <c r="A288" s="8"/>
      <c r="B288" s="8"/>
      <c r="C288" s="8"/>
      <c r="D288" s="8"/>
      <c r="E288" s="224"/>
      <c r="F288" s="8"/>
      <c r="G288" s="8"/>
      <c r="H288" s="8"/>
      <c r="I288" s="8"/>
      <c r="J288" s="8"/>
      <c r="K288" s="8"/>
      <c r="L288" s="8"/>
      <c r="M288" s="8"/>
      <c r="N288" s="8"/>
      <c r="O288" s="8"/>
      <c r="P288" s="8"/>
      <c r="Q288" s="8"/>
      <c r="R288" s="8"/>
      <c r="S288" s="8"/>
      <c r="T288" s="8"/>
      <c r="U288" s="8"/>
    </row>
    <row r="289" spans="1:21" ht="30" customHeight="1" x14ac:dyDescent="0.25">
      <c r="A289" s="8"/>
      <c r="B289" s="8"/>
      <c r="C289" s="8"/>
      <c r="D289" s="8"/>
      <c r="E289" s="224"/>
      <c r="F289" s="8"/>
      <c r="G289" s="8"/>
      <c r="H289" s="8"/>
      <c r="I289" s="8"/>
      <c r="J289" s="8"/>
      <c r="K289" s="8"/>
      <c r="L289" s="8"/>
      <c r="M289" s="8"/>
      <c r="N289" s="8"/>
      <c r="O289" s="8"/>
      <c r="P289" s="8"/>
      <c r="Q289" s="8"/>
      <c r="R289" s="8"/>
      <c r="S289" s="8"/>
      <c r="T289" s="8"/>
      <c r="U289" s="8"/>
    </row>
    <row r="290" spans="1:21" ht="30" customHeight="1" x14ac:dyDescent="0.25">
      <c r="A290" s="8"/>
      <c r="B290" s="8"/>
      <c r="C290" s="8"/>
      <c r="D290" s="8"/>
      <c r="E290" s="224"/>
      <c r="F290" s="8"/>
      <c r="G290" s="8"/>
      <c r="H290" s="8"/>
      <c r="I290" s="8"/>
      <c r="J290" s="8"/>
      <c r="K290" s="8"/>
      <c r="L290" s="8"/>
      <c r="M290" s="8"/>
      <c r="N290" s="8"/>
      <c r="O290" s="8"/>
      <c r="P290" s="8"/>
      <c r="Q290" s="8"/>
      <c r="R290" s="8"/>
      <c r="S290" s="8"/>
      <c r="T290" s="8"/>
      <c r="U290" s="8"/>
    </row>
    <row r="291" spans="1:21" ht="30" customHeight="1" x14ac:dyDescent="0.25">
      <c r="A291" s="8"/>
      <c r="B291" s="8"/>
      <c r="C291" s="8"/>
      <c r="D291" s="8"/>
      <c r="E291" s="224"/>
      <c r="F291" s="8"/>
      <c r="G291" s="8"/>
      <c r="H291" s="8"/>
      <c r="I291" s="8"/>
      <c r="J291" s="8"/>
      <c r="K291" s="8"/>
      <c r="L291" s="8"/>
      <c r="M291" s="8"/>
      <c r="N291" s="8"/>
      <c r="O291" s="8"/>
      <c r="P291" s="8"/>
      <c r="Q291" s="8"/>
      <c r="R291" s="8"/>
      <c r="S291" s="8"/>
      <c r="T291" s="8"/>
      <c r="U291" s="8"/>
    </row>
    <row r="292" spans="1:21" ht="30" customHeight="1" x14ac:dyDescent="0.25">
      <c r="A292" s="8"/>
      <c r="B292" s="8"/>
      <c r="C292" s="8"/>
      <c r="D292" s="8"/>
      <c r="E292" s="224"/>
      <c r="F292" s="8"/>
      <c r="G292" s="8"/>
      <c r="H292" s="8"/>
      <c r="I292" s="8"/>
      <c r="J292" s="8"/>
      <c r="K292" s="8"/>
      <c r="L292" s="8"/>
      <c r="M292" s="8"/>
      <c r="N292" s="8"/>
      <c r="O292" s="8"/>
      <c r="P292" s="8"/>
      <c r="Q292" s="8"/>
      <c r="R292" s="8"/>
      <c r="S292" s="8"/>
      <c r="T292" s="8"/>
      <c r="U292" s="8"/>
    </row>
    <row r="293" spans="1:21" ht="30" customHeight="1" x14ac:dyDescent="0.25">
      <c r="A293" s="8"/>
      <c r="B293" s="8"/>
      <c r="C293" s="8"/>
      <c r="D293" s="8"/>
      <c r="E293" s="224"/>
      <c r="F293" s="8"/>
      <c r="G293" s="8"/>
      <c r="H293" s="8"/>
      <c r="I293" s="8"/>
      <c r="J293" s="8"/>
      <c r="K293" s="8"/>
      <c r="L293" s="8"/>
      <c r="M293" s="8"/>
      <c r="N293" s="8"/>
      <c r="O293" s="8"/>
      <c r="P293" s="8"/>
      <c r="Q293" s="8"/>
      <c r="R293" s="8"/>
      <c r="S293" s="8"/>
      <c r="T293" s="8"/>
      <c r="U293" s="8"/>
    </row>
    <row r="294" spans="1:21" ht="30" customHeight="1" x14ac:dyDescent="0.25">
      <c r="A294" s="8"/>
      <c r="B294" s="8"/>
      <c r="C294" s="8"/>
      <c r="D294" s="8"/>
      <c r="E294" s="224"/>
      <c r="F294" s="8"/>
      <c r="G294" s="8"/>
      <c r="H294" s="8"/>
      <c r="I294" s="8"/>
      <c r="J294" s="8"/>
      <c r="K294" s="8"/>
      <c r="L294" s="8"/>
      <c r="M294" s="8"/>
      <c r="N294" s="8"/>
      <c r="O294" s="8"/>
      <c r="P294" s="8"/>
      <c r="Q294" s="8"/>
      <c r="R294" s="8"/>
      <c r="S294" s="8"/>
      <c r="T294" s="8"/>
      <c r="U294" s="8"/>
    </row>
    <row r="295" spans="1:21" ht="30" customHeight="1" x14ac:dyDescent="0.25">
      <c r="A295" s="8"/>
      <c r="B295" s="8"/>
      <c r="C295" s="8"/>
      <c r="D295" s="8"/>
      <c r="E295" s="224"/>
      <c r="F295" s="8"/>
      <c r="G295" s="8"/>
      <c r="H295" s="8"/>
      <c r="I295" s="8"/>
      <c r="J295" s="8"/>
      <c r="K295" s="8"/>
      <c r="L295" s="8"/>
      <c r="M295" s="8"/>
      <c r="N295" s="8"/>
      <c r="O295" s="8"/>
      <c r="P295" s="8"/>
      <c r="Q295" s="8"/>
      <c r="R295" s="8"/>
      <c r="S295" s="8"/>
      <c r="T295" s="8"/>
      <c r="U295" s="8"/>
    </row>
    <row r="296" spans="1:21" ht="30" customHeight="1" x14ac:dyDescent="0.25">
      <c r="A296" s="8"/>
      <c r="B296" s="8"/>
      <c r="C296" s="8"/>
      <c r="D296" s="8"/>
      <c r="E296" s="224"/>
      <c r="F296" s="8"/>
      <c r="G296" s="8"/>
      <c r="H296" s="8"/>
      <c r="I296" s="8"/>
      <c r="J296" s="8"/>
      <c r="K296" s="8"/>
      <c r="L296" s="8"/>
      <c r="M296" s="8"/>
      <c r="N296" s="8"/>
      <c r="O296" s="8"/>
      <c r="P296" s="8"/>
      <c r="Q296" s="8"/>
      <c r="R296" s="8"/>
      <c r="S296" s="8"/>
      <c r="T296" s="8"/>
      <c r="U296" s="8"/>
    </row>
    <row r="297" spans="1:21" ht="30" customHeight="1" x14ac:dyDescent="0.25">
      <c r="A297" s="8"/>
      <c r="B297" s="8"/>
      <c r="C297" s="8"/>
      <c r="D297" s="8"/>
      <c r="E297" s="224"/>
      <c r="F297" s="8"/>
      <c r="G297" s="8"/>
      <c r="H297" s="8"/>
      <c r="I297" s="8"/>
      <c r="J297" s="8"/>
      <c r="K297" s="8"/>
      <c r="L297" s="8"/>
      <c r="M297" s="8"/>
      <c r="N297" s="8"/>
      <c r="O297" s="8"/>
      <c r="P297" s="8"/>
      <c r="Q297" s="8"/>
      <c r="R297" s="8"/>
      <c r="S297" s="8"/>
      <c r="T297" s="8"/>
      <c r="U297" s="8"/>
    </row>
    <row r="298" spans="1:21" ht="30" customHeight="1" x14ac:dyDescent="0.25">
      <c r="A298" s="8"/>
      <c r="B298" s="8"/>
      <c r="C298" s="8"/>
      <c r="D298" s="8"/>
      <c r="E298" s="224"/>
      <c r="F298" s="8"/>
      <c r="G298" s="8"/>
      <c r="H298" s="8"/>
      <c r="I298" s="8"/>
      <c r="J298" s="8"/>
      <c r="K298" s="8"/>
      <c r="L298" s="8"/>
      <c r="M298" s="8"/>
      <c r="N298" s="8"/>
      <c r="O298" s="8"/>
      <c r="P298" s="8"/>
      <c r="Q298" s="8"/>
      <c r="R298" s="8"/>
      <c r="S298" s="8"/>
      <c r="T298" s="8"/>
      <c r="U298" s="8"/>
    </row>
    <row r="299" spans="1:21" ht="30" customHeight="1" x14ac:dyDescent="0.25">
      <c r="A299" s="8"/>
      <c r="B299" s="8"/>
      <c r="C299" s="8"/>
      <c r="D299" s="8"/>
      <c r="E299" s="224"/>
      <c r="F299" s="8"/>
      <c r="G299" s="8"/>
      <c r="H299" s="8"/>
      <c r="I299" s="8"/>
      <c r="J299" s="8"/>
      <c r="K299" s="8"/>
      <c r="L299" s="8"/>
      <c r="M299" s="8"/>
      <c r="N299" s="8"/>
      <c r="O299" s="8"/>
      <c r="P299" s="8"/>
      <c r="Q299" s="8"/>
      <c r="R299" s="8"/>
      <c r="S299" s="8"/>
      <c r="T299" s="8"/>
      <c r="U299" s="8"/>
    </row>
    <row r="300" spans="1:21" ht="30" customHeight="1" x14ac:dyDescent="0.25">
      <c r="A300" s="8"/>
      <c r="B300" s="8"/>
      <c r="C300" s="8"/>
      <c r="D300" s="8"/>
      <c r="E300" s="224"/>
      <c r="F300" s="8"/>
      <c r="G300" s="8"/>
      <c r="H300" s="8"/>
      <c r="I300" s="8"/>
      <c r="J300" s="8"/>
      <c r="K300" s="8"/>
      <c r="L300" s="8"/>
      <c r="M300" s="8"/>
      <c r="N300" s="8"/>
      <c r="O300" s="8"/>
      <c r="P300" s="8"/>
      <c r="Q300" s="8"/>
      <c r="R300" s="8"/>
      <c r="S300" s="8"/>
      <c r="T300" s="8"/>
      <c r="U300" s="8"/>
    </row>
    <row r="301" spans="1:21" ht="30" customHeight="1" x14ac:dyDescent="0.25">
      <c r="A301" s="8"/>
      <c r="B301" s="8"/>
      <c r="C301" s="8"/>
      <c r="D301" s="8"/>
      <c r="E301" s="224"/>
      <c r="F301" s="8"/>
      <c r="G301" s="8"/>
      <c r="H301" s="8"/>
      <c r="I301" s="8"/>
      <c r="J301" s="8"/>
      <c r="K301" s="8"/>
      <c r="L301" s="8"/>
      <c r="M301" s="8"/>
      <c r="N301" s="8"/>
      <c r="O301" s="8"/>
      <c r="P301" s="8"/>
      <c r="Q301" s="8"/>
      <c r="R301" s="8"/>
      <c r="S301" s="8"/>
      <c r="T301" s="8"/>
      <c r="U301" s="8"/>
    </row>
    <row r="302" spans="1:21" ht="30" customHeight="1" x14ac:dyDescent="0.25">
      <c r="A302" s="8"/>
      <c r="B302" s="8"/>
      <c r="C302" s="8"/>
      <c r="D302" s="8"/>
      <c r="E302" s="224"/>
      <c r="F302" s="8"/>
      <c r="G302" s="8"/>
      <c r="H302" s="8"/>
      <c r="I302" s="8"/>
      <c r="J302" s="8"/>
      <c r="K302" s="8"/>
      <c r="L302" s="8"/>
      <c r="M302" s="8"/>
      <c r="N302" s="8"/>
      <c r="O302" s="8"/>
      <c r="P302" s="8"/>
      <c r="Q302" s="8"/>
      <c r="R302" s="8"/>
      <c r="S302" s="8"/>
      <c r="T302" s="8"/>
      <c r="U302" s="8"/>
    </row>
    <row r="303" spans="1:21" ht="30" customHeight="1" x14ac:dyDescent="0.25">
      <c r="A303" s="8"/>
      <c r="B303" s="8"/>
      <c r="C303" s="8"/>
      <c r="D303" s="8"/>
      <c r="E303" s="224"/>
      <c r="F303" s="8"/>
      <c r="G303" s="8"/>
      <c r="H303" s="8"/>
      <c r="I303" s="8"/>
      <c r="J303" s="8"/>
      <c r="K303" s="8"/>
      <c r="L303" s="8"/>
      <c r="M303" s="8"/>
      <c r="N303" s="8"/>
      <c r="O303" s="8"/>
      <c r="P303" s="8"/>
      <c r="Q303" s="8"/>
      <c r="R303" s="8"/>
      <c r="S303" s="8"/>
      <c r="T303" s="8"/>
      <c r="U303" s="8"/>
    </row>
    <row r="304" spans="1:21" ht="30" customHeight="1" x14ac:dyDescent="0.25">
      <c r="A304" s="8"/>
      <c r="B304" s="8"/>
      <c r="C304" s="8"/>
      <c r="D304" s="8"/>
      <c r="E304" s="224"/>
      <c r="F304" s="8"/>
      <c r="G304" s="8"/>
      <c r="H304" s="8"/>
      <c r="I304" s="8"/>
      <c r="J304" s="8"/>
      <c r="K304" s="8"/>
      <c r="L304" s="8"/>
      <c r="M304" s="8"/>
      <c r="N304" s="8"/>
      <c r="O304" s="8"/>
      <c r="P304" s="8"/>
      <c r="Q304" s="8"/>
      <c r="R304" s="8"/>
      <c r="S304" s="8"/>
      <c r="T304" s="8"/>
      <c r="U304" s="8"/>
    </row>
    <row r="305" spans="1:21" ht="30" customHeight="1" x14ac:dyDescent="0.25">
      <c r="A305" s="8"/>
      <c r="B305" s="8"/>
      <c r="C305" s="8"/>
      <c r="D305" s="8"/>
      <c r="E305" s="224"/>
      <c r="F305" s="8"/>
      <c r="G305" s="8"/>
      <c r="H305" s="8"/>
      <c r="I305" s="8"/>
      <c r="J305" s="8"/>
      <c r="K305" s="8"/>
      <c r="L305" s="8"/>
      <c r="M305" s="8"/>
      <c r="N305" s="8"/>
      <c r="O305" s="8"/>
      <c r="P305" s="8"/>
      <c r="Q305" s="8"/>
      <c r="R305" s="8"/>
      <c r="S305" s="8"/>
      <c r="T305" s="8"/>
      <c r="U305" s="8"/>
    </row>
    <row r="306" spans="1:21" ht="30" customHeight="1" x14ac:dyDescent="0.25">
      <c r="A306" s="8"/>
      <c r="B306" s="8"/>
      <c r="C306" s="8"/>
      <c r="D306" s="8"/>
      <c r="E306" s="224"/>
      <c r="F306" s="8"/>
      <c r="G306" s="8"/>
      <c r="H306" s="8"/>
      <c r="I306" s="8"/>
      <c r="J306" s="8"/>
      <c r="K306" s="8"/>
      <c r="L306" s="8"/>
      <c r="M306" s="8"/>
      <c r="N306" s="8"/>
      <c r="O306" s="8"/>
      <c r="P306" s="8"/>
      <c r="Q306" s="8"/>
      <c r="R306" s="8"/>
      <c r="S306" s="8"/>
      <c r="T306" s="8"/>
      <c r="U306" s="8"/>
    </row>
    <row r="307" spans="1:21" ht="30" customHeight="1" x14ac:dyDescent="0.25">
      <c r="A307" s="8"/>
      <c r="B307" s="8"/>
      <c r="C307" s="8"/>
      <c r="D307" s="8"/>
      <c r="E307" s="224"/>
      <c r="F307" s="8"/>
      <c r="G307" s="8"/>
      <c r="H307" s="8"/>
      <c r="I307" s="8"/>
      <c r="J307" s="8"/>
      <c r="K307" s="8"/>
      <c r="L307" s="8"/>
      <c r="M307" s="8"/>
      <c r="N307" s="8"/>
      <c r="O307" s="8"/>
      <c r="P307" s="8"/>
      <c r="Q307" s="8"/>
      <c r="R307" s="8"/>
      <c r="S307" s="8"/>
      <c r="T307" s="8"/>
      <c r="U307" s="8"/>
    </row>
    <row r="308" spans="1:21" ht="30" customHeight="1" x14ac:dyDescent="0.25">
      <c r="A308" s="8"/>
      <c r="B308" s="8"/>
      <c r="C308" s="8"/>
      <c r="D308" s="8"/>
      <c r="E308" s="224"/>
      <c r="F308" s="8"/>
      <c r="G308" s="8"/>
      <c r="H308" s="8"/>
      <c r="I308" s="8"/>
      <c r="J308" s="8"/>
      <c r="K308" s="8"/>
      <c r="L308" s="8"/>
      <c r="M308" s="8"/>
      <c r="N308" s="8"/>
      <c r="O308" s="8"/>
      <c r="P308" s="8"/>
      <c r="Q308" s="8"/>
      <c r="R308" s="8"/>
      <c r="S308" s="8"/>
      <c r="T308" s="8"/>
      <c r="U308" s="8"/>
    </row>
    <row r="309" spans="1:21" ht="30" customHeight="1" x14ac:dyDescent="0.25">
      <c r="A309" s="8"/>
      <c r="B309" s="8"/>
      <c r="C309" s="8"/>
      <c r="D309" s="8"/>
      <c r="E309" s="224"/>
      <c r="F309" s="8"/>
      <c r="G309" s="8"/>
      <c r="H309" s="8"/>
      <c r="I309" s="8"/>
      <c r="J309" s="8"/>
      <c r="K309" s="8"/>
      <c r="L309" s="8"/>
      <c r="M309" s="8"/>
      <c r="N309" s="8"/>
      <c r="O309" s="8"/>
      <c r="P309" s="8"/>
      <c r="Q309" s="8"/>
      <c r="R309" s="8"/>
      <c r="S309" s="8"/>
      <c r="T309" s="8"/>
      <c r="U309" s="8"/>
    </row>
    <row r="310" spans="1:21" ht="30" customHeight="1" x14ac:dyDescent="0.25">
      <c r="A310" s="8"/>
      <c r="B310" s="8"/>
      <c r="C310" s="8"/>
      <c r="D310" s="8"/>
      <c r="E310" s="224"/>
      <c r="F310" s="8"/>
      <c r="G310" s="8"/>
      <c r="H310" s="8"/>
      <c r="I310" s="8"/>
      <c r="J310" s="8"/>
      <c r="K310" s="8"/>
      <c r="L310" s="8"/>
      <c r="M310" s="8"/>
      <c r="N310" s="8"/>
      <c r="O310" s="8"/>
      <c r="P310" s="8"/>
      <c r="Q310" s="8"/>
      <c r="R310" s="8"/>
      <c r="S310" s="8"/>
      <c r="T310" s="8"/>
      <c r="U310" s="8"/>
    </row>
    <row r="311" spans="1:21" ht="30" customHeight="1" x14ac:dyDescent="0.25">
      <c r="A311" s="8"/>
      <c r="B311" s="8"/>
      <c r="C311" s="8"/>
      <c r="D311" s="8"/>
      <c r="E311" s="224"/>
      <c r="F311" s="8"/>
      <c r="G311" s="8"/>
      <c r="H311" s="8"/>
      <c r="I311" s="8"/>
      <c r="J311" s="8"/>
      <c r="K311" s="8"/>
      <c r="L311" s="8"/>
      <c r="M311" s="8"/>
      <c r="N311" s="8"/>
      <c r="O311" s="8"/>
      <c r="P311" s="8"/>
      <c r="Q311" s="8"/>
      <c r="R311" s="8"/>
      <c r="S311" s="8"/>
      <c r="T311" s="8"/>
      <c r="U311" s="8"/>
    </row>
    <row r="312" spans="1:21" ht="30" customHeight="1" x14ac:dyDescent="0.25">
      <c r="A312" s="8"/>
      <c r="B312" s="8"/>
      <c r="C312" s="8"/>
      <c r="D312" s="8"/>
      <c r="E312" s="224"/>
      <c r="F312" s="8"/>
      <c r="G312" s="8"/>
      <c r="H312" s="8"/>
      <c r="I312" s="8"/>
      <c r="J312" s="8"/>
      <c r="K312" s="8"/>
      <c r="L312" s="8"/>
      <c r="M312" s="8"/>
      <c r="N312" s="8"/>
      <c r="O312" s="8"/>
      <c r="P312" s="8"/>
      <c r="Q312" s="8"/>
      <c r="R312" s="8"/>
      <c r="S312" s="8"/>
      <c r="T312" s="8"/>
      <c r="U312" s="8"/>
    </row>
    <row r="313" spans="1:21" ht="30" customHeight="1" x14ac:dyDescent="0.25">
      <c r="A313" s="8"/>
      <c r="B313" s="8"/>
      <c r="C313" s="8"/>
      <c r="D313" s="8"/>
      <c r="E313" s="224"/>
      <c r="F313" s="8"/>
      <c r="G313" s="8"/>
      <c r="H313" s="8"/>
      <c r="I313" s="8"/>
      <c r="J313" s="8"/>
      <c r="K313" s="8"/>
      <c r="L313" s="8"/>
      <c r="M313" s="8"/>
      <c r="N313" s="8"/>
      <c r="O313" s="8"/>
      <c r="P313" s="8"/>
      <c r="Q313" s="8"/>
      <c r="R313" s="8"/>
      <c r="S313" s="8"/>
      <c r="T313" s="8"/>
      <c r="U313" s="8"/>
    </row>
    <row r="314" spans="1:21" ht="30" customHeight="1" x14ac:dyDescent="0.25">
      <c r="A314" s="8"/>
      <c r="B314" s="8"/>
      <c r="C314" s="8"/>
      <c r="D314" s="8"/>
      <c r="E314" s="224"/>
      <c r="F314" s="8"/>
      <c r="G314" s="8"/>
      <c r="H314" s="8"/>
      <c r="I314" s="8"/>
      <c r="J314" s="8"/>
      <c r="K314" s="8"/>
      <c r="L314" s="8"/>
      <c r="M314" s="8"/>
      <c r="N314" s="8"/>
      <c r="O314" s="8"/>
      <c r="P314" s="8"/>
      <c r="Q314" s="8"/>
      <c r="R314" s="8"/>
      <c r="S314" s="8"/>
      <c r="T314" s="8"/>
      <c r="U314" s="8"/>
    </row>
    <row r="315" spans="1:21" ht="30" customHeight="1" x14ac:dyDescent="0.25">
      <c r="A315" s="8"/>
      <c r="B315" s="8"/>
      <c r="C315" s="8"/>
      <c r="D315" s="8"/>
      <c r="E315" s="224"/>
      <c r="F315" s="8"/>
      <c r="G315" s="8"/>
      <c r="H315" s="8"/>
      <c r="I315" s="8"/>
      <c r="J315" s="8"/>
      <c r="K315" s="8"/>
      <c r="L315" s="8"/>
      <c r="M315" s="8"/>
      <c r="N315" s="8"/>
      <c r="O315" s="8"/>
      <c r="P315" s="8"/>
      <c r="Q315" s="8"/>
      <c r="R315" s="8"/>
      <c r="S315" s="8"/>
      <c r="T315" s="8"/>
      <c r="U315" s="8"/>
    </row>
    <row r="316" spans="1:21" ht="30" customHeight="1" x14ac:dyDescent="0.25">
      <c r="A316" s="8"/>
      <c r="B316" s="8"/>
      <c r="C316" s="8"/>
      <c r="D316" s="8"/>
      <c r="E316" s="224"/>
      <c r="F316" s="8"/>
      <c r="G316" s="8"/>
      <c r="H316" s="8"/>
      <c r="I316" s="8"/>
      <c r="J316" s="8"/>
      <c r="K316" s="8"/>
      <c r="L316" s="8"/>
      <c r="M316" s="8"/>
      <c r="N316" s="8"/>
      <c r="O316" s="8"/>
      <c r="P316" s="8"/>
      <c r="Q316" s="8"/>
      <c r="R316" s="8"/>
      <c r="S316" s="8"/>
      <c r="T316" s="8"/>
      <c r="U316" s="8"/>
    </row>
    <row r="317" spans="1:21" ht="30" customHeight="1" x14ac:dyDescent="0.25">
      <c r="A317" s="8"/>
      <c r="B317" s="8"/>
      <c r="C317" s="8"/>
      <c r="D317" s="8"/>
      <c r="E317" s="224"/>
      <c r="F317" s="8"/>
      <c r="G317" s="8"/>
      <c r="H317" s="8"/>
      <c r="I317" s="8"/>
      <c r="J317" s="8"/>
      <c r="K317" s="8"/>
      <c r="L317" s="8"/>
      <c r="M317" s="8"/>
      <c r="N317" s="8"/>
      <c r="O317" s="8"/>
      <c r="P317" s="8"/>
      <c r="Q317" s="8"/>
      <c r="R317" s="8"/>
      <c r="S317" s="8"/>
      <c r="T317" s="8"/>
      <c r="U317" s="8"/>
    </row>
    <row r="318" spans="1:21" ht="30" customHeight="1" x14ac:dyDescent="0.25">
      <c r="A318" s="8"/>
      <c r="B318" s="8"/>
      <c r="C318" s="8"/>
      <c r="D318" s="8"/>
      <c r="E318" s="224"/>
      <c r="F318" s="8"/>
      <c r="G318" s="8"/>
      <c r="H318" s="8"/>
      <c r="I318" s="8"/>
      <c r="J318" s="8"/>
      <c r="K318" s="8"/>
      <c r="L318" s="8"/>
      <c r="M318" s="8"/>
      <c r="N318" s="8"/>
      <c r="O318" s="8"/>
      <c r="P318" s="8"/>
      <c r="Q318" s="8"/>
      <c r="R318" s="8"/>
      <c r="S318" s="8"/>
      <c r="T318" s="8"/>
      <c r="U318" s="8"/>
    </row>
    <row r="319" spans="1:21" ht="30" customHeight="1" x14ac:dyDescent="0.25">
      <c r="A319" s="8"/>
      <c r="B319" s="8"/>
      <c r="C319" s="8"/>
      <c r="D319" s="8"/>
      <c r="E319" s="224"/>
      <c r="F319" s="8"/>
      <c r="G319" s="8"/>
      <c r="H319" s="8"/>
      <c r="I319" s="8"/>
      <c r="J319" s="8"/>
      <c r="K319" s="8"/>
      <c r="L319" s="8"/>
      <c r="M319" s="8"/>
      <c r="N319" s="8"/>
      <c r="O319" s="8"/>
      <c r="P319" s="8"/>
      <c r="Q319" s="8"/>
      <c r="R319" s="8"/>
      <c r="S319" s="8"/>
      <c r="T319" s="8"/>
      <c r="U319" s="8"/>
    </row>
    <row r="320" spans="1:21" ht="30" customHeight="1" x14ac:dyDescent="0.25">
      <c r="A320" s="8"/>
      <c r="B320" s="8"/>
      <c r="C320" s="8"/>
      <c r="D320" s="8"/>
      <c r="E320" s="224"/>
      <c r="F320" s="8"/>
      <c r="G320" s="8"/>
      <c r="H320" s="8"/>
      <c r="I320" s="8"/>
      <c r="J320" s="8"/>
      <c r="K320" s="8"/>
      <c r="L320" s="8"/>
      <c r="M320" s="8"/>
      <c r="N320" s="8"/>
      <c r="O320" s="8"/>
      <c r="P320" s="8"/>
      <c r="Q320" s="8"/>
      <c r="R320" s="8"/>
      <c r="S320" s="8"/>
      <c r="T320" s="8"/>
      <c r="U320" s="8"/>
    </row>
    <row r="321" spans="1:21" ht="30" customHeight="1" x14ac:dyDescent="0.25">
      <c r="A321" s="8"/>
      <c r="B321" s="8"/>
      <c r="C321" s="8"/>
      <c r="D321" s="8"/>
      <c r="E321" s="224"/>
      <c r="F321" s="8"/>
      <c r="G321" s="8"/>
      <c r="H321" s="8"/>
      <c r="I321" s="8"/>
      <c r="J321" s="8"/>
      <c r="K321" s="8"/>
      <c r="L321" s="8"/>
      <c r="M321" s="8"/>
      <c r="N321" s="8"/>
      <c r="O321" s="8"/>
      <c r="P321" s="8"/>
      <c r="Q321" s="8"/>
      <c r="R321" s="8"/>
      <c r="S321" s="8"/>
      <c r="T321" s="8"/>
      <c r="U321" s="8"/>
    </row>
    <row r="322" spans="1:21" ht="30" customHeight="1" x14ac:dyDescent="0.25">
      <c r="A322" s="8"/>
      <c r="B322" s="8"/>
      <c r="C322" s="8"/>
      <c r="D322" s="8"/>
      <c r="E322" s="224"/>
      <c r="F322" s="8"/>
      <c r="G322" s="8"/>
      <c r="H322" s="8"/>
      <c r="I322" s="8"/>
      <c r="J322" s="8"/>
      <c r="K322" s="8"/>
      <c r="L322" s="8"/>
      <c r="M322" s="8"/>
      <c r="N322" s="8"/>
      <c r="O322" s="8"/>
      <c r="P322" s="8"/>
      <c r="Q322" s="8"/>
      <c r="R322" s="8"/>
      <c r="S322" s="8"/>
      <c r="T322" s="8"/>
      <c r="U322" s="8"/>
    </row>
    <row r="323" spans="1:21" ht="30" customHeight="1" x14ac:dyDescent="0.25">
      <c r="A323" s="8"/>
      <c r="B323" s="8"/>
      <c r="C323" s="8"/>
      <c r="D323" s="8"/>
      <c r="E323" s="224"/>
      <c r="F323" s="8"/>
      <c r="G323" s="8"/>
      <c r="H323" s="8"/>
      <c r="I323" s="8"/>
      <c r="J323" s="8"/>
      <c r="K323" s="8"/>
      <c r="L323" s="8"/>
      <c r="M323" s="8"/>
      <c r="N323" s="8"/>
      <c r="O323" s="8"/>
      <c r="P323" s="8"/>
      <c r="Q323" s="8"/>
      <c r="R323" s="8"/>
      <c r="S323" s="8"/>
      <c r="T323" s="8"/>
      <c r="U323" s="8"/>
    </row>
    <row r="324" spans="1:21" ht="30" customHeight="1" x14ac:dyDescent="0.25">
      <c r="A324" s="8"/>
      <c r="B324" s="8"/>
      <c r="C324" s="8"/>
      <c r="D324" s="8"/>
      <c r="E324" s="224"/>
      <c r="F324" s="8"/>
      <c r="G324" s="8"/>
      <c r="H324" s="8"/>
      <c r="I324" s="8"/>
      <c r="J324" s="8"/>
      <c r="K324" s="8"/>
      <c r="L324" s="8"/>
      <c r="M324" s="8"/>
      <c r="N324" s="8"/>
      <c r="O324" s="8"/>
      <c r="P324" s="8"/>
      <c r="Q324" s="8"/>
      <c r="R324" s="8"/>
      <c r="S324" s="8"/>
      <c r="T324" s="8"/>
      <c r="U324" s="8"/>
    </row>
    <row r="325" spans="1:21" ht="30" customHeight="1" x14ac:dyDescent="0.25">
      <c r="A325" s="8"/>
      <c r="B325" s="8"/>
      <c r="C325" s="8"/>
      <c r="D325" s="8"/>
      <c r="E325" s="224"/>
      <c r="F325" s="8"/>
      <c r="G325" s="8"/>
      <c r="H325" s="8"/>
      <c r="I325" s="8"/>
      <c r="J325" s="8"/>
      <c r="K325" s="8"/>
      <c r="L325" s="8"/>
      <c r="M325" s="8"/>
      <c r="N325" s="8"/>
      <c r="O325" s="8"/>
      <c r="P325" s="8"/>
      <c r="Q325" s="8"/>
      <c r="R325" s="8"/>
      <c r="S325" s="8"/>
      <c r="T325" s="8"/>
      <c r="U325" s="8"/>
    </row>
    <row r="326" spans="1:21" ht="30" customHeight="1" x14ac:dyDescent="0.25">
      <c r="A326" s="8"/>
      <c r="B326" s="8"/>
      <c r="C326" s="8"/>
      <c r="D326" s="8"/>
      <c r="E326" s="224"/>
      <c r="F326" s="8"/>
      <c r="G326" s="8"/>
      <c r="H326" s="8"/>
      <c r="I326" s="8"/>
      <c r="J326" s="8"/>
      <c r="K326" s="8"/>
      <c r="L326" s="8"/>
      <c r="M326" s="8"/>
      <c r="N326" s="8"/>
      <c r="O326" s="8"/>
      <c r="P326" s="8"/>
      <c r="Q326" s="8"/>
      <c r="R326" s="8"/>
      <c r="S326" s="8"/>
      <c r="T326" s="8"/>
      <c r="U326" s="8"/>
    </row>
    <row r="327" spans="1:21" ht="30" customHeight="1" x14ac:dyDescent="0.25">
      <c r="A327" s="8"/>
      <c r="B327" s="8"/>
      <c r="C327" s="8"/>
      <c r="D327" s="8"/>
      <c r="E327" s="224"/>
      <c r="F327" s="8"/>
      <c r="G327" s="8"/>
      <c r="H327" s="8"/>
      <c r="I327" s="8"/>
      <c r="J327" s="8"/>
      <c r="K327" s="8"/>
      <c r="L327" s="8"/>
      <c r="M327" s="8"/>
      <c r="N327" s="8"/>
      <c r="O327" s="8"/>
      <c r="P327" s="8"/>
      <c r="Q327" s="8"/>
      <c r="R327" s="8"/>
      <c r="S327" s="8"/>
      <c r="T327" s="8"/>
      <c r="U327" s="8"/>
    </row>
    <row r="328" spans="1:21" ht="30" customHeight="1" x14ac:dyDescent="0.25">
      <c r="A328" s="8"/>
      <c r="B328" s="8"/>
      <c r="C328" s="8"/>
      <c r="D328" s="8"/>
      <c r="E328" s="224"/>
      <c r="F328" s="8"/>
      <c r="G328" s="8"/>
      <c r="H328" s="8"/>
      <c r="I328" s="8"/>
      <c r="J328" s="8"/>
      <c r="K328" s="8"/>
      <c r="L328" s="8"/>
      <c r="M328" s="8"/>
      <c r="N328" s="8"/>
      <c r="O328" s="8"/>
      <c r="P328" s="8"/>
      <c r="Q328" s="8"/>
      <c r="R328" s="8"/>
      <c r="S328" s="8"/>
      <c r="T328" s="8"/>
      <c r="U328" s="8"/>
    </row>
    <row r="329" spans="1:21" ht="30" customHeight="1" x14ac:dyDescent="0.25">
      <c r="A329" s="8"/>
      <c r="B329" s="8"/>
      <c r="C329" s="8"/>
      <c r="D329" s="8"/>
      <c r="E329" s="224"/>
      <c r="F329" s="8"/>
      <c r="G329" s="8"/>
      <c r="H329" s="8"/>
      <c r="I329" s="8"/>
      <c r="J329" s="8"/>
      <c r="K329" s="8"/>
      <c r="L329" s="8"/>
      <c r="M329" s="8"/>
      <c r="N329" s="8"/>
      <c r="O329" s="8"/>
      <c r="P329" s="8"/>
      <c r="Q329" s="8"/>
      <c r="R329" s="8"/>
      <c r="S329" s="8"/>
      <c r="T329" s="8"/>
      <c r="U329" s="8"/>
    </row>
    <row r="330" spans="1:21" ht="30" customHeight="1" x14ac:dyDescent="0.25">
      <c r="A330" s="8"/>
      <c r="B330" s="8"/>
      <c r="C330" s="8"/>
      <c r="D330" s="8"/>
      <c r="E330" s="224"/>
      <c r="F330" s="8"/>
      <c r="G330" s="8"/>
      <c r="H330" s="8"/>
      <c r="I330" s="8"/>
      <c r="J330" s="8"/>
      <c r="K330" s="8"/>
      <c r="L330" s="8"/>
      <c r="M330" s="8"/>
      <c r="N330" s="8"/>
      <c r="O330" s="8"/>
      <c r="P330" s="8"/>
      <c r="Q330" s="8"/>
      <c r="R330" s="8"/>
      <c r="S330" s="8"/>
      <c r="T330" s="8"/>
      <c r="U330" s="8"/>
    </row>
    <row r="331" spans="1:21" ht="30" customHeight="1" x14ac:dyDescent="0.25">
      <c r="A331" s="8"/>
      <c r="B331" s="8"/>
      <c r="C331" s="8"/>
      <c r="D331" s="8"/>
      <c r="E331" s="224"/>
      <c r="F331" s="8"/>
      <c r="G331" s="8"/>
      <c r="H331" s="8"/>
      <c r="I331" s="8"/>
      <c r="J331" s="8"/>
      <c r="K331" s="8"/>
      <c r="L331" s="8"/>
      <c r="M331" s="8"/>
      <c r="N331" s="8"/>
      <c r="O331" s="8"/>
      <c r="P331" s="8"/>
      <c r="Q331" s="8"/>
      <c r="R331" s="8"/>
      <c r="S331" s="8"/>
      <c r="T331" s="8"/>
      <c r="U331" s="8"/>
    </row>
    <row r="332" spans="1:21" ht="30" customHeight="1" x14ac:dyDescent="0.25">
      <c r="A332" s="8"/>
      <c r="B332" s="8"/>
      <c r="C332" s="8"/>
      <c r="D332" s="8"/>
      <c r="E332" s="224"/>
      <c r="F332" s="8"/>
      <c r="G332" s="8"/>
      <c r="H332" s="8"/>
      <c r="I332" s="8"/>
      <c r="J332" s="8"/>
      <c r="K332" s="8"/>
      <c r="L332" s="8"/>
      <c r="M332" s="8"/>
      <c r="N332" s="8"/>
      <c r="O332" s="8"/>
      <c r="P332" s="8"/>
      <c r="Q332" s="8"/>
      <c r="R332" s="8"/>
      <c r="S332" s="8"/>
      <c r="T332" s="8"/>
      <c r="U332" s="8"/>
    </row>
    <row r="333" spans="1:21" ht="30" customHeight="1" x14ac:dyDescent="0.25">
      <c r="A333" s="8"/>
      <c r="B333" s="8"/>
      <c r="C333" s="8"/>
      <c r="D333" s="8"/>
      <c r="E333" s="224"/>
      <c r="F333" s="8"/>
      <c r="G333" s="8"/>
      <c r="H333" s="8"/>
      <c r="I333" s="8"/>
      <c r="J333" s="8"/>
      <c r="K333" s="8"/>
      <c r="L333" s="8"/>
      <c r="M333" s="8"/>
      <c r="N333" s="8"/>
      <c r="O333" s="8"/>
      <c r="P333" s="8"/>
      <c r="Q333" s="8"/>
      <c r="R333" s="8"/>
      <c r="S333" s="8"/>
      <c r="T333" s="8"/>
      <c r="U333" s="8"/>
    </row>
    <row r="334" spans="1:21" ht="30" customHeight="1" x14ac:dyDescent="0.25">
      <c r="A334" s="8"/>
      <c r="B334" s="8"/>
      <c r="C334" s="8"/>
      <c r="D334" s="8"/>
      <c r="E334" s="224"/>
      <c r="F334" s="8"/>
      <c r="G334" s="8"/>
      <c r="H334" s="8"/>
      <c r="I334" s="8"/>
      <c r="J334" s="8"/>
      <c r="K334" s="8"/>
      <c r="L334" s="8"/>
      <c r="M334" s="8"/>
      <c r="N334" s="8"/>
      <c r="O334" s="8"/>
      <c r="P334" s="8"/>
      <c r="Q334" s="8"/>
      <c r="R334" s="8"/>
      <c r="S334" s="8"/>
      <c r="T334" s="8"/>
      <c r="U334" s="8"/>
    </row>
    <row r="335" spans="1:21" ht="30" customHeight="1" x14ac:dyDescent="0.25">
      <c r="A335" s="8"/>
      <c r="B335" s="8"/>
      <c r="C335" s="8"/>
      <c r="D335" s="8"/>
      <c r="E335" s="224"/>
      <c r="F335" s="8"/>
      <c r="G335" s="8"/>
      <c r="H335" s="8"/>
      <c r="I335" s="8"/>
      <c r="J335" s="8"/>
      <c r="K335" s="8"/>
      <c r="L335" s="8"/>
      <c r="M335" s="8"/>
      <c r="N335" s="8"/>
      <c r="O335" s="8"/>
      <c r="P335" s="8"/>
      <c r="Q335" s="8"/>
      <c r="R335" s="8"/>
      <c r="S335" s="8"/>
      <c r="T335" s="8"/>
      <c r="U335" s="8"/>
    </row>
    <row r="336" spans="1:21" ht="30" customHeight="1" x14ac:dyDescent="0.25">
      <c r="A336" s="8"/>
      <c r="B336" s="8"/>
      <c r="C336" s="8"/>
      <c r="D336" s="8"/>
      <c r="E336" s="224"/>
      <c r="F336" s="8"/>
      <c r="G336" s="8"/>
      <c r="H336" s="8"/>
      <c r="I336" s="8"/>
      <c r="J336" s="8"/>
      <c r="K336" s="8"/>
      <c r="L336" s="8"/>
      <c r="M336" s="8"/>
      <c r="N336" s="8"/>
      <c r="O336" s="8"/>
      <c r="P336" s="8"/>
      <c r="Q336" s="8"/>
      <c r="R336" s="8"/>
      <c r="S336" s="8"/>
      <c r="T336" s="8"/>
      <c r="U336" s="8"/>
    </row>
    <row r="337" spans="1:21" ht="30" customHeight="1" x14ac:dyDescent="0.25">
      <c r="A337" s="8"/>
      <c r="B337" s="8"/>
      <c r="C337" s="8"/>
      <c r="D337" s="8"/>
      <c r="E337" s="224"/>
      <c r="F337" s="8"/>
      <c r="G337" s="8"/>
      <c r="H337" s="8"/>
      <c r="I337" s="8"/>
      <c r="J337" s="8"/>
      <c r="K337" s="8"/>
      <c r="L337" s="8"/>
      <c r="M337" s="8"/>
      <c r="N337" s="8"/>
      <c r="O337" s="8"/>
      <c r="P337" s="8"/>
      <c r="Q337" s="8"/>
      <c r="R337" s="8"/>
      <c r="S337" s="8"/>
      <c r="T337" s="8"/>
      <c r="U337" s="8"/>
    </row>
    <row r="338" spans="1:21" ht="30" customHeight="1" x14ac:dyDescent="0.25">
      <c r="A338" s="8"/>
      <c r="B338" s="8"/>
      <c r="C338" s="8"/>
      <c r="D338" s="8"/>
      <c r="E338" s="224"/>
      <c r="F338" s="8"/>
      <c r="G338" s="8"/>
      <c r="H338" s="8"/>
      <c r="I338" s="8"/>
      <c r="J338" s="8"/>
      <c r="K338" s="8"/>
      <c r="L338" s="8"/>
      <c r="M338" s="8"/>
      <c r="N338" s="8"/>
      <c r="O338" s="8"/>
      <c r="P338" s="8"/>
      <c r="Q338" s="8"/>
      <c r="R338" s="8"/>
      <c r="S338" s="8"/>
      <c r="T338" s="8"/>
      <c r="U338" s="8"/>
    </row>
    <row r="339" spans="1:21" ht="30" customHeight="1" x14ac:dyDescent="0.25">
      <c r="A339" s="8"/>
      <c r="B339" s="8"/>
      <c r="C339" s="8"/>
      <c r="D339" s="8"/>
      <c r="E339" s="224"/>
      <c r="F339" s="8"/>
      <c r="G339" s="8"/>
      <c r="H339" s="8"/>
      <c r="I339" s="8"/>
      <c r="J339" s="8"/>
      <c r="K339" s="8"/>
      <c r="L339" s="8"/>
      <c r="M339" s="8"/>
      <c r="N339" s="8"/>
      <c r="O339" s="8"/>
      <c r="P339" s="8"/>
      <c r="Q339" s="8"/>
      <c r="R339" s="8"/>
      <c r="S339" s="8"/>
      <c r="T339" s="8"/>
      <c r="U339" s="8"/>
    </row>
    <row r="340" spans="1:21" ht="30" customHeight="1" x14ac:dyDescent="0.25">
      <c r="A340" s="8"/>
      <c r="B340" s="8"/>
      <c r="C340" s="8"/>
      <c r="D340" s="8"/>
      <c r="E340" s="224"/>
      <c r="F340" s="8"/>
      <c r="G340" s="8"/>
      <c r="H340" s="8"/>
      <c r="I340" s="8"/>
      <c r="J340" s="8"/>
      <c r="K340" s="8"/>
      <c r="L340" s="8"/>
      <c r="M340" s="8"/>
      <c r="N340" s="8"/>
      <c r="O340" s="8"/>
      <c r="P340" s="8"/>
      <c r="Q340" s="8"/>
      <c r="R340" s="8"/>
      <c r="S340" s="8"/>
      <c r="T340" s="8"/>
      <c r="U340" s="8"/>
    </row>
    <row r="341" spans="1:21" ht="30" customHeight="1" x14ac:dyDescent="0.25">
      <c r="A341" s="8"/>
      <c r="B341" s="8"/>
      <c r="C341" s="8"/>
      <c r="D341" s="8"/>
      <c r="E341" s="224"/>
      <c r="F341" s="8"/>
      <c r="G341" s="8"/>
      <c r="H341" s="8"/>
      <c r="I341" s="8"/>
      <c r="J341" s="8"/>
      <c r="K341" s="8"/>
      <c r="L341" s="8"/>
      <c r="M341" s="8"/>
      <c r="N341" s="8"/>
      <c r="O341" s="8"/>
      <c r="P341" s="8"/>
      <c r="Q341" s="8"/>
      <c r="R341" s="8"/>
      <c r="S341" s="8"/>
      <c r="T341" s="8"/>
      <c r="U341" s="8"/>
    </row>
    <row r="342" spans="1:21" ht="30" customHeight="1" x14ac:dyDescent="0.25">
      <c r="A342" s="8"/>
      <c r="B342" s="8"/>
      <c r="C342" s="8"/>
      <c r="D342" s="8"/>
      <c r="E342" s="224"/>
      <c r="F342" s="8"/>
      <c r="G342" s="8"/>
      <c r="H342" s="8"/>
      <c r="I342" s="8"/>
      <c r="J342" s="8"/>
      <c r="K342" s="8"/>
      <c r="L342" s="8"/>
      <c r="M342" s="8"/>
      <c r="N342" s="8"/>
      <c r="O342" s="8"/>
      <c r="P342" s="8"/>
      <c r="Q342" s="8"/>
      <c r="R342" s="8"/>
      <c r="S342" s="8"/>
      <c r="T342" s="8"/>
      <c r="U342" s="8"/>
    </row>
    <row r="343" spans="1:21" ht="30" customHeight="1" x14ac:dyDescent="0.25">
      <c r="A343" s="8"/>
      <c r="B343" s="8"/>
      <c r="C343" s="8"/>
      <c r="D343" s="8"/>
      <c r="E343" s="224"/>
      <c r="F343" s="8"/>
      <c r="G343" s="8"/>
      <c r="H343" s="8"/>
      <c r="I343" s="8"/>
      <c r="J343" s="8"/>
      <c r="K343" s="8"/>
      <c r="L343" s="8"/>
      <c r="M343" s="8"/>
      <c r="N343" s="8"/>
      <c r="O343" s="8"/>
      <c r="P343" s="8"/>
      <c r="Q343" s="8"/>
      <c r="R343" s="8"/>
      <c r="S343" s="8"/>
      <c r="T343" s="8"/>
      <c r="U343" s="8"/>
    </row>
    <row r="344" spans="1:21" ht="30" customHeight="1" x14ac:dyDescent="0.25">
      <c r="A344" s="8"/>
      <c r="B344" s="8"/>
      <c r="C344" s="8"/>
      <c r="D344" s="8"/>
      <c r="E344" s="224"/>
      <c r="F344" s="8"/>
      <c r="G344" s="8"/>
      <c r="H344" s="8"/>
      <c r="I344" s="8"/>
      <c r="J344" s="8"/>
      <c r="K344" s="8"/>
      <c r="L344" s="8"/>
      <c r="M344" s="8"/>
      <c r="N344" s="8"/>
      <c r="O344" s="8"/>
      <c r="P344" s="8"/>
      <c r="Q344" s="8"/>
      <c r="R344" s="8"/>
      <c r="S344" s="8"/>
      <c r="T344" s="8"/>
      <c r="U344" s="8"/>
    </row>
    <row r="345" spans="1:21" ht="30" customHeight="1" x14ac:dyDescent="0.25">
      <c r="A345" s="8"/>
      <c r="B345" s="8"/>
      <c r="C345" s="8"/>
      <c r="D345" s="8"/>
      <c r="E345" s="224"/>
      <c r="F345" s="8"/>
      <c r="G345" s="8"/>
      <c r="H345" s="8"/>
      <c r="I345" s="8"/>
      <c r="J345" s="8"/>
      <c r="K345" s="8"/>
      <c r="L345" s="8"/>
      <c r="M345" s="8"/>
      <c r="N345" s="8"/>
      <c r="O345" s="8"/>
      <c r="P345" s="8"/>
      <c r="Q345" s="8"/>
      <c r="R345" s="8"/>
      <c r="S345" s="8"/>
      <c r="T345" s="8"/>
      <c r="U345" s="8"/>
    </row>
    <row r="346" spans="1:21" ht="30" customHeight="1" x14ac:dyDescent="0.25">
      <c r="A346" s="8"/>
      <c r="B346" s="8"/>
      <c r="C346" s="8"/>
      <c r="D346" s="8"/>
      <c r="E346" s="224"/>
      <c r="F346" s="8"/>
      <c r="G346" s="8"/>
      <c r="H346" s="8"/>
      <c r="I346" s="8"/>
      <c r="J346" s="8"/>
      <c r="K346" s="8"/>
      <c r="L346" s="8"/>
      <c r="M346" s="8"/>
      <c r="N346" s="8"/>
      <c r="O346" s="8"/>
      <c r="P346" s="8"/>
      <c r="Q346" s="8"/>
      <c r="R346" s="8"/>
      <c r="S346" s="8"/>
      <c r="T346" s="8"/>
      <c r="U346" s="8"/>
    </row>
    <row r="347" spans="1:21" ht="30" customHeight="1" x14ac:dyDescent="0.25">
      <c r="A347" s="8"/>
      <c r="B347" s="8"/>
      <c r="C347" s="8"/>
      <c r="D347" s="8"/>
      <c r="E347" s="224"/>
      <c r="F347" s="8"/>
      <c r="G347" s="8"/>
      <c r="H347" s="8"/>
      <c r="I347" s="8"/>
      <c r="J347" s="8"/>
      <c r="K347" s="8"/>
      <c r="L347" s="8"/>
      <c r="M347" s="8"/>
      <c r="N347" s="8"/>
      <c r="O347" s="8"/>
      <c r="P347" s="8"/>
      <c r="Q347" s="8"/>
      <c r="R347" s="8"/>
      <c r="S347" s="8"/>
      <c r="T347" s="8"/>
      <c r="U347" s="8"/>
    </row>
    <row r="348" spans="1:21" ht="30" customHeight="1" x14ac:dyDescent="0.25">
      <c r="A348" s="8"/>
      <c r="B348" s="8"/>
      <c r="C348" s="8"/>
      <c r="D348" s="8"/>
      <c r="E348" s="224"/>
      <c r="F348" s="8"/>
      <c r="G348" s="8"/>
      <c r="H348" s="8"/>
      <c r="I348" s="8"/>
      <c r="J348" s="8"/>
      <c r="K348" s="8"/>
      <c r="L348" s="8"/>
      <c r="M348" s="8"/>
      <c r="N348" s="8"/>
      <c r="O348" s="8"/>
      <c r="P348" s="8"/>
      <c r="Q348" s="8"/>
      <c r="R348" s="8"/>
      <c r="S348" s="8"/>
      <c r="T348" s="8"/>
      <c r="U348" s="8"/>
    </row>
    <row r="349" spans="1:21" ht="30" customHeight="1" x14ac:dyDescent="0.25">
      <c r="A349" s="8"/>
      <c r="B349" s="8"/>
      <c r="C349" s="8"/>
      <c r="D349" s="8"/>
      <c r="E349" s="224"/>
      <c r="F349" s="8"/>
      <c r="G349" s="8"/>
      <c r="H349" s="8"/>
      <c r="I349" s="8"/>
      <c r="J349" s="8"/>
      <c r="K349" s="8"/>
      <c r="L349" s="8"/>
      <c r="M349" s="8"/>
      <c r="N349" s="8"/>
      <c r="O349" s="8"/>
      <c r="P349" s="8"/>
      <c r="Q349" s="8"/>
      <c r="R349" s="8"/>
      <c r="S349" s="8"/>
      <c r="T349" s="8"/>
      <c r="U349" s="8"/>
    </row>
    <row r="350" spans="1:21" ht="30" customHeight="1" x14ac:dyDescent="0.25">
      <c r="A350" s="8"/>
      <c r="B350" s="8"/>
      <c r="C350" s="8"/>
      <c r="D350" s="8"/>
      <c r="E350" s="224"/>
      <c r="F350" s="8"/>
      <c r="G350" s="8"/>
      <c r="H350" s="8"/>
      <c r="I350" s="8"/>
      <c r="J350" s="8"/>
      <c r="K350" s="8"/>
      <c r="L350" s="8"/>
      <c r="M350" s="8"/>
      <c r="N350" s="8"/>
      <c r="O350" s="8"/>
      <c r="P350" s="8"/>
      <c r="Q350" s="8"/>
      <c r="R350" s="8"/>
      <c r="S350" s="8"/>
      <c r="T350" s="8"/>
      <c r="U350" s="8"/>
    </row>
    <row r="351" spans="1:21" ht="30" customHeight="1" x14ac:dyDescent="0.25">
      <c r="A351" s="8"/>
      <c r="B351" s="8"/>
      <c r="C351" s="8"/>
      <c r="D351" s="8"/>
      <c r="E351" s="224"/>
      <c r="F351" s="8"/>
      <c r="G351" s="8"/>
      <c r="H351" s="8"/>
      <c r="I351" s="8"/>
      <c r="J351" s="8"/>
      <c r="K351" s="8"/>
      <c r="L351" s="8"/>
      <c r="M351" s="8"/>
      <c r="N351" s="8"/>
      <c r="O351" s="8"/>
      <c r="P351" s="8"/>
      <c r="Q351" s="8"/>
      <c r="R351" s="8"/>
      <c r="S351" s="8"/>
      <c r="T351" s="8"/>
      <c r="U351" s="8"/>
    </row>
    <row r="352" spans="1:21" ht="30" customHeight="1" x14ac:dyDescent="0.25">
      <c r="A352" s="8"/>
      <c r="B352" s="8"/>
      <c r="C352" s="8"/>
      <c r="D352" s="8"/>
      <c r="E352" s="224"/>
      <c r="F352" s="8"/>
      <c r="G352" s="8"/>
      <c r="H352" s="8"/>
      <c r="I352" s="8"/>
      <c r="J352" s="8"/>
      <c r="K352" s="8"/>
      <c r="L352" s="8"/>
      <c r="M352" s="8"/>
      <c r="N352" s="8"/>
      <c r="O352" s="8"/>
      <c r="P352" s="8"/>
      <c r="Q352" s="8"/>
      <c r="R352" s="8"/>
      <c r="S352" s="8"/>
      <c r="T352" s="8"/>
      <c r="U352" s="8"/>
    </row>
    <row r="353" spans="1:21" ht="30" customHeight="1" x14ac:dyDescent="0.25">
      <c r="A353" s="8"/>
      <c r="B353" s="8"/>
      <c r="C353" s="8"/>
      <c r="D353" s="8"/>
      <c r="E353" s="224"/>
      <c r="F353" s="8"/>
      <c r="G353" s="8"/>
      <c r="H353" s="8"/>
      <c r="I353" s="8"/>
      <c r="J353" s="8"/>
      <c r="K353" s="8"/>
      <c r="L353" s="8"/>
      <c r="M353" s="8"/>
      <c r="N353" s="8"/>
      <c r="O353" s="8"/>
      <c r="P353" s="8"/>
      <c r="Q353" s="8"/>
      <c r="R353" s="8"/>
      <c r="S353" s="8"/>
      <c r="T353" s="8"/>
      <c r="U353" s="8"/>
    </row>
    <row r="354" spans="1:21" ht="30" customHeight="1" x14ac:dyDescent="0.25">
      <c r="A354" s="8"/>
      <c r="B354" s="8"/>
      <c r="C354" s="8"/>
      <c r="D354" s="8"/>
      <c r="E354" s="224"/>
      <c r="F354" s="8"/>
      <c r="G354" s="8"/>
      <c r="H354" s="8"/>
      <c r="I354" s="8"/>
      <c r="J354" s="8"/>
      <c r="K354" s="8"/>
      <c r="L354" s="8"/>
      <c r="M354" s="8"/>
      <c r="N354" s="8"/>
      <c r="O354" s="8"/>
      <c r="P354" s="8"/>
      <c r="Q354" s="8"/>
      <c r="R354" s="8"/>
      <c r="S354" s="8"/>
      <c r="T354" s="8"/>
      <c r="U354" s="8"/>
    </row>
    <row r="355" spans="1:21" ht="30" customHeight="1" x14ac:dyDescent="0.25">
      <c r="A355" s="8"/>
      <c r="B355" s="8"/>
      <c r="C355" s="8"/>
      <c r="D355" s="8"/>
      <c r="E355" s="224"/>
      <c r="F355" s="8"/>
      <c r="G355" s="8"/>
      <c r="H355" s="8"/>
      <c r="I355" s="8"/>
      <c r="J355" s="8"/>
      <c r="K355" s="8"/>
      <c r="L355" s="8"/>
      <c r="M355" s="8"/>
      <c r="N355" s="8"/>
      <c r="O355" s="8"/>
      <c r="P355" s="8"/>
      <c r="Q355" s="8"/>
      <c r="R355" s="8"/>
      <c r="S355" s="8"/>
      <c r="T355" s="8"/>
      <c r="U355" s="8"/>
    </row>
    <row r="356" spans="1:21" ht="30" customHeight="1" x14ac:dyDescent="0.25">
      <c r="A356" s="8"/>
      <c r="B356" s="8"/>
      <c r="C356" s="8"/>
      <c r="D356" s="8"/>
      <c r="E356" s="224"/>
      <c r="F356" s="8"/>
      <c r="G356" s="8"/>
      <c r="H356" s="8"/>
      <c r="I356" s="8"/>
      <c r="J356" s="8"/>
      <c r="K356" s="8"/>
      <c r="L356" s="8"/>
      <c r="M356" s="8"/>
      <c r="N356" s="8"/>
      <c r="O356" s="8"/>
      <c r="P356" s="8"/>
      <c r="Q356" s="8"/>
      <c r="R356" s="8"/>
      <c r="S356" s="8"/>
      <c r="T356" s="8"/>
      <c r="U356" s="8"/>
    </row>
    <row r="357" spans="1:21" ht="30" customHeight="1" x14ac:dyDescent="0.25">
      <c r="A357" s="8"/>
      <c r="B357" s="8"/>
      <c r="C357" s="8"/>
      <c r="D357" s="8"/>
      <c r="E357" s="224"/>
      <c r="F357" s="8"/>
      <c r="G357" s="8"/>
      <c r="H357" s="8"/>
      <c r="I357" s="8"/>
      <c r="J357" s="8"/>
      <c r="K357" s="8"/>
      <c r="L357" s="8"/>
      <c r="M357" s="8"/>
      <c r="N357" s="8"/>
      <c r="O357" s="8"/>
      <c r="P357" s="8"/>
      <c r="Q357" s="8"/>
      <c r="R357" s="8"/>
      <c r="S357" s="8"/>
      <c r="T357" s="8"/>
      <c r="U357" s="8"/>
    </row>
    <row r="358" spans="1:21" ht="30" customHeight="1" x14ac:dyDescent="0.25">
      <c r="A358" s="8"/>
      <c r="B358" s="8"/>
      <c r="C358" s="8"/>
      <c r="D358" s="8"/>
      <c r="E358" s="224"/>
      <c r="F358" s="8"/>
      <c r="G358" s="8"/>
      <c r="H358" s="8"/>
      <c r="I358" s="8"/>
      <c r="J358" s="8"/>
      <c r="K358" s="8"/>
      <c r="L358" s="8"/>
      <c r="M358" s="8"/>
      <c r="N358" s="8"/>
      <c r="O358" s="8"/>
      <c r="P358" s="8"/>
      <c r="Q358" s="8"/>
      <c r="R358" s="8"/>
      <c r="S358" s="8"/>
      <c r="T358" s="8"/>
      <c r="U358" s="8"/>
    </row>
    <row r="359" spans="1:21" ht="30" customHeight="1" x14ac:dyDescent="0.25">
      <c r="A359" s="8"/>
      <c r="B359" s="8"/>
      <c r="C359" s="8"/>
      <c r="D359" s="8"/>
      <c r="E359" s="224"/>
      <c r="F359" s="8"/>
      <c r="G359" s="8"/>
      <c r="H359" s="8"/>
      <c r="I359" s="8"/>
      <c r="J359" s="8"/>
      <c r="K359" s="8"/>
      <c r="L359" s="8"/>
      <c r="M359" s="8"/>
      <c r="N359" s="8"/>
      <c r="O359" s="8"/>
      <c r="P359" s="8"/>
      <c r="Q359" s="8"/>
      <c r="R359" s="8"/>
      <c r="S359" s="8"/>
      <c r="T359" s="8"/>
      <c r="U359" s="8"/>
    </row>
    <row r="360" spans="1:21" ht="30" customHeight="1" x14ac:dyDescent="0.25">
      <c r="A360" s="8"/>
      <c r="B360" s="8"/>
      <c r="C360" s="8"/>
      <c r="D360" s="8"/>
      <c r="E360" s="224"/>
      <c r="F360" s="8"/>
      <c r="G360" s="8"/>
      <c r="H360" s="8"/>
      <c r="I360" s="8"/>
      <c r="J360" s="8"/>
      <c r="K360" s="8"/>
      <c r="L360" s="8"/>
      <c r="M360" s="8"/>
      <c r="N360" s="8"/>
      <c r="O360" s="8"/>
      <c r="P360" s="8"/>
      <c r="Q360" s="8"/>
      <c r="R360" s="8"/>
      <c r="S360" s="8"/>
      <c r="T360" s="8"/>
      <c r="U360" s="8"/>
    </row>
    <row r="361" spans="1:21" ht="30" customHeight="1" x14ac:dyDescent="0.25">
      <c r="A361" s="8"/>
      <c r="B361" s="8"/>
      <c r="C361" s="8"/>
      <c r="D361" s="8"/>
      <c r="E361" s="224"/>
      <c r="F361" s="8"/>
      <c r="G361" s="8"/>
      <c r="H361" s="8"/>
      <c r="I361" s="8"/>
      <c r="J361" s="8"/>
      <c r="K361" s="8"/>
      <c r="L361" s="8"/>
      <c r="M361" s="8"/>
      <c r="N361" s="8"/>
      <c r="O361" s="8"/>
      <c r="P361" s="8"/>
      <c r="Q361" s="8"/>
      <c r="R361" s="8"/>
      <c r="S361" s="8"/>
      <c r="T361" s="8"/>
      <c r="U361" s="8"/>
    </row>
    <row r="362" spans="1:21" ht="30" customHeight="1" x14ac:dyDescent="0.25">
      <c r="A362" s="8"/>
      <c r="B362" s="8"/>
      <c r="C362" s="8"/>
      <c r="D362" s="8"/>
      <c r="E362" s="224"/>
      <c r="F362" s="8"/>
      <c r="G362" s="8"/>
      <c r="H362" s="8"/>
      <c r="I362" s="8"/>
      <c r="J362" s="8"/>
      <c r="K362" s="8"/>
      <c r="L362" s="8"/>
      <c r="M362" s="8"/>
      <c r="N362" s="8"/>
      <c r="O362" s="8"/>
      <c r="P362" s="8"/>
      <c r="Q362" s="8"/>
      <c r="R362" s="8"/>
      <c r="S362" s="8"/>
      <c r="T362" s="8"/>
      <c r="U362" s="8"/>
    </row>
    <row r="363" spans="1:21" ht="30" customHeight="1" x14ac:dyDescent="0.25">
      <c r="A363" s="8"/>
      <c r="B363" s="8"/>
      <c r="C363" s="8"/>
      <c r="D363" s="8"/>
      <c r="E363" s="224"/>
      <c r="F363" s="8"/>
      <c r="G363" s="8"/>
      <c r="H363" s="8"/>
      <c r="I363" s="8"/>
      <c r="J363" s="8"/>
      <c r="K363" s="8"/>
      <c r="L363" s="8"/>
      <c r="M363" s="8"/>
      <c r="N363" s="8"/>
      <c r="O363" s="8"/>
      <c r="P363" s="8"/>
      <c r="Q363" s="8"/>
      <c r="R363" s="8"/>
      <c r="S363" s="8"/>
      <c r="T363" s="8"/>
      <c r="U363" s="8"/>
    </row>
    <row r="364" spans="1:21" ht="30" customHeight="1" x14ac:dyDescent="0.25">
      <c r="A364" s="8"/>
      <c r="B364" s="8"/>
      <c r="C364" s="8"/>
      <c r="D364" s="8"/>
      <c r="E364" s="224"/>
      <c r="F364" s="8"/>
      <c r="G364" s="8"/>
      <c r="H364" s="8"/>
      <c r="I364" s="8"/>
      <c r="J364" s="8"/>
      <c r="K364" s="8"/>
      <c r="L364" s="8"/>
      <c r="M364" s="8"/>
      <c r="N364" s="8"/>
      <c r="O364" s="8"/>
      <c r="P364" s="8"/>
      <c r="Q364" s="8"/>
      <c r="R364" s="8"/>
      <c r="S364" s="8"/>
      <c r="T364" s="8"/>
      <c r="U364" s="8"/>
    </row>
    <row r="365" spans="1:21" ht="30" customHeight="1" x14ac:dyDescent="0.25">
      <c r="A365" s="8"/>
      <c r="B365" s="8"/>
      <c r="C365" s="8"/>
      <c r="D365" s="8"/>
      <c r="E365" s="224"/>
      <c r="F365" s="8"/>
      <c r="G365" s="8"/>
      <c r="H365" s="8"/>
      <c r="I365" s="8"/>
      <c r="J365" s="8"/>
      <c r="K365" s="8"/>
      <c r="L365" s="8"/>
      <c r="M365" s="8"/>
      <c r="N365" s="8"/>
      <c r="O365" s="8"/>
      <c r="P365" s="8"/>
      <c r="Q365" s="8"/>
      <c r="R365" s="8"/>
      <c r="S365" s="8"/>
      <c r="T365" s="8"/>
      <c r="U365" s="8"/>
    </row>
    <row r="366" spans="1:21" ht="30" customHeight="1" x14ac:dyDescent="0.25">
      <c r="A366" s="8"/>
      <c r="B366" s="8"/>
      <c r="C366" s="8"/>
      <c r="D366" s="8"/>
      <c r="E366" s="224"/>
      <c r="F366" s="8"/>
      <c r="G366" s="8"/>
      <c r="H366" s="8"/>
      <c r="I366" s="8"/>
      <c r="J366" s="8"/>
      <c r="K366" s="8"/>
      <c r="L366" s="8"/>
      <c r="M366" s="8"/>
      <c r="N366" s="8"/>
      <c r="O366" s="8"/>
      <c r="P366" s="8"/>
      <c r="Q366" s="8"/>
      <c r="R366" s="8"/>
      <c r="S366" s="8"/>
      <c r="T366" s="8"/>
      <c r="U366" s="8"/>
    </row>
    <row r="367" spans="1:21" ht="30" customHeight="1" x14ac:dyDescent="0.25">
      <c r="A367" s="8"/>
      <c r="B367" s="8"/>
      <c r="C367" s="8"/>
      <c r="D367" s="8"/>
      <c r="E367" s="224"/>
      <c r="F367" s="8"/>
      <c r="G367" s="8"/>
      <c r="H367" s="8"/>
      <c r="I367" s="8"/>
      <c r="J367" s="8"/>
      <c r="K367" s="8"/>
      <c r="L367" s="8"/>
      <c r="M367" s="8"/>
      <c r="N367" s="8"/>
      <c r="O367" s="8"/>
      <c r="P367" s="8"/>
      <c r="Q367" s="8"/>
      <c r="R367" s="8"/>
      <c r="S367" s="8"/>
      <c r="T367" s="8"/>
      <c r="U367" s="8"/>
    </row>
    <row r="368" spans="1:21" ht="30" customHeight="1" x14ac:dyDescent="0.25">
      <c r="A368" s="8"/>
      <c r="B368" s="8"/>
      <c r="C368" s="8"/>
      <c r="D368" s="8"/>
      <c r="E368" s="224"/>
      <c r="F368" s="8"/>
      <c r="G368" s="8"/>
      <c r="H368" s="8"/>
      <c r="I368" s="8"/>
      <c r="J368" s="8"/>
      <c r="K368" s="8"/>
      <c r="L368" s="8"/>
      <c r="M368" s="8"/>
      <c r="N368" s="8"/>
      <c r="O368" s="8"/>
      <c r="P368" s="8"/>
      <c r="Q368" s="8"/>
      <c r="R368" s="8"/>
      <c r="S368" s="8"/>
      <c r="T368" s="8"/>
      <c r="U368" s="8"/>
    </row>
    <row r="369" spans="1:21" ht="30" customHeight="1" x14ac:dyDescent="0.25">
      <c r="A369" s="8"/>
      <c r="B369" s="8"/>
      <c r="C369" s="8"/>
      <c r="D369" s="8"/>
      <c r="E369" s="224"/>
      <c r="F369" s="8"/>
      <c r="G369" s="8"/>
      <c r="H369" s="8"/>
      <c r="I369" s="8"/>
      <c r="J369" s="8"/>
      <c r="K369" s="8"/>
      <c r="L369" s="8"/>
      <c r="M369" s="8"/>
      <c r="N369" s="8"/>
      <c r="O369" s="8"/>
      <c r="P369" s="8"/>
      <c r="Q369" s="8"/>
      <c r="R369" s="8"/>
      <c r="S369" s="8"/>
      <c r="T369" s="8"/>
      <c r="U369" s="8"/>
    </row>
    <row r="370" spans="1:21" ht="30" customHeight="1" x14ac:dyDescent="0.25">
      <c r="A370" s="8"/>
      <c r="B370" s="8"/>
      <c r="C370" s="8"/>
      <c r="D370" s="8"/>
      <c r="E370" s="224"/>
      <c r="F370" s="8"/>
      <c r="G370" s="8"/>
      <c r="H370" s="8"/>
      <c r="I370" s="8"/>
      <c r="J370" s="8"/>
      <c r="K370" s="8"/>
      <c r="L370" s="8"/>
      <c r="M370" s="8"/>
      <c r="N370" s="8"/>
      <c r="O370" s="8"/>
      <c r="P370" s="8"/>
      <c r="Q370" s="8"/>
      <c r="R370" s="8"/>
      <c r="S370" s="8"/>
      <c r="T370" s="8"/>
      <c r="U370" s="8"/>
    </row>
    <row r="371" spans="1:21" ht="30" customHeight="1" x14ac:dyDescent="0.25">
      <c r="A371" s="8"/>
      <c r="B371" s="8"/>
      <c r="C371" s="8"/>
      <c r="D371" s="8"/>
      <c r="E371" s="224"/>
      <c r="F371" s="8"/>
      <c r="G371" s="8"/>
      <c r="H371" s="8"/>
      <c r="I371" s="8"/>
      <c r="J371" s="8"/>
      <c r="K371" s="8"/>
      <c r="L371" s="8"/>
      <c r="M371" s="8"/>
      <c r="N371" s="8"/>
      <c r="O371" s="8"/>
      <c r="P371" s="8"/>
      <c r="Q371" s="8"/>
      <c r="R371" s="8"/>
      <c r="S371" s="8"/>
      <c r="T371" s="8"/>
      <c r="U371" s="8"/>
    </row>
    <row r="372" spans="1:21" ht="30" customHeight="1" x14ac:dyDescent="0.25">
      <c r="A372" s="8"/>
      <c r="B372" s="8"/>
      <c r="C372" s="8"/>
      <c r="D372" s="8"/>
      <c r="E372" s="224"/>
      <c r="F372" s="8"/>
      <c r="G372" s="8"/>
      <c r="H372" s="8"/>
      <c r="I372" s="8"/>
      <c r="J372" s="8"/>
      <c r="K372" s="8"/>
      <c r="L372" s="8"/>
      <c r="M372" s="8"/>
      <c r="N372" s="8"/>
      <c r="O372" s="8"/>
      <c r="P372" s="8"/>
      <c r="Q372" s="8"/>
      <c r="R372" s="8"/>
      <c r="S372" s="8"/>
      <c r="T372" s="8"/>
      <c r="U372" s="8"/>
    </row>
    <row r="373" spans="1:21" ht="30" customHeight="1" x14ac:dyDescent="0.25">
      <c r="A373" s="8"/>
      <c r="B373" s="8"/>
      <c r="C373" s="8"/>
      <c r="D373" s="8"/>
      <c r="E373" s="224"/>
      <c r="F373" s="8"/>
      <c r="G373" s="8"/>
      <c r="H373" s="8"/>
      <c r="I373" s="8"/>
      <c r="J373" s="8"/>
      <c r="K373" s="8"/>
      <c r="L373" s="8"/>
      <c r="M373" s="8"/>
      <c r="N373" s="8"/>
      <c r="O373" s="8"/>
      <c r="P373" s="8"/>
      <c r="Q373" s="8"/>
      <c r="R373" s="8"/>
      <c r="S373" s="8"/>
      <c r="T373" s="8"/>
      <c r="U373" s="8"/>
    </row>
    <row r="374" spans="1:21" ht="30" customHeight="1" x14ac:dyDescent="0.25">
      <c r="A374" s="8"/>
      <c r="B374" s="8"/>
      <c r="C374" s="8"/>
      <c r="D374" s="8"/>
      <c r="E374" s="224"/>
      <c r="F374" s="8"/>
      <c r="G374" s="8"/>
      <c r="H374" s="8"/>
      <c r="I374" s="8"/>
      <c r="J374" s="8"/>
      <c r="K374" s="8"/>
      <c r="L374" s="8"/>
      <c r="M374" s="8"/>
      <c r="N374" s="8"/>
      <c r="O374" s="8"/>
      <c r="P374" s="8"/>
      <c r="Q374" s="8"/>
      <c r="R374" s="8"/>
      <c r="S374" s="8"/>
      <c r="T374" s="8"/>
      <c r="U374" s="8"/>
    </row>
    <row r="375" spans="1:21" ht="30" customHeight="1" x14ac:dyDescent="0.25">
      <c r="A375" s="8"/>
      <c r="B375" s="8"/>
      <c r="C375" s="8"/>
      <c r="D375" s="8"/>
      <c r="E375" s="224"/>
      <c r="F375" s="8"/>
      <c r="G375" s="8"/>
      <c r="H375" s="8"/>
      <c r="I375" s="8"/>
      <c r="J375" s="8"/>
      <c r="K375" s="8"/>
      <c r="L375" s="8"/>
      <c r="M375" s="8"/>
      <c r="N375" s="8"/>
      <c r="O375" s="8"/>
      <c r="P375" s="8"/>
      <c r="Q375" s="8"/>
      <c r="R375" s="8"/>
      <c r="S375" s="8"/>
      <c r="T375" s="8"/>
      <c r="U375" s="8"/>
    </row>
    <row r="376" spans="1:21" ht="30" customHeight="1" x14ac:dyDescent="0.25">
      <c r="A376" s="8"/>
      <c r="B376" s="8"/>
      <c r="C376" s="8"/>
      <c r="D376" s="8"/>
      <c r="E376" s="224"/>
      <c r="F376" s="8"/>
      <c r="G376" s="8"/>
      <c r="H376" s="8"/>
      <c r="I376" s="8"/>
      <c r="J376" s="8"/>
      <c r="K376" s="8"/>
      <c r="L376" s="8"/>
      <c r="M376" s="8"/>
      <c r="N376" s="8"/>
      <c r="O376" s="8"/>
      <c r="P376" s="8"/>
      <c r="Q376" s="8"/>
      <c r="R376" s="8"/>
      <c r="S376" s="8"/>
      <c r="T376" s="8"/>
      <c r="U376" s="8"/>
    </row>
    <row r="377" spans="1:21" ht="30" customHeight="1" x14ac:dyDescent="0.25">
      <c r="A377" s="8"/>
      <c r="B377" s="8"/>
      <c r="C377" s="8"/>
      <c r="D377" s="8"/>
      <c r="E377" s="224"/>
      <c r="F377" s="8"/>
      <c r="G377" s="8"/>
      <c r="H377" s="8"/>
      <c r="I377" s="8"/>
      <c r="J377" s="8"/>
      <c r="K377" s="8"/>
      <c r="L377" s="8"/>
      <c r="M377" s="8"/>
      <c r="N377" s="8"/>
      <c r="O377" s="8"/>
      <c r="P377" s="8"/>
      <c r="Q377" s="8"/>
      <c r="R377" s="8"/>
      <c r="S377" s="8"/>
      <c r="T377" s="8"/>
      <c r="U377" s="8"/>
    </row>
    <row r="378" spans="1:21" ht="30" customHeight="1" x14ac:dyDescent="0.25">
      <c r="A378" s="8"/>
      <c r="B378" s="8"/>
      <c r="C378" s="8"/>
      <c r="D378" s="8"/>
      <c r="E378" s="224"/>
      <c r="F378" s="8"/>
      <c r="G378" s="8"/>
      <c r="H378" s="8"/>
      <c r="I378" s="8"/>
      <c r="J378" s="8"/>
      <c r="K378" s="8"/>
      <c r="L378" s="8"/>
      <c r="M378" s="8"/>
      <c r="N378" s="8"/>
      <c r="O378" s="8"/>
      <c r="P378" s="8"/>
      <c r="Q378" s="8"/>
      <c r="R378" s="8"/>
      <c r="S378" s="8"/>
      <c r="T378" s="8"/>
      <c r="U378" s="8"/>
    </row>
    <row r="379" spans="1:21" ht="30" customHeight="1" x14ac:dyDescent="0.25">
      <c r="A379" s="8"/>
      <c r="B379" s="8"/>
      <c r="C379" s="8"/>
      <c r="D379" s="8"/>
      <c r="E379" s="224"/>
      <c r="F379" s="8"/>
      <c r="G379" s="8"/>
      <c r="H379" s="8"/>
      <c r="I379" s="8"/>
      <c r="J379" s="8"/>
      <c r="K379" s="8"/>
      <c r="L379" s="8"/>
      <c r="M379" s="8"/>
      <c r="N379" s="8"/>
      <c r="O379" s="8"/>
      <c r="P379" s="8"/>
      <c r="Q379" s="8"/>
      <c r="R379" s="8"/>
      <c r="S379" s="8"/>
      <c r="T379" s="8"/>
      <c r="U379" s="8"/>
    </row>
    <row r="380" spans="1:21" ht="30" customHeight="1" x14ac:dyDescent="0.25">
      <c r="A380" s="8"/>
      <c r="B380" s="8"/>
      <c r="C380" s="8"/>
      <c r="D380" s="8"/>
      <c r="E380" s="224"/>
      <c r="F380" s="8"/>
      <c r="G380" s="8"/>
      <c r="H380" s="8"/>
      <c r="I380" s="8"/>
      <c r="J380" s="8"/>
      <c r="K380" s="8"/>
      <c r="L380" s="8"/>
      <c r="M380" s="8"/>
      <c r="N380" s="8"/>
      <c r="O380" s="8"/>
      <c r="P380" s="8"/>
      <c r="Q380" s="8"/>
      <c r="R380" s="8"/>
      <c r="S380" s="8"/>
      <c r="T380" s="8"/>
      <c r="U380" s="8"/>
    </row>
    <row r="381" spans="1:21" ht="30" customHeight="1" x14ac:dyDescent="0.25">
      <c r="A381" s="8"/>
      <c r="B381" s="8"/>
      <c r="C381" s="8"/>
      <c r="D381" s="8"/>
      <c r="E381" s="224"/>
      <c r="F381" s="8"/>
      <c r="G381" s="8"/>
      <c r="H381" s="8"/>
      <c r="I381" s="8"/>
      <c r="J381" s="8"/>
      <c r="K381" s="8"/>
      <c r="L381" s="8"/>
      <c r="M381" s="8"/>
      <c r="N381" s="8"/>
      <c r="O381" s="8"/>
      <c r="P381" s="8"/>
      <c r="Q381" s="8"/>
      <c r="R381" s="8"/>
      <c r="S381" s="8"/>
      <c r="T381" s="8"/>
      <c r="U381" s="8"/>
    </row>
    <row r="382" spans="1:21" ht="30" customHeight="1" x14ac:dyDescent="0.25">
      <c r="A382" s="8"/>
      <c r="B382" s="8"/>
      <c r="C382" s="8"/>
      <c r="D382" s="8"/>
      <c r="E382" s="224"/>
      <c r="F382" s="8"/>
      <c r="G382" s="8"/>
      <c r="H382" s="8"/>
      <c r="I382" s="8"/>
      <c r="J382" s="8"/>
      <c r="K382" s="8"/>
      <c r="L382" s="8"/>
      <c r="M382" s="8"/>
      <c r="N382" s="8"/>
      <c r="O382" s="8"/>
      <c r="P382" s="8"/>
      <c r="Q382" s="8"/>
      <c r="R382" s="8"/>
      <c r="S382" s="8"/>
      <c r="T382" s="8"/>
      <c r="U382" s="8"/>
    </row>
    <row r="383" spans="1:21" ht="30" customHeight="1" x14ac:dyDescent="0.25">
      <c r="A383" s="8"/>
      <c r="B383" s="8"/>
      <c r="C383" s="8"/>
      <c r="D383" s="8"/>
      <c r="E383" s="224"/>
      <c r="F383" s="8"/>
      <c r="G383" s="8"/>
      <c r="H383" s="8"/>
      <c r="I383" s="8"/>
      <c r="J383" s="8"/>
      <c r="K383" s="8"/>
      <c r="L383" s="8"/>
      <c r="M383" s="8"/>
      <c r="N383" s="8"/>
      <c r="O383" s="8"/>
      <c r="P383" s="8"/>
      <c r="Q383" s="8"/>
      <c r="R383" s="8"/>
      <c r="S383" s="8"/>
      <c r="T383" s="8"/>
      <c r="U383" s="8"/>
    </row>
    <row r="384" spans="1:21" ht="30" customHeight="1" x14ac:dyDescent="0.25">
      <c r="A384" s="8"/>
      <c r="B384" s="8"/>
      <c r="C384" s="8"/>
      <c r="D384" s="8"/>
      <c r="E384" s="224"/>
      <c r="F384" s="8"/>
      <c r="G384" s="8"/>
      <c r="H384" s="8"/>
      <c r="I384" s="8"/>
      <c r="J384" s="8"/>
      <c r="K384" s="8"/>
      <c r="L384" s="8"/>
      <c r="M384" s="8"/>
      <c r="N384" s="8"/>
      <c r="O384" s="8"/>
      <c r="P384" s="8"/>
      <c r="Q384" s="8"/>
      <c r="R384" s="8"/>
      <c r="S384" s="8"/>
      <c r="T384" s="8"/>
      <c r="U384" s="8"/>
    </row>
    <row r="385" spans="1:21" ht="30" customHeight="1" x14ac:dyDescent="0.25">
      <c r="A385" s="8"/>
      <c r="B385" s="8"/>
      <c r="C385" s="8"/>
      <c r="D385" s="8"/>
      <c r="E385" s="224"/>
      <c r="F385" s="8"/>
      <c r="G385" s="8"/>
      <c r="H385" s="8"/>
      <c r="I385" s="8"/>
      <c r="J385" s="8"/>
      <c r="K385" s="8"/>
      <c r="L385" s="8"/>
      <c r="M385" s="8"/>
      <c r="N385" s="8"/>
      <c r="O385" s="8"/>
      <c r="P385" s="8"/>
      <c r="Q385" s="8"/>
      <c r="R385" s="8"/>
      <c r="S385" s="8"/>
      <c r="T385" s="8"/>
      <c r="U385" s="8"/>
    </row>
    <row r="386" spans="1:21" ht="30" customHeight="1" x14ac:dyDescent="0.25">
      <c r="A386" s="8"/>
      <c r="B386" s="8"/>
      <c r="C386" s="8"/>
      <c r="D386" s="8"/>
      <c r="E386" s="224"/>
      <c r="F386" s="8"/>
      <c r="G386" s="8"/>
      <c r="H386" s="8"/>
      <c r="I386" s="8"/>
      <c r="J386" s="8"/>
      <c r="K386" s="8"/>
      <c r="L386" s="8"/>
      <c r="M386" s="8"/>
      <c r="N386" s="8"/>
      <c r="O386" s="8"/>
      <c r="P386" s="8"/>
      <c r="Q386" s="8"/>
      <c r="R386" s="8"/>
      <c r="S386" s="8"/>
      <c r="T386" s="8"/>
      <c r="U386" s="8"/>
    </row>
    <row r="387" spans="1:21" ht="30" customHeight="1" x14ac:dyDescent="0.25">
      <c r="A387" s="8"/>
      <c r="B387" s="8"/>
      <c r="C387" s="8"/>
      <c r="D387" s="8"/>
      <c r="E387" s="224"/>
      <c r="F387" s="8"/>
      <c r="G387" s="8"/>
      <c r="H387" s="8"/>
      <c r="I387" s="8"/>
      <c r="J387" s="8"/>
      <c r="K387" s="8"/>
      <c r="L387" s="8"/>
      <c r="M387" s="8"/>
      <c r="N387" s="8"/>
      <c r="O387" s="8"/>
      <c r="P387" s="8"/>
      <c r="Q387" s="8"/>
      <c r="R387" s="8"/>
      <c r="S387" s="8"/>
      <c r="T387" s="8"/>
      <c r="U387" s="8"/>
    </row>
    <row r="388" spans="1:21" ht="30" customHeight="1" x14ac:dyDescent="0.25">
      <c r="A388" s="8"/>
      <c r="B388" s="8"/>
      <c r="C388" s="8"/>
      <c r="D388" s="8"/>
      <c r="E388" s="224"/>
      <c r="F388" s="8"/>
      <c r="G388" s="8"/>
      <c r="H388" s="8"/>
      <c r="I388" s="8"/>
      <c r="J388" s="8"/>
      <c r="K388" s="8"/>
      <c r="L388" s="8"/>
      <c r="M388" s="8"/>
      <c r="N388" s="8"/>
      <c r="O388" s="8"/>
      <c r="P388" s="8"/>
      <c r="Q388" s="8"/>
      <c r="R388" s="8"/>
      <c r="S388" s="8"/>
      <c r="T388" s="8"/>
      <c r="U388" s="8"/>
    </row>
    <row r="389" spans="1:21" ht="30" customHeight="1" x14ac:dyDescent="0.25">
      <c r="A389" s="8"/>
      <c r="B389" s="8"/>
      <c r="C389" s="8"/>
      <c r="D389" s="8"/>
      <c r="E389" s="224"/>
      <c r="F389" s="8"/>
      <c r="G389" s="8"/>
      <c r="H389" s="8"/>
      <c r="I389" s="8"/>
      <c r="J389" s="8"/>
      <c r="K389" s="8"/>
      <c r="L389" s="8"/>
      <c r="M389" s="8"/>
      <c r="N389" s="8"/>
      <c r="O389" s="8"/>
      <c r="P389" s="8"/>
      <c r="Q389" s="8"/>
      <c r="R389" s="8"/>
      <c r="S389" s="8"/>
      <c r="T389" s="8"/>
      <c r="U389" s="8"/>
    </row>
    <row r="390" spans="1:21" ht="30" customHeight="1" x14ac:dyDescent="0.25">
      <c r="A390" s="8"/>
      <c r="B390" s="8"/>
      <c r="C390" s="8"/>
      <c r="D390" s="8"/>
      <c r="E390" s="224"/>
      <c r="F390" s="8"/>
      <c r="G390" s="8"/>
      <c r="H390" s="8"/>
      <c r="I390" s="8"/>
      <c r="J390" s="8"/>
      <c r="K390" s="8"/>
      <c r="L390" s="8"/>
      <c r="M390" s="8"/>
      <c r="N390" s="8"/>
      <c r="O390" s="8"/>
      <c r="P390" s="8"/>
      <c r="Q390" s="8"/>
      <c r="R390" s="8"/>
      <c r="S390" s="8"/>
      <c r="T390" s="8"/>
      <c r="U390" s="8"/>
    </row>
    <row r="391" spans="1:21" ht="30" customHeight="1" x14ac:dyDescent="0.25">
      <c r="A391" s="8"/>
      <c r="B391" s="8"/>
      <c r="C391" s="8"/>
      <c r="D391" s="8"/>
      <c r="E391" s="224"/>
      <c r="F391" s="8"/>
      <c r="G391" s="8"/>
      <c r="H391" s="8"/>
      <c r="I391" s="8"/>
      <c r="J391" s="8"/>
      <c r="K391" s="8"/>
      <c r="L391" s="8"/>
      <c r="M391" s="8"/>
      <c r="N391" s="8"/>
      <c r="O391" s="8"/>
      <c r="P391" s="8"/>
      <c r="Q391" s="8"/>
      <c r="R391" s="8"/>
      <c r="S391" s="8"/>
      <c r="T391" s="8"/>
      <c r="U391" s="8"/>
    </row>
    <row r="392" spans="1:21" ht="30" customHeight="1" x14ac:dyDescent="0.25">
      <c r="A392" s="8"/>
      <c r="B392" s="8"/>
      <c r="C392" s="8"/>
      <c r="D392" s="8"/>
      <c r="E392" s="224"/>
      <c r="F392" s="8"/>
      <c r="G392" s="8"/>
      <c r="H392" s="8"/>
      <c r="I392" s="8"/>
      <c r="J392" s="8"/>
      <c r="K392" s="8"/>
      <c r="L392" s="8"/>
      <c r="M392" s="8"/>
      <c r="N392" s="8"/>
      <c r="O392" s="8"/>
      <c r="P392" s="8"/>
      <c r="Q392" s="8"/>
      <c r="R392" s="8"/>
      <c r="S392" s="8"/>
      <c r="T392" s="8"/>
      <c r="U392" s="8"/>
    </row>
    <row r="393" spans="1:21" ht="30" customHeight="1" x14ac:dyDescent="0.25">
      <c r="A393" s="8"/>
      <c r="B393" s="8"/>
      <c r="C393" s="8"/>
      <c r="D393" s="8"/>
      <c r="E393" s="224"/>
      <c r="F393" s="8"/>
      <c r="G393" s="8"/>
      <c r="H393" s="8"/>
      <c r="I393" s="8"/>
      <c r="J393" s="8"/>
      <c r="K393" s="8"/>
      <c r="L393" s="8"/>
      <c r="M393" s="8"/>
      <c r="N393" s="8"/>
      <c r="O393" s="8"/>
      <c r="P393" s="8"/>
      <c r="Q393" s="8"/>
      <c r="R393" s="8"/>
      <c r="S393" s="8"/>
      <c r="T393" s="8"/>
      <c r="U393" s="8"/>
    </row>
    <row r="394" spans="1:21" ht="30" customHeight="1" x14ac:dyDescent="0.25">
      <c r="A394" s="8"/>
      <c r="B394" s="8"/>
      <c r="C394" s="8"/>
      <c r="D394" s="8"/>
      <c r="E394" s="224"/>
      <c r="F394" s="8"/>
      <c r="G394" s="8"/>
      <c r="H394" s="8"/>
      <c r="I394" s="8"/>
      <c r="J394" s="8"/>
      <c r="K394" s="8"/>
      <c r="L394" s="8"/>
      <c r="M394" s="8"/>
      <c r="N394" s="8"/>
      <c r="O394" s="8"/>
      <c r="P394" s="8"/>
      <c r="Q394" s="8"/>
      <c r="R394" s="8"/>
      <c r="S394" s="8"/>
      <c r="T394" s="8"/>
      <c r="U394" s="8"/>
    </row>
    <row r="395" spans="1:21" ht="30" customHeight="1" x14ac:dyDescent="0.25">
      <c r="A395" s="8"/>
      <c r="B395" s="8"/>
      <c r="C395" s="8"/>
      <c r="D395" s="8"/>
      <c r="E395" s="224"/>
      <c r="F395" s="8"/>
      <c r="G395" s="8"/>
      <c r="H395" s="8"/>
      <c r="I395" s="8"/>
      <c r="J395" s="8"/>
      <c r="K395" s="8"/>
      <c r="L395" s="8"/>
      <c r="M395" s="8"/>
      <c r="N395" s="8"/>
      <c r="O395" s="8"/>
      <c r="P395" s="8"/>
      <c r="Q395" s="8"/>
      <c r="R395" s="8"/>
      <c r="S395" s="8"/>
      <c r="T395" s="8"/>
      <c r="U395" s="8"/>
    </row>
    <row r="396" spans="1:21" ht="30" customHeight="1" x14ac:dyDescent="0.25">
      <c r="A396" s="8"/>
      <c r="B396" s="8"/>
      <c r="C396" s="8"/>
      <c r="D396" s="8"/>
      <c r="E396" s="224"/>
      <c r="F396" s="8"/>
      <c r="G396" s="8"/>
      <c r="H396" s="8"/>
      <c r="I396" s="8"/>
      <c r="J396" s="8"/>
      <c r="K396" s="8"/>
      <c r="L396" s="8"/>
      <c r="M396" s="8"/>
      <c r="N396" s="8"/>
      <c r="O396" s="8"/>
      <c r="P396" s="8"/>
      <c r="Q396" s="8"/>
      <c r="R396" s="8"/>
      <c r="S396" s="8"/>
      <c r="T396" s="8"/>
      <c r="U396" s="8"/>
    </row>
    <row r="397" spans="1:21" ht="30" customHeight="1" x14ac:dyDescent="0.25">
      <c r="A397" s="8"/>
      <c r="B397" s="8"/>
      <c r="C397" s="8"/>
      <c r="D397" s="8"/>
      <c r="E397" s="224"/>
      <c r="F397" s="8"/>
      <c r="G397" s="8"/>
      <c r="H397" s="8"/>
      <c r="I397" s="8"/>
      <c r="J397" s="8"/>
      <c r="K397" s="8"/>
      <c r="L397" s="8"/>
      <c r="M397" s="8"/>
      <c r="N397" s="8"/>
      <c r="O397" s="8"/>
      <c r="P397" s="8"/>
      <c r="Q397" s="8"/>
      <c r="R397" s="8"/>
      <c r="S397" s="8"/>
      <c r="T397" s="8"/>
      <c r="U397" s="8"/>
    </row>
    <row r="398" spans="1:21" ht="30" customHeight="1" x14ac:dyDescent="0.25">
      <c r="A398" s="8"/>
      <c r="B398" s="8"/>
      <c r="C398" s="8"/>
      <c r="D398" s="8"/>
      <c r="E398" s="224"/>
      <c r="F398" s="8"/>
      <c r="G398" s="8"/>
      <c r="H398" s="8"/>
      <c r="I398" s="8"/>
      <c r="J398" s="8"/>
      <c r="K398" s="8"/>
      <c r="L398" s="8"/>
      <c r="M398" s="8"/>
      <c r="N398" s="8"/>
      <c r="O398" s="8"/>
      <c r="P398" s="8"/>
      <c r="Q398" s="8"/>
      <c r="R398" s="8"/>
      <c r="S398" s="8"/>
      <c r="T398" s="8"/>
      <c r="U398" s="8"/>
    </row>
    <row r="399" spans="1:21" ht="30" customHeight="1" x14ac:dyDescent="0.25">
      <c r="A399" s="8"/>
      <c r="B399" s="8"/>
      <c r="C399" s="8"/>
      <c r="D399" s="8"/>
      <c r="E399" s="224"/>
      <c r="F399" s="8"/>
      <c r="G399" s="8"/>
      <c r="H399" s="8"/>
      <c r="I399" s="8"/>
      <c r="J399" s="8"/>
      <c r="K399" s="8"/>
      <c r="L399" s="8"/>
      <c r="M399" s="8"/>
      <c r="N399" s="8"/>
      <c r="O399" s="8"/>
      <c r="P399" s="8"/>
      <c r="Q399" s="8"/>
      <c r="R399" s="8"/>
      <c r="S399" s="8"/>
      <c r="T399" s="8"/>
      <c r="U399" s="8"/>
    </row>
    <row r="400" spans="1:21" ht="30" customHeight="1" x14ac:dyDescent="0.25">
      <c r="A400" s="8"/>
      <c r="B400" s="8"/>
      <c r="C400" s="8"/>
      <c r="D400" s="8"/>
      <c r="E400" s="224"/>
      <c r="F400" s="8"/>
      <c r="G400" s="8"/>
      <c r="H400" s="8"/>
      <c r="I400" s="8"/>
      <c r="J400" s="8"/>
      <c r="K400" s="8"/>
      <c r="L400" s="8"/>
      <c r="M400" s="8"/>
      <c r="N400" s="8"/>
      <c r="O400" s="8"/>
      <c r="P400" s="8"/>
      <c r="Q400" s="8"/>
      <c r="R400" s="8"/>
      <c r="S400" s="8"/>
      <c r="T400" s="8"/>
      <c r="U400" s="8"/>
    </row>
    <row r="401" spans="1:21" ht="30" customHeight="1" x14ac:dyDescent="0.25">
      <c r="A401" s="8"/>
      <c r="B401" s="8"/>
      <c r="C401" s="8"/>
      <c r="D401" s="8"/>
      <c r="E401" s="224"/>
      <c r="F401" s="8"/>
      <c r="G401" s="8"/>
      <c r="H401" s="8"/>
      <c r="I401" s="8"/>
      <c r="J401" s="8"/>
      <c r="K401" s="8"/>
      <c r="L401" s="8"/>
      <c r="M401" s="8"/>
      <c r="N401" s="8"/>
      <c r="O401" s="8"/>
      <c r="P401" s="8"/>
      <c r="Q401" s="8"/>
      <c r="R401" s="8"/>
      <c r="S401" s="8"/>
      <c r="T401" s="8"/>
      <c r="U401" s="8"/>
    </row>
    <row r="402" spans="1:21" ht="30" customHeight="1" x14ac:dyDescent="0.25">
      <c r="A402" s="8"/>
      <c r="B402" s="8"/>
      <c r="C402" s="8"/>
      <c r="D402" s="8"/>
      <c r="E402" s="224"/>
      <c r="F402" s="8"/>
      <c r="G402" s="8"/>
      <c r="H402" s="8"/>
      <c r="I402" s="8"/>
      <c r="J402" s="8"/>
      <c r="K402" s="8"/>
      <c r="L402" s="8"/>
      <c r="M402" s="8"/>
      <c r="N402" s="8"/>
      <c r="O402" s="8"/>
      <c r="P402" s="8"/>
      <c r="Q402" s="8"/>
      <c r="R402" s="8"/>
      <c r="S402" s="8"/>
      <c r="T402" s="8"/>
      <c r="U402" s="8"/>
    </row>
    <row r="403" spans="1:21" ht="30" customHeight="1" x14ac:dyDescent="0.25">
      <c r="A403" s="8"/>
      <c r="B403" s="8"/>
      <c r="C403" s="8"/>
      <c r="D403" s="8"/>
      <c r="E403" s="224"/>
      <c r="F403" s="8"/>
      <c r="G403" s="8"/>
      <c r="H403" s="8"/>
      <c r="I403" s="8"/>
      <c r="J403" s="8"/>
      <c r="K403" s="8"/>
      <c r="L403" s="8"/>
      <c r="M403" s="8"/>
      <c r="N403" s="8"/>
      <c r="O403" s="8"/>
      <c r="P403" s="8"/>
      <c r="Q403" s="8"/>
      <c r="R403" s="8"/>
      <c r="S403" s="8"/>
      <c r="T403" s="8"/>
      <c r="U403" s="8"/>
    </row>
    <row r="404" spans="1:21" ht="30" customHeight="1" x14ac:dyDescent="0.25">
      <c r="A404" s="8"/>
      <c r="B404" s="8"/>
      <c r="C404" s="8"/>
      <c r="D404" s="8"/>
      <c r="E404" s="224"/>
      <c r="F404" s="8"/>
      <c r="G404" s="8"/>
      <c r="H404" s="8"/>
      <c r="I404" s="8"/>
      <c r="J404" s="8"/>
      <c r="K404" s="8"/>
      <c r="L404" s="8"/>
      <c r="M404" s="8"/>
      <c r="N404" s="8"/>
      <c r="O404" s="8"/>
      <c r="P404" s="8"/>
      <c r="Q404" s="8"/>
      <c r="R404" s="8"/>
      <c r="S404" s="8"/>
      <c r="T404" s="8"/>
      <c r="U404" s="8"/>
    </row>
    <row r="405" spans="1:21" ht="30" customHeight="1" x14ac:dyDescent="0.25">
      <c r="A405" s="8"/>
      <c r="B405" s="8"/>
      <c r="C405" s="8"/>
      <c r="D405" s="8"/>
      <c r="E405" s="224"/>
      <c r="F405" s="8"/>
      <c r="G405" s="8"/>
      <c r="H405" s="8"/>
      <c r="I405" s="8"/>
      <c r="J405" s="8"/>
      <c r="K405" s="8"/>
      <c r="L405" s="8"/>
      <c r="M405" s="8"/>
      <c r="N405" s="8"/>
      <c r="O405" s="8"/>
      <c r="P405" s="8"/>
      <c r="Q405" s="8"/>
      <c r="R405" s="8"/>
      <c r="S405" s="8"/>
      <c r="T405" s="8"/>
      <c r="U405" s="8"/>
    </row>
    <row r="406" spans="1:21" ht="30" customHeight="1" x14ac:dyDescent="0.25">
      <c r="A406" s="8"/>
      <c r="B406" s="8"/>
      <c r="C406" s="8"/>
      <c r="D406" s="8"/>
      <c r="E406" s="224"/>
      <c r="F406" s="8"/>
      <c r="G406" s="8"/>
      <c r="H406" s="8"/>
      <c r="I406" s="8"/>
      <c r="J406" s="8"/>
      <c r="K406" s="8"/>
      <c r="L406" s="8"/>
      <c r="M406" s="8"/>
      <c r="N406" s="8"/>
      <c r="O406" s="8"/>
      <c r="P406" s="8"/>
      <c r="Q406" s="8"/>
      <c r="R406" s="8"/>
      <c r="S406" s="8"/>
      <c r="T406" s="8"/>
      <c r="U406" s="8"/>
    </row>
    <row r="407" spans="1:21" ht="30" customHeight="1" x14ac:dyDescent="0.25">
      <c r="A407" s="8"/>
      <c r="B407" s="8"/>
      <c r="C407" s="8"/>
      <c r="D407" s="8"/>
      <c r="E407" s="224"/>
      <c r="F407" s="8"/>
      <c r="G407" s="8"/>
      <c r="H407" s="8"/>
      <c r="I407" s="8"/>
      <c r="J407" s="8"/>
      <c r="K407" s="8"/>
      <c r="L407" s="8"/>
      <c r="M407" s="8"/>
      <c r="N407" s="8"/>
      <c r="O407" s="8"/>
      <c r="P407" s="8"/>
      <c r="Q407" s="8"/>
      <c r="R407" s="8"/>
      <c r="S407" s="8"/>
      <c r="T407" s="8"/>
      <c r="U407" s="8"/>
    </row>
    <row r="408" spans="1:21" ht="30" customHeight="1" x14ac:dyDescent="0.25">
      <c r="A408" s="8"/>
      <c r="B408" s="8"/>
      <c r="C408" s="8"/>
      <c r="D408" s="8"/>
      <c r="E408" s="224"/>
      <c r="F408" s="8"/>
      <c r="G408" s="8"/>
      <c r="H408" s="8"/>
      <c r="I408" s="8"/>
      <c r="J408" s="8"/>
      <c r="K408" s="8"/>
      <c r="L408" s="8"/>
      <c r="M408" s="8"/>
      <c r="N408" s="8"/>
      <c r="O408" s="8"/>
      <c r="P408" s="8"/>
      <c r="Q408" s="8"/>
      <c r="R408" s="8"/>
      <c r="S408" s="8"/>
      <c r="T408" s="8"/>
      <c r="U408" s="8"/>
    </row>
    <row r="409" spans="1:21" ht="30" customHeight="1" x14ac:dyDescent="0.25">
      <c r="A409" s="8"/>
      <c r="B409" s="8"/>
      <c r="C409" s="8"/>
      <c r="D409" s="8"/>
      <c r="E409" s="224"/>
      <c r="F409" s="8"/>
      <c r="G409" s="8"/>
      <c r="H409" s="8"/>
      <c r="I409" s="8"/>
      <c r="J409" s="8"/>
      <c r="K409" s="8"/>
      <c r="L409" s="8"/>
      <c r="M409" s="8"/>
      <c r="N409" s="8"/>
      <c r="O409" s="8"/>
      <c r="P409" s="8"/>
      <c r="Q409" s="8"/>
      <c r="R409" s="8"/>
      <c r="S409" s="8"/>
      <c r="T409" s="8"/>
      <c r="U409" s="8"/>
    </row>
    <row r="410" spans="1:21" ht="30" customHeight="1" x14ac:dyDescent="0.25">
      <c r="A410" s="8"/>
      <c r="B410" s="8"/>
      <c r="C410" s="8"/>
      <c r="D410" s="8"/>
      <c r="E410" s="224"/>
      <c r="F410" s="8"/>
      <c r="G410" s="8"/>
      <c r="H410" s="8"/>
      <c r="I410" s="8"/>
      <c r="J410" s="8"/>
      <c r="K410" s="8"/>
      <c r="L410" s="8"/>
      <c r="M410" s="8"/>
      <c r="N410" s="8"/>
      <c r="O410" s="8"/>
      <c r="P410" s="8"/>
      <c r="Q410" s="8"/>
      <c r="R410" s="8"/>
      <c r="S410" s="8"/>
      <c r="T410" s="8"/>
      <c r="U410" s="8"/>
    </row>
    <row r="411" spans="1:21" ht="30" customHeight="1" x14ac:dyDescent="0.25">
      <c r="A411" s="8"/>
      <c r="B411" s="8"/>
      <c r="C411" s="8"/>
      <c r="D411" s="8"/>
      <c r="E411" s="224"/>
      <c r="F411" s="8"/>
      <c r="G411" s="8"/>
      <c r="H411" s="8"/>
      <c r="I411" s="8"/>
      <c r="J411" s="8"/>
      <c r="K411" s="8"/>
      <c r="L411" s="8"/>
      <c r="M411" s="8"/>
      <c r="N411" s="8"/>
      <c r="O411" s="8"/>
      <c r="P411" s="8"/>
      <c r="Q411" s="8"/>
      <c r="R411" s="8"/>
      <c r="S411" s="8"/>
      <c r="T411" s="8"/>
      <c r="U411" s="8"/>
    </row>
    <row r="412" spans="1:21" ht="30" customHeight="1" x14ac:dyDescent="0.25">
      <c r="A412" s="8"/>
      <c r="B412" s="8"/>
      <c r="C412" s="8"/>
      <c r="D412" s="8"/>
      <c r="E412" s="224"/>
      <c r="F412" s="8"/>
      <c r="G412" s="8"/>
      <c r="H412" s="8"/>
      <c r="I412" s="8"/>
      <c r="J412" s="8"/>
      <c r="K412" s="8"/>
      <c r="L412" s="8"/>
      <c r="M412" s="8"/>
      <c r="N412" s="8"/>
      <c r="O412" s="8"/>
      <c r="P412" s="8"/>
      <c r="Q412" s="8"/>
      <c r="R412" s="8"/>
      <c r="S412" s="8"/>
      <c r="T412" s="8"/>
      <c r="U412" s="8"/>
    </row>
    <row r="413" spans="1:21" ht="30" customHeight="1" x14ac:dyDescent="0.25">
      <c r="A413" s="8"/>
      <c r="B413" s="8"/>
      <c r="C413" s="8"/>
      <c r="D413" s="8"/>
      <c r="E413" s="224"/>
      <c r="F413" s="8"/>
      <c r="G413" s="8"/>
      <c r="H413" s="8"/>
      <c r="I413" s="8"/>
      <c r="J413" s="8"/>
      <c r="K413" s="8"/>
      <c r="L413" s="8"/>
      <c r="M413" s="8"/>
      <c r="N413" s="8"/>
      <c r="O413" s="8"/>
      <c r="P413" s="8"/>
      <c r="Q413" s="8"/>
      <c r="R413" s="8"/>
      <c r="S413" s="8"/>
      <c r="T413" s="8"/>
      <c r="U413" s="8"/>
    </row>
    <row r="414" spans="1:21" ht="30" customHeight="1" x14ac:dyDescent="0.25">
      <c r="A414" s="8"/>
      <c r="B414" s="8"/>
      <c r="C414" s="8"/>
      <c r="D414" s="8"/>
      <c r="E414" s="224"/>
      <c r="F414" s="8"/>
      <c r="G414" s="8"/>
      <c r="H414" s="8"/>
      <c r="I414" s="8"/>
      <c r="J414" s="8"/>
      <c r="K414" s="8"/>
      <c r="L414" s="8"/>
      <c r="M414" s="8"/>
      <c r="N414" s="8"/>
      <c r="O414" s="8"/>
      <c r="P414" s="8"/>
      <c r="Q414" s="8"/>
      <c r="R414" s="8"/>
      <c r="S414" s="8"/>
      <c r="T414" s="8"/>
      <c r="U414" s="8"/>
    </row>
    <row r="415" spans="1:21" ht="30" customHeight="1" x14ac:dyDescent="0.25">
      <c r="A415" s="8"/>
      <c r="B415" s="8"/>
      <c r="C415" s="8"/>
      <c r="D415" s="8"/>
      <c r="E415" s="224"/>
      <c r="F415" s="8"/>
      <c r="G415" s="8"/>
      <c r="H415" s="8"/>
      <c r="I415" s="8"/>
      <c r="J415" s="8"/>
      <c r="K415" s="8"/>
      <c r="L415" s="8"/>
      <c r="M415" s="8"/>
      <c r="N415" s="8"/>
      <c r="O415" s="8"/>
      <c r="P415" s="8"/>
      <c r="Q415" s="8"/>
      <c r="R415" s="8"/>
      <c r="S415" s="8"/>
      <c r="T415" s="8"/>
      <c r="U415" s="8"/>
    </row>
    <row r="416" spans="1:21" ht="30" customHeight="1" x14ac:dyDescent="0.25">
      <c r="A416" s="8"/>
      <c r="B416" s="8"/>
      <c r="C416" s="8"/>
      <c r="D416" s="8"/>
      <c r="E416" s="224"/>
      <c r="F416" s="8"/>
      <c r="G416" s="8"/>
      <c r="H416" s="8"/>
      <c r="I416" s="8"/>
      <c r="J416" s="8"/>
      <c r="K416" s="8"/>
      <c r="L416" s="8"/>
      <c r="M416" s="8"/>
      <c r="N416" s="8"/>
      <c r="O416" s="8"/>
      <c r="P416" s="8"/>
      <c r="Q416" s="8"/>
      <c r="R416" s="8"/>
      <c r="S416" s="8"/>
      <c r="T416" s="8"/>
      <c r="U416" s="8"/>
    </row>
    <row r="417" spans="1:21" ht="30" customHeight="1" x14ac:dyDescent="0.25">
      <c r="A417" s="8"/>
      <c r="B417" s="8"/>
      <c r="C417" s="8"/>
      <c r="D417" s="8"/>
      <c r="E417" s="224"/>
      <c r="F417" s="8"/>
      <c r="G417" s="8"/>
      <c r="H417" s="8"/>
      <c r="I417" s="8"/>
      <c r="J417" s="8"/>
      <c r="K417" s="8"/>
      <c r="L417" s="8"/>
      <c r="M417" s="8"/>
      <c r="N417" s="8"/>
      <c r="O417" s="8"/>
      <c r="P417" s="8"/>
      <c r="Q417" s="8"/>
      <c r="R417" s="8"/>
      <c r="S417" s="8"/>
      <c r="T417" s="8"/>
      <c r="U417" s="8"/>
    </row>
    <row r="418" spans="1:21" ht="30" customHeight="1" x14ac:dyDescent="0.25">
      <c r="A418" s="8"/>
      <c r="B418" s="8"/>
      <c r="C418" s="8"/>
      <c r="D418" s="8"/>
      <c r="E418" s="224"/>
      <c r="F418" s="8"/>
      <c r="G418" s="8"/>
      <c r="H418" s="8"/>
      <c r="I418" s="8"/>
      <c r="J418" s="8"/>
      <c r="K418" s="8"/>
      <c r="L418" s="8"/>
      <c r="M418" s="8"/>
      <c r="N418" s="8"/>
      <c r="O418" s="8"/>
      <c r="P418" s="8"/>
      <c r="Q418" s="8"/>
      <c r="R418" s="8"/>
      <c r="S418" s="8"/>
      <c r="T418" s="8"/>
      <c r="U418" s="8"/>
    </row>
    <row r="419" spans="1:21" ht="30" customHeight="1" x14ac:dyDescent="0.25">
      <c r="A419" s="8"/>
      <c r="B419" s="8"/>
      <c r="C419" s="8"/>
      <c r="D419" s="8"/>
      <c r="E419" s="224"/>
      <c r="F419" s="8"/>
      <c r="G419" s="8"/>
      <c r="H419" s="8"/>
      <c r="I419" s="8"/>
      <c r="J419" s="8"/>
      <c r="K419" s="8"/>
      <c r="L419" s="8"/>
      <c r="M419" s="8"/>
      <c r="N419" s="8"/>
      <c r="O419" s="8"/>
      <c r="P419" s="8"/>
      <c r="Q419" s="8"/>
      <c r="R419" s="8"/>
      <c r="S419" s="8"/>
      <c r="T419" s="8"/>
      <c r="U419" s="8"/>
    </row>
    <row r="420" spans="1:21" ht="30" customHeight="1" x14ac:dyDescent="0.25">
      <c r="A420" s="8"/>
      <c r="B420" s="8"/>
      <c r="C420" s="8"/>
      <c r="D420" s="8"/>
      <c r="E420" s="224"/>
      <c r="F420" s="8"/>
      <c r="G420" s="8"/>
      <c r="H420" s="8"/>
      <c r="I420" s="8"/>
      <c r="J420" s="8"/>
      <c r="K420" s="8"/>
      <c r="L420" s="8"/>
      <c r="M420" s="8"/>
      <c r="N420" s="8"/>
      <c r="O420" s="8"/>
      <c r="P420" s="8"/>
      <c r="Q420" s="8"/>
      <c r="R420" s="8"/>
      <c r="S420" s="8"/>
      <c r="T420" s="8"/>
      <c r="U420" s="8"/>
    </row>
    <row r="421" spans="1:21" ht="30" customHeight="1" x14ac:dyDescent="0.25">
      <c r="A421" s="8"/>
      <c r="B421" s="8"/>
      <c r="C421" s="8"/>
      <c r="D421" s="8"/>
      <c r="E421" s="224"/>
      <c r="F421" s="8"/>
      <c r="G421" s="8"/>
      <c r="H421" s="8"/>
      <c r="I421" s="8"/>
      <c r="J421" s="8"/>
      <c r="K421" s="8"/>
      <c r="L421" s="8"/>
      <c r="M421" s="8"/>
      <c r="N421" s="8"/>
      <c r="O421" s="8"/>
      <c r="P421" s="8"/>
      <c r="Q421" s="8"/>
      <c r="R421" s="8"/>
      <c r="S421" s="8"/>
      <c r="T421" s="8"/>
      <c r="U421" s="8"/>
    </row>
    <row r="422" spans="1:21" ht="30" customHeight="1" x14ac:dyDescent="0.25">
      <c r="A422" s="8"/>
      <c r="B422" s="8"/>
      <c r="C422" s="8"/>
      <c r="D422" s="8"/>
      <c r="E422" s="224"/>
      <c r="F422" s="8"/>
      <c r="G422" s="8"/>
      <c r="H422" s="8"/>
      <c r="I422" s="8"/>
      <c r="J422" s="8"/>
      <c r="K422" s="8"/>
      <c r="L422" s="8"/>
      <c r="M422" s="8"/>
      <c r="N422" s="8"/>
      <c r="O422" s="8"/>
      <c r="P422" s="8"/>
      <c r="Q422" s="8"/>
      <c r="R422" s="8"/>
      <c r="S422" s="8"/>
      <c r="T422" s="8"/>
      <c r="U422" s="8"/>
    </row>
    <row r="423" spans="1:21" ht="30" customHeight="1" x14ac:dyDescent="0.25">
      <c r="A423" s="8"/>
      <c r="B423" s="8"/>
      <c r="C423" s="8"/>
      <c r="D423" s="8"/>
      <c r="E423" s="224"/>
      <c r="F423" s="8"/>
      <c r="G423" s="8"/>
      <c r="H423" s="8"/>
      <c r="I423" s="8"/>
      <c r="J423" s="8"/>
      <c r="K423" s="8"/>
      <c r="L423" s="8"/>
      <c r="M423" s="8"/>
      <c r="N423" s="8"/>
      <c r="O423" s="8"/>
      <c r="P423" s="8"/>
      <c r="Q423" s="8"/>
      <c r="R423" s="8"/>
      <c r="S423" s="8"/>
      <c r="T423" s="8"/>
      <c r="U423" s="8"/>
    </row>
    <row r="424" spans="1:21" ht="30" customHeight="1" x14ac:dyDescent="0.25">
      <c r="A424" s="8"/>
      <c r="B424" s="8"/>
      <c r="C424" s="8"/>
      <c r="D424" s="8"/>
      <c r="E424" s="224"/>
      <c r="F424" s="8"/>
      <c r="G424" s="8"/>
      <c r="H424" s="8"/>
      <c r="I424" s="8"/>
      <c r="J424" s="8"/>
      <c r="K424" s="8"/>
      <c r="L424" s="8"/>
      <c r="M424" s="8"/>
      <c r="N424" s="8"/>
      <c r="O424" s="8"/>
      <c r="P424" s="8"/>
      <c r="Q424" s="8"/>
      <c r="R424" s="8"/>
      <c r="S424" s="8"/>
      <c r="T424" s="8"/>
      <c r="U424" s="8"/>
    </row>
    <row r="425" spans="1:21" ht="30" customHeight="1" x14ac:dyDescent="0.25">
      <c r="A425" s="8"/>
      <c r="B425" s="8"/>
      <c r="C425" s="8"/>
      <c r="D425" s="8"/>
      <c r="E425" s="224"/>
      <c r="F425" s="8"/>
      <c r="G425" s="8"/>
      <c r="H425" s="8"/>
      <c r="I425" s="8"/>
      <c r="J425" s="8"/>
      <c r="K425" s="8"/>
      <c r="L425" s="8"/>
      <c r="M425" s="8"/>
      <c r="N425" s="8"/>
      <c r="O425" s="8"/>
      <c r="P425" s="8"/>
      <c r="Q425" s="8"/>
      <c r="R425" s="8"/>
      <c r="S425" s="8"/>
      <c r="T425" s="8"/>
      <c r="U425" s="8"/>
    </row>
    <row r="426" spans="1:21" ht="30" customHeight="1" x14ac:dyDescent="0.25">
      <c r="A426" s="8"/>
      <c r="B426" s="8"/>
      <c r="C426" s="8"/>
      <c r="D426" s="8"/>
      <c r="E426" s="224"/>
      <c r="F426" s="8"/>
      <c r="G426" s="8"/>
      <c r="H426" s="8"/>
      <c r="I426" s="8"/>
      <c r="J426" s="8"/>
      <c r="K426" s="8"/>
      <c r="L426" s="8"/>
      <c r="M426" s="8"/>
      <c r="N426" s="8"/>
      <c r="O426" s="8"/>
      <c r="P426" s="8"/>
      <c r="Q426" s="8"/>
      <c r="R426" s="8"/>
      <c r="S426" s="8"/>
      <c r="T426" s="8"/>
      <c r="U426" s="8"/>
    </row>
    <row r="427" spans="1:21" ht="30" customHeight="1" x14ac:dyDescent="0.25">
      <c r="A427" s="8"/>
      <c r="B427" s="8"/>
      <c r="C427" s="8"/>
      <c r="D427" s="8"/>
      <c r="E427" s="224"/>
      <c r="F427" s="8"/>
      <c r="G427" s="8"/>
      <c r="H427" s="8"/>
      <c r="I427" s="8"/>
      <c r="J427" s="8"/>
      <c r="K427" s="8"/>
      <c r="L427" s="8"/>
      <c r="M427" s="8"/>
      <c r="N427" s="8"/>
      <c r="O427" s="8"/>
      <c r="P427" s="8"/>
      <c r="Q427" s="8"/>
      <c r="R427" s="8"/>
      <c r="S427" s="8"/>
      <c r="T427" s="8"/>
      <c r="U427" s="8"/>
    </row>
    <row r="428" spans="1:21" ht="30" customHeight="1" x14ac:dyDescent="0.25">
      <c r="A428" s="8"/>
      <c r="B428" s="8"/>
      <c r="C428" s="8"/>
      <c r="D428" s="8"/>
      <c r="E428" s="224"/>
      <c r="F428" s="8"/>
      <c r="G428" s="8"/>
      <c r="H428" s="8"/>
      <c r="I428" s="8"/>
      <c r="J428" s="8"/>
      <c r="K428" s="8"/>
      <c r="L428" s="8"/>
      <c r="M428" s="8"/>
      <c r="N428" s="8"/>
      <c r="O428" s="8"/>
      <c r="P428" s="8"/>
      <c r="Q428" s="8"/>
      <c r="R428" s="8"/>
      <c r="S428" s="8"/>
      <c r="T428" s="8"/>
      <c r="U428" s="8"/>
    </row>
    <row r="429" spans="1:21" ht="30" customHeight="1" x14ac:dyDescent="0.25">
      <c r="A429" s="8"/>
      <c r="B429" s="8"/>
      <c r="C429" s="8"/>
      <c r="D429" s="8"/>
      <c r="E429" s="224"/>
      <c r="F429" s="8"/>
      <c r="G429" s="8"/>
      <c r="H429" s="8"/>
      <c r="I429" s="8"/>
      <c r="J429" s="8"/>
      <c r="K429" s="8"/>
      <c r="L429" s="8"/>
      <c r="M429" s="8"/>
      <c r="N429" s="8"/>
      <c r="O429" s="8"/>
      <c r="P429" s="8"/>
      <c r="Q429" s="8"/>
      <c r="R429" s="8"/>
      <c r="S429" s="8"/>
      <c r="T429" s="8"/>
      <c r="U429" s="8"/>
    </row>
    <row r="430" spans="1:21" ht="30" customHeight="1" x14ac:dyDescent="0.25">
      <c r="A430" s="8"/>
      <c r="B430" s="8"/>
      <c r="C430" s="8"/>
      <c r="D430" s="8"/>
      <c r="E430" s="224"/>
      <c r="F430" s="8"/>
      <c r="G430" s="8"/>
      <c r="H430" s="8"/>
      <c r="I430" s="8"/>
      <c r="J430" s="8"/>
      <c r="K430" s="8"/>
      <c r="L430" s="8"/>
      <c r="M430" s="8"/>
      <c r="N430" s="8"/>
      <c r="O430" s="8"/>
      <c r="P430" s="8"/>
      <c r="Q430" s="8"/>
      <c r="R430" s="8"/>
      <c r="S430" s="8"/>
      <c r="T430" s="8"/>
      <c r="U430" s="8"/>
    </row>
    <row r="431" spans="1:21" ht="30" customHeight="1" x14ac:dyDescent="0.25">
      <c r="A431" s="8"/>
      <c r="B431" s="8"/>
      <c r="C431" s="8"/>
      <c r="D431" s="8"/>
      <c r="E431" s="224"/>
      <c r="F431" s="8"/>
      <c r="G431" s="8"/>
      <c r="H431" s="8"/>
      <c r="I431" s="8"/>
      <c r="J431" s="8"/>
      <c r="K431" s="8"/>
      <c r="L431" s="8"/>
      <c r="M431" s="8"/>
      <c r="N431" s="8"/>
      <c r="O431" s="8"/>
      <c r="P431" s="8"/>
      <c r="Q431" s="8"/>
      <c r="R431" s="8"/>
      <c r="S431" s="8"/>
      <c r="T431" s="8"/>
      <c r="U431" s="8"/>
    </row>
    <row r="432" spans="1:21" ht="30" customHeight="1" x14ac:dyDescent="0.25">
      <c r="A432" s="8"/>
      <c r="B432" s="8"/>
      <c r="C432" s="8"/>
      <c r="D432" s="8"/>
      <c r="E432" s="224"/>
      <c r="F432" s="8"/>
      <c r="G432" s="8"/>
      <c r="H432" s="8"/>
      <c r="I432" s="8"/>
      <c r="J432" s="8"/>
      <c r="K432" s="8"/>
      <c r="L432" s="8"/>
      <c r="M432" s="8"/>
      <c r="N432" s="8"/>
      <c r="O432" s="8"/>
      <c r="P432" s="8"/>
      <c r="Q432" s="8"/>
      <c r="R432" s="8"/>
      <c r="S432" s="8"/>
      <c r="T432" s="8"/>
      <c r="U432" s="8"/>
    </row>
    <row r="433" spans="1:21" ht="30" customHeight="1" x14ac:dyDescent="0.25">
      <c r="A433" s="8"/>
      <c r="B433" s="8"/>
      <c r="C433" s="8"/>
      <c r="D433" s="8"/>
      <c r="E433" s="224"/>
      <c r="F433" s="8"/>
      <c r="G433" s="8"/>
      <c r="H433" s="8"/>
      <c r="I433" s="8"/>
      <c r="J433" s="8"/>
      <c r="K433" s="8"/>
      <c r="L433" s="8"/>
      <c r="M433" s="8"/>
      <c r="N433" s="8"/>
      <c r="O433" s="8"/>
      <c r="P433" s="8"/>
      <c r="Q433" s="8"/>
      <c r="R433" s="8"/>
      <c r="S433" s="8"/>
      <c r="T433" s="8"/>
      <c r="U433" s="8"/>
    </row>
    <row r="434" spans="1:21" ht="30" customHeight="1" x14ac:dyDescent="0.25">
      <c r="A434" s="8"/>
      <c r="B434" s="8"/>
      <c r="C434" s="8"/>
      <c r="D434" s="8"/>
      <c r="E434" s="224"/>
      <c r="F434" s="8"/>
      <c r="G434" s="8"/>
      <c r="H434" s="8"/>
      <c r="I434" s="8"/>
      <c r="J434" s="8"/>
      <c r="K434" s="8"/>
      <c r="L434" s="8"/>
      <c r="M434" s="8"/>
      <c r="N434" s="8"/>
      <c r="O434" s="8"/>
      <c r="P434" s="8"/>
      <c r="Q434" s="8"/>
      <c r="R434" s="8"/>
      <c r="S434" s="8"/>
      <c r="T434" s="8"/>
      <c r="U434" s="8"/>
    </row>
    <row r="435" spans="1:21" ht="30" customHeight="1" x14ac:dyDescent="0.25">
      <c r="A435" s="8"/>
      <c r="B435" s="8"/>
      <c r="C435" s="8"/>
      <c r="D435" s="8"/>
      <c r="E435" s="224"/>
      <c r="F435" s="8"/>
      <c r="G435" s="8"/>
      <c r="H435" s="8"/>
      <c r="I435" s="8"/>
      <c r="J435" s="8"/>
      <c r="K435" s="8"/>
      <c r="L435" s="8"/>
      <c r="M435" s="8"/>
      <c r="N435" s="8"/>
      <c r="O435" s="8"/>
      <c r="P435" s="8"/>
      <c r="Q435" s="8"/>
      <c r="R435" s="8"/>
      <c r="S435" s="8"/>
      <c r="T435" s="8"/>
      <c r="U435" s="8"/>
    </row>
    <row r="436" spans="1:21" ht="30" customHeight="1" x14ac:dyDescent="0.25">
      <c r="A436" s="8"/>
      <c r="B436" s="8"/>
      <c r="C436" s="8"/>
      <c r="D436" s="8"/>
      <c r="E436" s="224"/>
      <c r="F436" s="8"/>
      <c r="G436" s="8"/>
      <c r="H436" s="8"/>
      <c r="I436" s="8"/>
      <c r="J436" s="8"/>
      <c r="K436" s="8"/>
      <c r="L436" s="8"/>
      <c r="M436" s="8"/>
      <c r="N436" s="8"/>
      <c r="O436" s="8"/>
      <c r="P436" s="8"/>
      <c r="Q436" s="8"/>
      <c r="R436" s="8"/>
      <c r="S436" s="8"/>
      <c r="T436" s="8"/>
      <c r="U436" s="8"/>
    </row>
    <row r="437" spans="1:21" ht="30" customHeight="1" x14ac:dyDescent="0.25">
      <c r="A437" s="8"/>
      <c r="B437" s="8"/>
      <c r="C437" s="8"/>
      <c r="D437" s="8"/>
      <c r="E437" s="224"/>
      <c r="F437" s="8"/>
      <c r="G437" s="8"/>
      <c r="H437" s="8"/>
      <c r="I437" s="8"/>
      <c r="J437" s="8"/>
      <c r="K437" s="8"/>
      <c r="L437" s="8"/>
      <c r="M437" s="8"/>
      <c r="N437" s="8"/>
      <c r="O437" s="8"/>
      <c r="P437" s="8"/>
      <c r="Q437" s="8"/>
      <c r="R437" s="8"/>
      <c r="S437" s="8"/>
      <c r="T437" s="8"/>
      <c r="U437" s="8"/>
    </row>
    <row r="438" spans="1:21" ht="30" customHeight="1" x14ac:dyDescent="0.25">
      <c r="A438" s="8"/>
      <c r="B438" s="8"/>
      <c r="C438" s="8"/>
      <c r="D438" s="8"/>
      <c r="E438" s="224"/>
      <c r="F438" s="8"/>
      <c r="G438" s="8"/>
      <c r="H438" s="8"/>
      <c r="I438" s="8"/>
      <c r="J438" s="8"/>
      <c r="K438" s="8"/>
      <c r="L438" s="8"/>
      <c r="M438" s="8"/>
      <c r="N438" s="8"/>
      <c r="O438" s="8"/>
      <c r="P438" s="8"/>
      <c r="Q438" s="8"/>
      <c r="R438" s="8"/>
      <c r="S438" s="8"/>
      <c r="T438" s="8"/>
      <c r="U438" s="8"/>
    </row>
    <row r="439" spans="1:21" ht="30" customHeight="1" x14ac:dyDescent="0.25">
      <c r="A439" s="8"/>
      <c r="B439" s="8"/>
      <c r="C439" s="8"/>
      <c r="D439" s="8"/>
      <c r="E439" s="224"/>
      <c r="F439" s="8"/>
      <c r="G439" s="8"/>
      <c r="H439" s="8"/>
      <c r="I439" s="8"/>
      <c r="J439" s="8"/>
      <c r="K439" s="8"/>
      <c r="L439" s="8"/>
      <c r="M439" s="8"/>
      <c r="N439" s="8"/>
      <c r="O439" s="8"/>
      <c r="P439" s="8"/>
      <c r="Q439" s="8"/>
      <c r="R439" s="8"/>
      <c r="S439" s="8"/>
      <c r="T439" s="8"/>
      <c r="U439" s="8"/>
    </row>
    <row r="440" spans="1:21" ht="30" customHeight="1" x14ac:dyDescent="0.25">
      <c r="A440" s="8"/>
      <c r="B440" s="8"/>
      <c r="C440" s="8"/>
      <c r="D440" s="8"/>
      <c r="E440" s="224"/>
      <c r="F440" s="8"/>
      <c r="G440" s="8"/>
      <c r="H440" s="8"/>
      <c r="I440" s="8"/>
      <c r="J440" s="8"/>
      <c r="K440" s="8"/>
      <c r="L440" s="8"/>
      <c r="M440" s="8"/>
      <c r="N440" s="8"/>
      <c r="O440" s="8"/>
      <c r="P440" s="8"/>
      <c r="Q440" s="8"/>
      <c r="R440" s="8"/>
      <c r="S440" s="8"/>
      <c r="T440" s="8"/>
      <c r="U440" s="8"/>
    </row>
    <row r="441" spans="1:21" ht="30" customHeight="1" x14ac:dyDescent="0.25">
      <c r="A441" s="8"/>
      <c r="B441" s="8"/>
      <c r="C441" s="8"/>
      <c r="D441" s="8"/>
      <c r="E441" s="224"/>
      <c r="F441" s="8"/>
      <c r="G441" s="8"/>
      <c r="H441" s="8"/>
      <c r="I441" s="8"/>
      <c r="J441" s="8"/>
      <c r="K441" s="8"/>
      <c r="L441" s="8"/>
      <c r="M441" s="8"/>
      <c r="N441" s="8"/>
      <c r="O441" s="8"/>
      <c r="P441" s="8"/>
      <c r="Q441" s="8"/>
      <c r="R441" s="8"/>
      <c r="S441" s="8"/>
      <c r="T441" s="8"/>
      <c r="U441" s="8"/>
    </row>
    <row r="442" spans="1:21" ht="30" customHeight="1" x14ac:dyDescent="0.25">
      <c r="A442" s="8"/>
      <c r="B442" s="8"/>
      <c r="C442" s="8"/>
      <c r="D442" s="8"/>
      <c r="E442" s="224"/>
      <c r="F442" s="8"/>
      <c r="G442" s="8"/>
      <c r="H442" s="8"/>
      <c r="I442" s="8"/>
      <c r="J442" s="8"/>
      <c r="K442" s="8"/>
      <c r="L442" s="8"/>
      <c r="M442" s="8"/>
      <c r="N442" s="8"/>
      <c r="O442" s="8"/>
      <c r="P442" s="8"/>
      <c r="Q442" s="8"/>
      <c r="R442" s="8"/>
      <c r="S442" s="8"/>
      <c r="T442" s="8"/>
      <c r="U442" s="8"/>
    </row>
    <row r="443" spans="1:21" ht="30" customHeight="1" x14ac:dyDescent="0.25">
      <c r="A443" s="8"/>
      <c r="B443" s="8"/>
      <c r="C443" s="8"/>
      <c r="D443" s="8"/>
      <c r="E443" s="224"/>
      <c r="F443" s="8"/>
      <c r="G443" s="8"/>
      <c r="H443" s="8"/>
      <c r="I443" s="8"/>
      <c r="J443" s="8"/>
      <c r="K443" s="8"/>
      <c r="L443" s="8"/>
      <c r="M443" s="8"/>
      <c r="N443" s="8"/>
      <c r="O443" s="8"/>
      <c r="P443" s="8"/>
      <c r="Q443" s="8"/>
      <c r="R443" s="8"/>
      <c r="S443" s="8"/>
      <c r="T443" s="8"/>
      <c r="U443" s="8"/>
    </row>
    <row r="444" spans="1:21" ht="30" customHeight="1" x14ac:dyDescent="0.25">
      <c r="A444" s="8"/>
      <c r="B444" s="8"/>
      <c r="C444" s="8"/>
      <c r="D444" s="8"/>
      <c r="E444" s="224"/>
      <c r="F444" s="8"/>
      <c r="G444" s="8"/>
      <c r="H444" s="8"/>
      <c r="I444" s="8"/>
      <c r="J444" s="8"/>
      <c r="K444" s="8"/>
      <c r="L444" s="8"/>
      <c r="M444" s="8"/>
      <c r="N444" s="8"/>
      <c r="O444" s="8"/>
      <c r="P444" s="8"/>
      <c r="Q444" s="8"/>
      <c r="R444" s="8"/>
      <c r="S444" s="8"/>
      <c r="T444" s="8"/>
      <c r="U444" s="8"/>
    </row>
    <row r="445" spans="1:21" ht="30" customHeight="1" x14ac:dyDescent="0.25">
      <c r="A445" s="8"/>
      <c r="B445" s="8"/>
      <c r="C445" s="8"/>
      <c r="D445" s="8"/>
      <c r="E445" s="224"/>
      <c r="F445" s="8"/>
      <c r="G445" s="8"/>
      <c r="H445" s="8"/>
      <c r="I445" s="8"/>
      <c r="J445" s="8"/>
      <c r="K445" s="8"/>
      <c r="L445" s="8"/>
      <c r="M445" s="8"/>
      <c r="N445" s="8"/>
      <c r="O445" s="8"/>
      <c r="P445" s="8"/>
      <c r="Q445" s="8"/>
      <c r="R445" s="8"/>
      <c r="S445" s="8"/>
      <c r="T445" s="8"/>
      <c r="U445" s="8"/>
    </row>
    <row r="446" spans="1:21" ht="30" customHeight="1" x14ac:dyDescent="0.25">
      <c r="A446" s="8"/>
      <c r="B446" s="8"/>
      <c r="C446" s="8"/>
      <c r="D446" s="8"/>
      <c r="E446" s="224"/>
      <c r="F446" s="8"/>
      <c r="G446" s="8"/>
      <c r="H446" s="8"/>
      <c r="I446" s="8"/>
      <c r="J446" s="8"/>
      <c r="K446" s="8"/>
      <c r="L446" s="8"/>
      <c r="M446" s="8"/>
      <c r="N446" s="8"/>
      <c r="O446" s="8"/>
      <c r="P446" s="8"/>
      <c r="Q446" s="8"/>
      <c r="R446" s="8"/>
      <c r="S446" s="8"/>
      <c r="T446" s="8"/>
      <c r="U446" s="8"/>
    </row>
    <row r="447" spans="1:21" ht="30" customHeight="1" x14ac:dyDescent="0.25">
      <c r="A447" s="8"/>
      <c r="B447" s="8"/>
      <c r="C447" s="8"/>
      <c r="D447" s="8"/>
      <c r="E447" s="224"/>
      <c r="F447" s="8"/>
      <c r="G447" s="8"/>
      <c r="H447" s="8"/>
      <c r="I447" s="8"/>
      <c r="J447" s="8"/>
      <c r="K447" s="8"/>
      <c r="L447" s="8"/>
      <c r="M447" s="8"/>
      <c r="N447" s="8"/>
      <c r="O447" s="8"/>
      <c r="P447" s="8"/>
      <c r="Q447" s="8"/>
      <c r="R447" s="8"/>
      <c r="S447" s="8"/>
      <c r="T447" s="8"/>
      <c r="U447" s="8"/>
    </row>
    <row r="448" spans="1:21" ht="30" customHeight="1" x14ac:dyDescent="0.25">
      <c r="A448" s="8"/>
      <c r="B448" s="8"/>
      <c r="C448" s="8"/>
      <c r="D448" s="8"/>
      <c r="E448" s="224"/>
      <c r="F448" s="8"/>
      <c r="G448" s="8"/>
      <c r="H448" s="8"/>
      <c r="I448" s="8"/>
      <c r="J448" s="8"/>
      <c r="K448" s="8"/>
      <c r="L448" s="8"/>
      <c r="M448" s="8"/>
      <c r="N448" s="8"/>
      <c r="O448" s="8"/>
      <c r="P448" s="8"/>
      <c r="Q448" s="8"/>
      <c r="R448" s="8"/>
      <c r="S448" s="8"/>
      <c r="T448" s="8"/>
      <c r="U448" s="8"/>
    </row>
    <row r="449" spans="1:21" ht="30" customHeight="1" x14ac:dyDescent="0.25">
      <c r="A449" s="8"/>
      <c r="B449" s="8"/>
      <c r="C449" s="8"/>
      <c r="D449" s="8"/>
      <c r="E449" s="224"/>
      <c r="F449" s="8"/>
      <c r="G449" s="8"/>
      <c r="H449" s="8"/>
      <c r="I449" s="8"/>
      <c r="J449" s="8"/>
      <c r="K449" s="8"/>
      <c r="L449" s="8"/>
      <c r="M449" s="8"/>
      <c r="N449" s="8"/>
      <c r="O449" s="8"/>
      <c r="P449" s="8"/>
      <c r="Q449" s="8"/>
      <c r="R449" s="8"/>
      <c r="S449" s="8"/>
      <c r="T449" s="8"/>
      <c r="U449" s="8"/>
    </row>
    <row r="450" spans="1:21" ht="30" customHeight="1" x14ac:dyDescent="0.25">
      <c r="A450" s="8"/>
      <c r="B450" s="8"/>
      <c r="C450" s="8"/>
      <c r="D450" s="8"/>
      <c r="E450" s="224"/>
      <c r="F450" s="8"/>
      <c r="G450" s="8"/>
      <c r="H450" s="8"/>
      <c r="I450" s="8"/>
      <c r="J450" s="8"/>
      <c r="K450" s="8"/>
      <c r="L450" s="8"/>
      <c r="M450" s="8"/>
      <c r="N450" s="8"/>
      <c r="O450" s="8"/>
      <c r="P450" s="8"/>
      <c r="Q450" s="8"/>
      <c r="R450" s="8"/>
      <c r="S450" s="8"/>
      <c r="T450" s="8"/>
      <c r="U450" s="8"/>
    </row>
    <row r="451" spans="1:21" ht="30" customHeight="1" x14ac:dyDescent="0.25">
      <c r="A451" s="8"/>
      <c r="B451" s="8"/>
      <c r="C451" s="8"/>
      <c r="D451" s="8"/>
      <c r="E451" s="224"/>
      <c r="F451" s="8"/>
      <c r="G451" s="8"/>
      <c r="H451" s="8"/>
      <c r="I451" s="8"/>
      <c r="J451" s="8"/>
      <c r="K451" s="8"/>
      <c r="L451" s="8"/>
      <c r="M451" s="8"/>
      <c r="N451" s="8"/>
      <c r="O451" s="8"/>
      <c r="P451" s="8"/>
      <c r="Q451" s="8"/>
      <c r="R451" s="8"/>
      <c r="S451" s="8"/>
      <c r="T451" s="8"/>
      <c r="U451" s="8"/>
    </row>
    <row r="452" spans="1:21" ht="30" customHeight="1" x14ac:dyDescent="0.25">
      <c r="A452" s="8"/>
      <c r="B452" s="8"/>
      <c r="C452" s="8"/>
      <c r="D452" s="8"/>
      <c r="E452" s="224"/>
      <c r="F452" s="8"/>
      <c r="G452" s="8"/>
      <c r="H452" s="8"/>
      <c r="I452" s="8"/>
      <c r="J452" s="8"/>
      <c r="K452" s="8"/>
      <c r="L452" s="8"/>
      <c r="M452" s="8"/>
      <c r="N452" s="8"/>
      <c r="O452" s="8"/>
      <c r="P452" s="8"/>
      <c r="Q452" s="8"/>
      <c r="R452" s="8"/>
      <c r="S452" s="8"/>
      <c r="T452" s="8"/>
      <c r="U452" s="8"/>
    </row>
    <row r="453" spans="1:21" ht="30" customHeight="1" x14ac:dyDescent="0.25">
      <c r="A453" s="8"/>
      <c r="B453" s="8"/>
      <c r="C453" s="8"/>
      <c r="D453" s="8"/>
      <c r="E453" s="224"/>
      <c r="F453" s="8"/>
      <c r="G453" s="8"/>
      <c r="H453" s="8"/>
      <c r="I453" s="8"/>
      <c r="J453" s="8"/>
      <c r="K453" s="8"/>
      <c r="L453" s="8"/>
      <c r="M453" s="8"/>
      <c r="N453" s="8"/>
      <c r="O453" s="8"/>
      <c r="P453" s="8"/>
      <c r="Q453" s="8"/>
      <c r="R453" s="8"/>
      <c r="S453" s="8"/>
      <c r="T453" s="8"/>
      <c r="U453" s="8"/>
    </row>
    <row r="454" spans="1:21" ht="30" customHeight="1" x14ac:dyDescent="0.25">
      <c r="A454" s="8"/>
      <c r="B454" s="8"/>
      <c r="C454" s="8"/>
      <c r="D454" s="8"/>
      <c r="E454" s="224"/>
      <c r="F454" s="8"/>
      <c r="G454" s="8"/>
      <c r="H454" s="8"/>
      <c r="I454" s="8"/>
      <c r="J454" s="8"/>
      <c r="K454" s="8"/>
      <c r="L454" s="8"/>
      <c r="M454" s="8"/>
      <c r="N454" s="8"/>
      <c r="O454" s="8"/>
      <c r="P454" s="8"/>
      <c r="Q454" s="8"/>
      <c r="R454" s="8"/>
      <c r="S454" s="8"/>
      <c r="T454" s="8"/>
      <c r="U454" s="8"/>
    </row>
    <row r="455" spans="1:21" ht="30" customHeight="1" x14ac:dyDescent="0.25">
      <c r="A455" s="8"/>
      <c r="B455" s="8"/>
      <c r="C455" s="8"/>
      <c r="D455" s="8"/>
      <c r="E455" s="224"/>
      <c r="F455" s="8"/>
      <c r="G455" s="8"/>
      <c r="H455" s="8"/>
      <c r="I455" s="8"/>
      <c r="J455" s="8"/>
      <c r="K455" s="8"/>
      <c r="L455" s="8"/>
      <c r="M455" s="8"/>
      <c r="N455" s="8"/>
      <c r="O455" s="8"/>
      <c r="P455" s="8"/>
      <c r="Q455" s="8"/>
      <c r="R455" s="8"/>
      <c r="S455" s="8"/>
      <c r="T455" s="8"/>
      <c r="U455" s="8"/>
    </row>
    <row r="456" spans="1:21" ht="30" customHeight="1" x14ac:dyDescent="0.25">
      <c r="A456" s="8"/>
      <c r="B456" s="8"/>
      <c r="C456" s="8"/>
      <c r="D456" s="8"/>
      <c r="E456" s="224"/>
      <c r="F456" s="8"/>
      <c r="G456" s="8"/>
      <c r="H456" s="8"/>
      <c r="I456" s="8"/>
      <c r="J456" s="8"/>
      <c r="K456" s="8"/>
      <c r="L456" s="8"/>
      <c r="M456" s="8"/>
      <c r="N456" s="8"/>
      <c r="O456" s="8"/>
      <c r="P456" s="8"/>
      <c r="Q456" s="8"/>
      <c r="R456" s="8"/>
      <c r="S456" s="8"/>
      <c r="T456" s="8"/>
      <c r="U456" s="8"/>
    </row>
    <row r="457" spans="1:21" ht="30" customHeight="1" x14ac:dyDescent="0.25">
      <c r="A457" s="8"/>
      <c r="B457" s="8"/>
      <c r="C457" s="8"/>
      <c r="D457" s="8"/>
      <c r="E457" s="224"/>
      <c r="F457" s="8"/>
      <c r="G457" s="8"/>
      <c r="H457" s="8"/>
      <c r="I457" s="8"/>
      <c r="J457" s="8"/>
      <c r="K457" s="8"/>
      <c r="L457" s="8"/>
      <c r="M457" s="8"/>
      <c r="N457" s="8"/>
      <c r="O457" s="8"/>
      <c r="P457" s="8"/>
      <c r="Q457" s="8"/>
      <c r="R457" s="8"/>
      <c r="S457" s="8"/>
      <c r="T457" s="8"/>
      <c r="U457" s="8"/>
    </row>
    <row r="458" spans="1:21" ht="30" customHeight="1" x14ac:dyDescent="0.25">
      <c r="A458" s="8"/>
      <c r="B458" s="8"/>
      <c r="C458" s="8"/>
      <c r="D458" s="8"/>
      <c r="E458" s="224"/>
      <c r="F458" s="8"/>
      <c r="G458" s="8"/>
      <c r="H458" s="8"/>
      <c r="I458" s="8"/>
      <c r="J458" s="8"/>
      <c r="K458" s="8"/>
      <c r="L458" s="8"/>
      <c r="M458" s="8"/>
      <c r="N458" s="8"/>
      <c r="O458" s="8"/>
      <c r="P458" s="8"/>
      <c r="Q458" s="8"/>
      <c r="R458" s="8"/>
      <c r="S458" s="8"/>
      <c r="T458" s="8"/>
      <c r="U458" s="8"/>
    </row>
    <row r="459" spans="1:21" ht="30" customHeight="1" x14ac:dyDescent="0.25">
      <c r="A459" s="8"/>
      <c r="B459" s="8"/>
      <c r="C459" s="8"/>
      <c r="D459" s="8"/>
      <c r="E459" s="224"/>
      <c r="F459" s="8"/>
      <c r="G459" s="8"/>
      <c r="H459" s="8"/>
      <c r="I459" s="8"/>
      <c r="J459" s="8"/>
      <c r="K459" s="8"/>
      <c r="L459" s="8"/>
      <c r="M459" s="8"/>
      <c r="N459" s="8"/>
      <c r="O459" s="8"/>
      <c r="P459" s="8"/>
      <c r="Q459" s="8"/>
      <c r="R459" s="8"/>
      <c r="S459" s="8"/>
      <c r="T459" s="8"/>
      <c r="U459" s="8"/>
    </row>
    <row r="460" spans="1:21" ht="30" customHeight="1" x14ac:dyDescent="0.25">
      <c r="A460" s="8"/>
      <c r="B460" s="8"/>
      <c r="C460" s="8"/>
      <c r="D460" s="8"/>
      <c r="E460" s="224"/>
      <c r="F460" s="8"/>
      <c r="G460" s="8"/>
      <c r="H460" s="8"/>
      <c r="I460" s="8"/>
      <c r="J460" s="8"/>
      <c r="K460" s="8"/>
      <c r="L460" s="8"/>
      <c r="M460" s="8"/>
      <c r="N460" s="8"/>
      <c r="O460" s="8"/>
      <c r="P460" s="8"/>
      <c r="Q460" s="8"/>
      <c r="R460" s="8"/>
      <c r="S460" s="8"/>
      <c r="T460" s="8"/>
      <c r="U460" s="8"/>
    </row>
    <row r="461" spans="1:21" ht="30" customHeight="1" x14ac:dyDescent="0.25">
      <c r="A461" s="8"/>
      <c r="B461" s="8"/>
      <c r="C461" s="8"/>
      <c r="D461" s="8"/>
      <c r="E461" s="224"/>
      <c r="F461" s="8"/>
      <c r="G461" s="8"/>
      <c r="H461" s="8"/>
      <c r="I461" s="8"/>
      <c r="J461" s="8"/>
      <c r="K461" s="8"/>
      <c r="L461" s="8"/>
      <c r="M461" s="8"/>
      <c r="N461" s="8"/>
      <c r="O461" s="8"/>
      <c r="P461" s="8"/>
      <c r="Q461" s="8"/>
      <c r="R461" s="8"/>
      <c r="S461" s="8"/>
      <c r="T461" s="8"/>
      <c r="U461" s="8"/>
    </row>
    <row r="462" spans="1:21" ht="30" customHeight="1" x14ac:dyDescent="0.25">
      <c r="A462" s="8"/>
      <c r="B462" s="8"/>
      <c r="C462" s="8"/>
      <c r="D462" s="8"/>
      <c r="E462" s="224"/>
      <c r="F462" s="8"/>
      <c r="G462" s="8"/>
      <c r="H462" s="8"/>
      <c r="I462" s="8"/>
      <c r="J462" s="8"/>
      <c r="K462" s="8"/>
      <c r="L462" s="8"/>
      <c r="M462" s="8"/>
      <c r="N462" s="8"/>
      <c r="O462" s="8"/>
      <c r="P462" s="8"/>
      <c r="Q462" s="8"/>
      <c r="R462" s="8"/>
      <c r="S462" s="8"/>
      <c r="T462" s="8"/>
      <c r="U462" s="8"/>
    </row>
    <row r="463" spans="1:21" ht="30" customHeight="1" x14ac:dyDescent="0.25">
      <c r="A463" s="8"/>
      <c r="B463" s="8"/>
      <c r="C463" s="8"/>
      <c r="D463" s="8"/>
      <c r="E463" s="224"/>
      <c r="F463" s="8"/>
      <c r="G463" s="8"/>
      <c r="H463" s="8"/>
      <c r="I463" s="8"/>
      <c r="J463" s="8"/>
      <c r="K463" s="8"/>
      <c r="L463" s="8"/>
      <c r="M463" s="8"/>
      <c r="N463" s="8"/>
      <c r="O463" s="8"/>
      <c r="P463" s="8"/>
      <c r="Q463" s="8"/>
      <c r="R463" s="8"/>
      <c r="S463" s="8"/>
      <c r="T463" s="8"/>
      <c r="U463" s="8"/>
    </row>
    <row r="464" spans="1:21" ht="30" customHeight="1" x14ac:dyDescent="0.25">
      <c r="A464" s="8"/>
      <c r="B464" s="8"/>
      <c r="C464" s="8"/>
      <c r="D464" s="8"/>
      <c r="E464" s="224"/>
      <c r="F464" s="8"/>
      <c r="G464" s="8"/>
      <c r="H464" s="8"/>
      <c r="I464" s="8"/>
      <c r="J464" s="8"/>
      <c r="K464" s="8"/>
      <c r="L464" s="8"/>
      <c r="M464" s="8"/>
      <c r="N464" s="8"/>
      <c r="O464" s="8"/>
      <c r="P464" s="8"/>
      <c r="Q464" s="8"/>
      <c r="R464" s="8"/>
      <c r="S464" s="8"/>
      <c r="T464" s="8"/>
      <c r="U464" s="8"/>
    </row>
    <row r="465" spans="1:21" ht="30" customHeight="1" x14ac:dyDescent="0.25">
      <c r="A465" s="8"/>
      <c r="B465" s="8"/>
      <c r="C465" s="8"/>
      <c r="D465" s="8"/>
      <c r="E465" s="224"/>
      <c r="F465" s="8"/>
      <c r="G465" s="8"/>
      <c r="H465" s="8"/>
      <c r="I465" s="8"/>
      <c r="J465" s="8"/>
      <c r="K465" s="8"/>
      <c r="L465" s="8"/>
      <c r="M465" s="8"/>
      <c r="N465" s="8"/>
      <c r="O465" s="8"/>
      <c r="P465" s="8"/>
      <c r="Q465" s="8"/>
      <c r="R465" s="8"/>
      <c r="S465" s="8"/>
      <c r="T465" s="8"/>
      <c r="U465" s="8"/>
    </row>
    <row r="466" spans="1:21" ht="30" customHeight="1" x14ac:dyDescent="0.25">
      <c r="A466" s="8"/>
      <c r="B466" s="8"/>
      <c r="C466" s="8"/>
      <c r="D466" s="8"/>
      <c r="E466" s="224"/>
      <c r="F466" s="8"/>
      <c r="G466" s="8"/>
      <c r="H466" s="8"/>
      <c r="I466" s="8"/>
      <c r="J466" s="8"/>
      <c r="K466" s="8"/>
      <c r="L466" s="8"/>
      <c r="M466" s="8"/>
      <c r="N466" s="8"/>
      <c r="O466" s="8"/>
      <c r="P466" s="8"/>
      <c r="Q466" s="8"/>
      <c r="R466" s="8"/>
      <c r="S466" s="8"/>
      <c r="T466" s="8"/>
      <c r="U466" s="8"/>
    </row>
    <row r="467" spans="1:21" ht="30" customHeight="1" x14ac:dyDescent="0.25">
      <c r="A467" s="8"/>
      <c r="B467" s="8"/>
      <c r="C467" s="8"/>
      <c r="D467" s="8"/>
      <c r="E467" s="224"/>
      <c r="F467" s="8"/>
      <c r="G467" s="8"/>
      <c r="H467" s="8"/>
      <c r="I467" s="8"/>
      <c r="J467" s="8"/>
      <c r="K467" s="8"/>
      <c r="L467" s="8"/>
      <c r="M467" s="8"/>
      <c r="N467" s="8"/>
      <c r="O467" s="8"/>
      <c r="P467" s="8"/>
      <c r="Q467" s="8"/>
      <c r="R467" s="8"/>
      <c r="S467" s="8"/>
      <c r="T467" s="8"/>
      <c r="U467" s="8"/>
    </row>
    <row r="468" spans="1:21" ht="30" customHeight="1" x14ac:dyDescent="0.25">
      <c r="A468" s="8"/>
      <c r="B468" s="8"/>
      <c r="C468" s="8"/>
      <c r="D468" s="8"/>
      <c r="E468" s="224"/>
      <c r="F468" s="8"/>
      <c r="G468" s="8"/>
      <c r="H468" s="8"/>
      <c r="I468" s="8"/>
      <c r="J468" s="8"/>
      <c r="K468" s="8"/>
      <c r="L468" s="8"/>
      <c r="M468" s="8"/>
      <c r="N468" s="8"/>
      <c r="O468" s="8"/>
      <c r="P468" s="8"/>
      <c r="Q468" s="8"/>
      <c r="R468" s="8"/>
      <c r="S468" s="8"/>
      <c r="T468" s="8"/>
      <c r="U468" s="8"/>
    </row>
    <row r="469" spans="1:21" ht="30" customHeight="1" x14ac:dyDescent="0.25">
      <c r="A469" s="8"/>
      <c r="B469" s="8"/>
      <c r="C469" s="8"/>
      <c r="D469" s="8"/>
      <c r="E469" s="224"/>
      <c r="F469" s="8"/>
      <c r="G469" s="8"/>
      <c r="H469" s="8"/>
      <c r="I469" s="8"/>
      <c r="J469" s="8"/>
      <c r="K469" s="8"/>
      <c r="L469" s="8"/>
      <c r="M469" s="8"/>
      <c r="N469" s="8"/>
      <c r="O469" s="8"/>
      <c r="P469" s="8"/>
      <c r="Q469" s="8"/>
      <c r="R469" s="8"/>
      <c r="S469" s="8"/>
      <c r="T469" s="8"/>
      <c r="U469" s="8"/>
    </row>
    <row r="470" spans="1:21" ht="30" customHeight="1" x14ac:dyDescent="0.25">
      <c r="A470" s="8"/>
      <c r="B470" s="8"/>
      <c r="C470" s="8"/>
      <c r="D470" s="8"/>
      <c r="E470" s="224"/>
      <c r="F470" s="8"/>
      <c r="G470" s="8"/>
      <c r="H470" s="8"/>
      <c r="I470" s="8"/>
      <c r="J470" s="8"/>
      <c r="K470" s="8"/>
      <c r="L470" s="8"/>
      <c r="M470" s="8"/>
      <c r="N470" s="8"/>
      <c r="O470" s="8"/>
      <c r="P470" s="8"/>
      <c r="Q470" s="8"/>
      <c r="R470" s="8"/>
      <c r="S470" s="8"/>
      <c r="T470" s="8"/>
      <c r="U470" s="8"/>
    </row>
    <row r="471" spans="1:21" ht="30" customHeight="1" x14ac:dyDescent="0.25">
      <c r="A471" s="8"/>
      <c r="B471" s="8"/>
      <c r="C471" s="8"/>
      <c r="D471" s="8"/>
      <c r="E471" s="224"/>
      <c r="F471" s="8"/>
      <c r="G471" s="8"/>
      <c r="H471" s="8"/>
      <c r="I471" s="8"/>
      <c r="J471" s="8"/>
      <c r="K471" s="8"/>
      <c r="L471" s="8"/>
      <c r="M471" s="8"/>
      <c r="N471" s="8"/>
      <c r="O471" s="8"/>
      <c r="P471" s="8"/>
      <c r="Q471" s="8"/>
      <c r="R471" s="8"/>
      <c r="S471" s="8"/>
      <c r="T471" s="8"/>
      <c r="U471" s="8"/>
    </row>
    <row r="472" spans="1:21" ht="30" customHeight="1" x14ac:dyDescent="0.25">
      <c r="A472" s="8"/>
      <c r="B472" s="8"/>
      <c r="C472" s="8"/>
      <c r="D472" s="8"/>
      <c r="E472" s="224"/>
      <c r="F472" s="8"/>
      <c r="G472" s="8"/>
      <c r="H472" s="8"/>
      <c r="I472" s="8"/>
      <c r="J472" s="8"/>
      <c r="K472" s="8"/>
      <c r="L472" s="8"/>
      <c r="M472" s="8"/>
      <c r="N472" s="8"/>
      <c r="O472" s="8"/>
      <c r="P472" s="8"/>
      <c r="Q472" s="8"/>
      <c r="R472" s="8"/>
      <c r="S472" s="8"/>
      <c r="T472" s="8"/>
      <c r="U472" s="8"/>
    </row>
    <row r="473" spans="1:21" ht="30" customHeight="1" x14ac:dyDescent="0.25">
      <c r="A473" s="8"/>
      <c r="B473" s="8"/>
      <c r="C473" s="8"/>
      <c r="D473" s="8"/>
      <c r="E473" s="224"/>
      <c r="F473" s="8"/>
      <c r="G473" s="8"/>
      <c r="H473" s="8"/>
      <c r="I473" s="8"/>
      <c r="J473" s="8"/>
      <c r="K473" s="8"/>
      <c r="L473" s="8"/>
      <c r="M473" s="8"/>
      <c r="N473" s="8"/>
      <c r="O473" s="8"/>
      <c r="P473" s="8"/>
      <c r="Q473" s="8"/>
      <c r="R473" s="8"/>
      <c r="S473" s="8"/>
      <c r="T473" s="8"/>
      <c r="U473" s="8"/>
    </row>
    <row r="474" spans="1:21" ht="30" customHeight="1" x14ac:dyDescent="0.25">
      <c r="A474" s="8"/>
      <c r="B474" s="8"/>
      <c r="C474" s="8"/>
      <c r="D474" s="8"/>
      <c r="E474" s="224"/>
      <c r="F474" s="8"/>
      <c r="G474" s="8"/>
      <c r="H474" s="8"/>
      <c r="I474" s="8"/>
      <c r="J474" s="8"/>
      <c r="K474" s="8"/>
      <c r="L474" s="8"/>
      <c r="M474" s="8"/>
      <c r="N474" s="8"/>
      <c r="O474" s="8"/>
      <c r="P474" s="8"/>
      <c r="Q474" s="8"/>
      <c r="R474" s="8"/>
      <c r="S474" s="8"/>
      <c r="T474" s="8"/>
      <c r="U474" s="8"/>
    </row>
    <row r="475" spans="1:21" ht="30" customHeight="1" x14ac:dyDescent="0.25">
      <c r="A475" s="8"/>
      <c r="B475" s="8"/>
      <c r="C475" s="8"/>
      <c r="D475" s="8"/>
      <c r="E475" s="224"/>
      <c r="F475" s="8"/>
      <c r="G475" s="8"/>
      <c r="H475" s="8"/>
      <c r="I475" s="8"/>
      <c r="J475" s="8"/>
      <c r="K475" s="8"/>
      <c r="L475" s="8"/>
      <c r="M475" s="8"/>
      <c r="N475" s="8"/>
      <c r="O475" s="8"/>
      <c r="P475" s="8"/>
      <c r="Q475" s="8"/>
      <c r="R475" s="8"/>
      <c r="S475" s="8"/>
      <c r="T475" s="8"/>
      <c r="U475" s="8"/>
    </row>
    <row r="476" spans="1:21" ht="30" customHeight="1" x14ac:dyDescent="0.25">
      <c r="A476" s="8"/>
      <c r="B476" s="8"/>
      <c r="C476" s="8"/>
      <c r="D476" s="8"/>
      <c r="E476" s="224"/>
      <c r="F476" s="8"/>
      <c r="G476" s="8"/>
      <c r="H476" s="8"/>
      <c r="I476" s="8"/>
      <c r="J476" s="8"/>
      <c r="K476" s="8"/>
      <c r="L476" s="8"/>
      <c r="M476" s="8"/>
      <c r="N476" s="8"/>
      <c r="O476" s="8"/>
      <c r="P476" s="8"/>
      <c r="Q476" s="8"/>
      <c r="R476" s="8"/>
      <c r="S476" s="8"/>
      <c r="T476" s="8"/>
      <c r="U476" s="8"/>
    </row>
    <row r="477" spans="1:21" ht="30" customHeight="1" x14ac:dyDescent="0.25">
      <c r="A477" s="8"/>
      <c r="B477" s="8"/>
      <c r="C477" s="8"/>
      <c r="D477" s="8"/>
      <c r="E477" s="224"/>
      <c r="F477" s="8"/>
      <c r="G477" s="8"/>
      <c r="H477" s="8"/>
      <c r="I477" s="8"/>
      <c r="J477" s="8"/>
      <c r="K477" s="8"/>
      <c r="L477" s="8"/>
      <c r="M477" s="8"/>
      <c r="N477" s="8"/>
      <c r="O477" s="8"/>
      <c r="P477" s="8"/>
      <c r="Q477" s="8"/>
      <c r="R477" s="8"/>
      <c r="S477" s="8"/>
      <c r="T477" s="8"/>
      <c r="U477" s="8"/>
    </row>
    <row r="478" spans="1:21" ht="30" customHeight="1" x14ac:dyDescent="0.25">
      <c r="A478" s="8"/>
      <c r="B478" s="8"/>
      <c r="C478" s="8"/>
      <c r="D478" s="8"/>
      <c r="E478" s="224"/>
      <c r="F478" s="8"/>
      <c r="G478" s="8"/>
      <c r="H478" s="8"/>
      <c r="I478" s="8"/>
      <c r="J478" s="8"/>
      <c r="K478" s="8"/>
      <c r="L478" s="8"/>
      <c r="M478" s="8"/>
      <c r="N478" s="8"/>
      <c r="O478" s="8"/>
      <c r="P478" s="8"/>
      <c r="Q478" s="8"/>
      <c r="R478" s="8"/>
      <c r="S478" s="8"/>
      <c r="T478" s="8"/>
      <c r="U478" s="8"/>
    </row>
    <row r="479" spans="1:21" ht="30" customHeight="1" x14ac:dyDescent="0.25">
      <c r="A479" s="8"/>
      <c r="B479" s="8"/>
      <c r="C479" s="8"/>
      <c r="D479" s="8"/>
      <c r="E479" s="224"/>
      <c r="F479" s="8"/>
      <c r="G479" s="8"/>
      <c r="H479" s="8"/>
      <c r="I479" s="8"/>
      <c r="J479" s="8"/>
      <c r="K479" s="8"/>
      <c r="L479" s="8"/>
      <c r="M479" s="8"/>
      <c r="N479" s="8"/>
      <c r="O479" s="8"/>
      <c r="P479" s="8"/>
      <c r="Q479" s="8"/>
      <c r="R479" s="8"/>
      <c r="S479" s="8"/>
      <c r="T479" s="8"/>
      <c r="U479" s="8"/>
    </row>
    <row r="480" spans="1:21" ht="30" customHeight="1" x14ac:dyDescent="0.25">
      <c r="A480" s="8"/>
      <c r="B480" s="8"/>
      <c r="C480" s="8"/>
      <c r="D480" s="8"/>
      <c r="E480" s="224"/>
      <c r="F480" s="8"/>
      <c r="G480" s="8"/>
      <c r="H480" s="8"/>
      <c r="I480" s="8"/>
      <c r="J480" s="8"/>
      <c r="K480" s="8"/>
      <c r="L480" s="8"/>
      <c r="M480" s="8"/>
      <c r="N480" s="8"/>
      <c r="O480" s="8"/>
      <c r="P480" s="8"/>
      <c r="Q480" s="8"/>
      <c r="R480" s="8"/>
      <c r="S480" s="8"/>
      <c r="T480" s="8"/>
      <c r="U480" s="8"/>
    </row>
    <row r="481" spans="1:21" ht="30" customHeight="1" x14ac:dyDescent="0.25">
      <c r="A481" s="8"/>
      <c r="B481" s="8"/>
      <c r="C481" s="8"/>
      <c r="D481" s="8"/>
      <c r="E481" s="224"/>
      <c r="F481" s="8"/>
      <c r="G481" s="8"/>
      <c r="H481" s="8"/>
      <c r="I481" s="8"/>
      <c r="J481" s="8"/>
      <c r="K481" s="8"/>
      <c r="L481" s="8"/>
      <c r="M481" s="8"/>
      <c r="N481" s="8"/>
      <c r="O481" s="8"/>
      <c r="P481" s="8"/>
      <c r="Q481" s="8"/>
      <c r="R481" s="8"/>
      <c r="S481" s="8"/>
      <c r="T481" s="8"/>
      <c r="U481" s="8"/>
    </row>
    <row r="482" spans="1:21" ht="30" customHeight="1" x14ac:dyDescent="0.25">
      <c r="A482" s="8"/>
      <c r="B482" s="8"/>
      <c r="C482" s="8"/>
      <c r="D482" s="8"/>
      <c r="E482" s="224"/>
      <c r="F482" s="8"/>
      <c r="G482" s="8"/>
      <c r="H482" s="8"/>
      <c r="I482" s="8"/>
      <c r="J482" s="8"/>
      <c r="K482" s="8"/>
      <c r="L482" s="8"/>
      <c r="M482" s="8"/>
      <c r="N482" s="8"/>
      <c r="O482" s="8"/>
      <c r="P482" s="8"/>
      <c r="Q482" s="8"/>
      <c r="R482" s="8"/>
      <c r="S482" s="8"/>
      <c r="T482" s="8"/>
      <c r="U482" s="8"/>
    </row>
    <row r="483" spans="1:21" ht="30" customHeight="1" x14ac:dyDescent="0.25">
      <c r="A483" s="8"/>
      <c r="B483" s="8"/>
      <c r="C483" s="8"/>
      <c r="D483" s="8"/>
      <c r="E483" s="224"/>
      <c r="F483" s="8"/>
      <c r="G483" s="8"/>
      <c r="H483" s="8"/>
      <c r="I483" s="8"/>
      <c r="J483" s="8"/>
      <c r="K483" s="8"/>
      <c r="L483" s="8"/>
      <c r="M483" s="8"/>
      <c r="N483" s="8"/>
      <c r="O483" s="8"/>
      <c r="P483" s="8"/>
      <c r="Q483" s="8"/>
      <c r="R483" s="8"/>
      <c r="S483" s="8"/>
      <c r="T483" s="8"/>
      <c r="U483" s="8"/>
    </row>
    <row r="484" spans="1:21" ht="30" customHeight="1" x14ac:dyDescent="0.25">
      <c r="A484" s="8"/>
      <c r="B484" s="8"/>
      <c r="C484" s="8"/>
      <c r="D484" s="8"/>
      <c r="E484" s="224"/>
      <c r="F484" s="8"/>
      <c r="G484" s="8"/>
      <c r="H484" s="8"/>
      <c r="I484" s="8"/>
      <c r="J484" s="8"/>
      <c r="K484" s="8"/>
      <c r="L484" s="8"/>
      <c r="M484" s="8"/>
      <c r="N484" s="8"/>
      <c r="O484" s="8"/>
      <c r="P484" s="8"/>
      <c r="Q484" s="8"/>
      <c r="R484" s="8"/>
      <c r="S484" s="8"/>
      <c r="T484" s="8"/>
      <c r="U484" s="8"/>
    </row>
    <row r="485" spans="1:21" ht="30" customHeight="1" x14ac:dyDescent="0.25">
      <c r="A485" s="8"/>
      <c r="B485" s="8"/>
      <c r="C485" s="8"/>
      <c r="D485" s="8"/>
      <c r="E485" s="224"/>
      <c r="F485" s="8"/>
      <c r="G485" s="8"/>
      <c r="H485" s="8"/>
      <c r="I485" s="8"/>
      <c r="J485" s="8"/>
      <c r="K485" s="8"/>
      <c r="L485" s="8"/>
      <c r="M485" s="8"/>
      <c r="N485" s="8"/>
      <c r="O485" s="8"/>
      <c r="P485" s="8"/>
      <c r="Q485" s="8"/>
      <c r="R485" s="8"/>
      <c r="S485" s="8"/>
      <c r="T485" s="8"/>
      <c r="U485" s="8"/>
    </row>
    <row r="486" spans="1:21" ht="30" customHeight="1" x14ac:dyDescent="0.25">
      <c r="A486" s="8"/>
      <c r="B486" s="8"/>
      <c r="C486" s="8"/>
      <c r="D486" s="8"/>
      <c r="E486" s="224"/>
      <c r="F486" s="8"/>
      <c r="G486" s="8"/>
      <c r="H486" s="8"/>
      <c r="I486" s="8"/>
      <c r="J486" s="8"/>
      <c r="K486" s="8"/>
      <c r="L486" s="8"/>
      <c r="M486" s="8"/>
      <c r="N486" s="8"/>
      <c r="O486" s="8"/>
      <c r="P486" s="8"/>
      <c r="Q486" s="8"/>
      <c r="R486" s="8"/>
      <c r="S486" s="8"/>
      <c r="T486" s="8"/>
      <c r="U486" s="8"/>
    </row>
    <row r="487" spans="1:21" ht="30" customHeight="1" x14ac:dyDescent="0.25">
      <c r="A487" s="8"/>
      <c r="B487" s="8"/>
      <c r="C487" s="8"/>
      <c r="D487" s="8"/>
      <c r="E487" s="224"/>
      <c r="F487" s="8"/>
      <c r="G487" s="8"/>
      <c r="H487" s="8"/>
      <c r="I487" s="8"/>
      <c r="J487" s="8"/>
      <c r="K487" s="8"/>
      <c r="L487" s="8"/>
      <c r="M487" s="8"/>
      <c r="N487" s="8"/>
      <c r="O487" s="8"/>
      <c r="P487" s="8"/>
      <c r="Q487" s="8"/>
      <c r="R487" s="8"/>
      <c r="S487" s="8"/>
      <c r="T487" s="8"/>
      <c r="U487" s="8"/>
    </row>
    <row r="488" spans="1:21" ht="30" customHeight="1" x14ac:dyDescent="0.25">
      <c r="A488" s="8"/>
      <c r="B488" s="8"/>
      <c r="C488" s="8"/>
      <c r="D488" s="8"/>
      <c r="E488" s="224"/>
      <c r="F488" s="8"/>
      <c r="G488" s="8"/>
      <c r="H488" s="8"/>
      <c r="I488" s="8"/>
      <c r="J488" s="8"/>
      <c r="K488" s="8"/>
      <c r="L488" s="8"/>
      <c r="M488" s="8"/>
      <c r="N488" s="8"/>
      <c r="O488" s="8"/>
      <c r="P488" s="8"/>
      <c r="Q488" s="8"/>
      <c r="R488" s="8"/>
      <c r="S488" s="8"/>
      <c r="T488" s="8"/>
      <c r="U488" s="8"/>
    </row>
    <row r="489" spans="1:21" ht="30" customHeight="1" x14ac:dyDescent="0.25">
      <c r="A489" s="8"/>
      <c r="B489" s="8"/>
      <c r="C489" s="8"/>
      <c r="D489" s="8"/>
      <c r="E489" s="224"/>
      <c r="F489" s="8"/>
      <c r="G489" s="8"/>
      <c r="H489" s="8"/>
      <c r="I489" s="8"/>
      <c r="J489" s="8"/>
      <c r="K489" s="8"/>
      <c r="L489" s="8"/>
      <c r="M489" s="8"/>
      <c r="N489" s="8"/>
      <c r="O489" s="8"/>
      <c r="P489" s="8"/>
      <c r="Q489" s="8"/>
      <c r="R489" s="8"/>
      <c r="S489" s="8"/>
      <c r="T489" s="8"/>
      <c r="U489" s="8"/>
    </row>
    <row r="490" spans="1:21" ht="30" customHeight="1" x14ac:dyDescent="0.25">
      <c r="A490" s="8"/>
      <c r="B490" s="8"/>
      <c r="C490" s="8"/>
      <c r="D490" s="8"/>
      <c r="E490" s="224"/>
      <c r="F490" s="8"/>
      <c r="G490" s="8"/>
      <c r="H490" s="8"/>
      <c r="I490" s="8"/>
      <c r="J490" s="8"/>
      <c r="K490" s="8"/>
      <c r="L490" s="8"/>
      <c r="M490" s="8"/>
      <c r="N490" s="8"/>
      <c r="O490" s="8"/>
      <c r="P490" s="8"/>
      <c r="Q490" s="8"/>
      <c r="R490" s="8"/>
      <c r="S490" s="8"/>
      <c r="T490" s="8"/>
      <c r="U490" s="8"/>
    </row>
    <row r="491" spans="1:21" ht="30" customHeight="1" x14ac:dyDescent="0.25">
      <c r="A491" s="8"/>
      <c r="B491" s="8"/>
      <c r="C491" s="8"/>
      <c r="D491" s="8"/>
      <c r="E491" s="224"/>
      <c r="F491" s="8"/>
      <c r="G491" s="8"/>
      <c r="H491" s="8"/>
      <c r="I491" s="8"/>
      <c r="J491" s="8"/>
      <c r="K491" s="8"/>
      <c r="L491" s="8"/>
      <c r="M491" s="8"/>
      <c r="N491" s="8"/>
      <c r="O491" s="8"/>
      <c r="P491" s="8"/>
      <c r="Q491" s="8"/>
      <c r="R491" s="8"/>
      <c r="S491" s="8"/>
      <c r="T491" s="8"/>
      <c r="U491" s="8"/>
    </row>
    <row r="492" spans="1:21" ht="30" customHeight="1" x14ac:dyDescent="0.25">
      <c r="A492" s="8"/>
      <c r="B492" s="8"/>
      <c r="C492" s="8"/>
      <c r="D492" s="8"/>
      <c r="E492" s="224"/>
      <c r="F492" s="8"/>
      <c r="G492" s="8"/>
      <c r="H492" s="8"/>
      <c r="I492" s="8"/>
      <c r="J492" s="8"/>
      <c r="K492" s="8"/>
      <c r="L492" s="8"/>
      <c r="M492" s="8"/>
      <c r="N492" s="8"/>
      <c r="O492" s="8"/>
      <c r="P492" s="8"/>
      <c r="Q492" s="8"/>
      <c r="R492" s="8"/>
      <c r="S492" s="8"/>
      <c r="T492" s="8"/>
      <c r="U492" s="8"/>
    </row>
    <row r="493" spans="1:21" ht="30" customHeight="1" x14ac:dyDescent="0.25">
      <c r="A493" s="8"/>
      <c r="B493" s="8"/>
      <c r="C493" s="8"/>
      <c r="D493" s="8"/>
      <c r="E493" s="224"/>
      <c r="F493" s="8"/>
      <c r="G493" s="8"/>
      <c r="H493" s="8"/>
      <c r="I493" s="8"/>
      <c r="J493" s="8"/>
      <c r="K493" s="8"/>
      <c r="L493" s="8"/>
      <c r="M493" s="8"/>
      <c r="N493" s="8"/>
      <c r="O493" s="8"/>
      <c r="P493" s="8"/>
      <c r="Q493" s="8"/>
      <c r="R493" s="8"/>
      <c r="S493" s="8"/>
      <c r="T493" s="8"/>
      <c r="U493" s="8"/>
    </row>
    <row r="494" spans="1:21" ht="30" customHeight="1" x14ac:dyDescent="0.25">
      <c r="A494" s="8"/>
      <c r="B494" s="8"/>
      <c r="C494" s="8"/>
      <c r="D494" s="8"/>
      <c r="E494" s="224"/>
      <c r="F494" s="8"/>
      <c r="G494" s="8"/>
      <c r="H494" s="8"/>
      <c r="I494" s="8"/>
      <c r="J494" s="8"/>
      <c r="K494" s="8"/>
      <c r="L494" s="8"/>
      <c r="M494" s="8"/>
      <c r="N494" s="8"/>
      <c r="O494" s="8"/>
      <c r="P494" s="8"/>
      <c r="Q494" s="8"/>
      <c r="R494" s="8"/>
      <c r="S494" s="8"/>
      <c r="T494" s="8"/>
      <c r="U494" s="8"/>
    </row>
    <row r="495" spans="1:21" ht="30" customHeight="1" x14ac:dyDescent="0.25">
      <c r="A495" s="8"/>
      <c r="B495" s="8"/>
      <c r="C495" s="8"/>
      <c r="D495" s="8"/>
      <c r="E495" s="224"/>
      <c r="F495" s="8"/>
      <c r="G495" s="8"/>
      <c r="H495" s="8"/>
      <c r="I495" s="8"/>
      <c r="J495" s="8"/>
      <c r="K495" s="8"/>
      <c r="L495" s="8"/>
      <c r="M495" s="8"/>
      <c r="N495" s="8"/>
      <c r="O495" s="8"/>
      <c r="P495" s="8"/>
      <c r="Q495" s="8"/>
      <c r="R495" s="8"/>
      <c r="S495" s="8"/>
      <c r="T495" s="8"/>
      <c r="U495" s="8"/>
    </row>
    <row r="496" spans="1:21" ht="30" customHeight="1" x14ac:dyDescent="0.25">
      <c r="A496" s="8"/>
      <c r="B496" s="8"/>
      <c r="C496" s="8"/>
      <c r="D496" s="8"/>
      <c r="E496" s="224"/>
      <c r="F496" s="8"/>
      <c r="G496" s="8"/>
      <c r="H496" s="8"/>
      <c r="I496" s="8"/>
      <c r="J496" s="8"/>
      <c r="K496" s="8"/>
      <c r="L496" s="8"/>
      <c r="M496" s="8"/>
      <c r="N496" s="8"/>
      <c r="O496" s="8"/>
      <c r="P496" s="8"/>
      <c r="Q496" s="8"/>
      <c r="R496" s="8"/>
      <c r="S496" s="8"/>
      <c r="T496" s="8"/>
      <c r="U496" s="8"/>
    </row>
    <row r="497" spans="1:21" ht="30" customHeight="1" x14ac:dyDescent="0.25">
      <c r="A497" s="8"/>
      <c r="B497" s="8"/>
      <c r="C497" s="8"/>
      <c r="D497" s="8"/>
      <c r="E497" s="224"/>
      <c r="F497" s="8"/>
      <c r="G497" s="8"/>
      <c r="H497" s="8"/>
      <c r="I497" s="8"/>
      <c r="J497" s="8"/>
      <c r="K497" s="8"/>
      <c r="L497" s="8"/>
      <c r="M497" s="8"/>
      <c r="N497" s="8"/>
      <c r="O497" s="8"/>
      <c r="P497" s="8"/>
      <c r="Q497" s="8"/>
      <c r="R497" s="8"/>
      <c r="S497" s="8"/>
      <c r="T497" s="8"/>
      <c r="U497" s="8"/>
    </row>
    <row r="498" spans="1:21" ht="30" customHeight="1" x14ac:dyDescent="0.25">
      <c r="A498" s="8"/>
      <c r="B498" s="8"/>
      <c r="C498" s="8"/>
      <c r="D498" s="8"/>
      <c r="E498" s="224"/>
      <c r="F498" s="8"/>
      <c r="G498" s="8"/>
      <c r="H498" s="8"/>
      <c r="I498" s="8"/>
      <c r="J498" s="8"/>
      <c r="K498" s="8"/>
      <c r="L498" s="8"/>
      <c r="M498" s="8"/>
      <c r="N498" s="8"/>
      <c r="O498" s="8"/>
      <c r="P498" s="8"/>
      <c r="Q498" s="8"/>
      <c r="R498" s="8"/>
      <c r="S498" s="8"/>
      <c r="T498" s="8"/>
      <c r="U498" s="8"/>
    </row>
    <row r="499" spans="1:21" ht="30" customHeight="1" x14ac:dyDescent="0.25">
      <c r="A499" s="8"/>
      <c r="B499" s="8"/>
      <c r="C499" s="8"/>
      <c r="D499" s="8"/>
      <c r="E499" s="224"/>
      <c r="F499" s="8"/>
      <c r="G499" s="8"/>
      <c r="H499" s="8"/>
      <c r="I499" s="8"/>
      <c r="J499" s="8"/>
      <c r="K499" s="8"/>
      <c r="L499" s="8"/>
      <c r="M499" s="8"/>
      <c r="N499" s="8"/>
      <c r="O499" s="8"/>
      <c r="P499" s="8"/>
      <c r="Q499" s="8"/>
      <c r="R499" s="8"/>
      <c r="S499" s="8"/>
      <c r="T499" s="8"/>
      <c r="U499" s="8"/>
    </row>
    <row r="500" spans="1:21" ht="30" customHeight="1" x14ac:dyDescent="0.25">
      <c r="A500" s="8"/>
      <c r="B500" s="8"/>
      <c r="C500" s="8"/>
      <c r="D500" s="8"/>
      <c r="E500" s="224"/>
      <c r="F500" s="8"/>
      <c r="G500" s="8"/>
      <c r="H500" s="8"/>
      <c r="I500" s="8"/>
      <c r="J500" s="8"/>
      <c r="K500" s="8"/>
      <c r="L500" s="8"/>
      <c r="M500" s="8"/>
      <c r="N500" s="8"/>
      <c r="O500" s="8"/>
      <c r="P500" s="8"/>
      <c r="Q500" s="8"/>
      <c r="R500" s="8"/>
      <c r="S500" s="8"/>
      <c r="T500" s="8"/>
      <c r="U500" s="8"/>
    </row>
    <row r="501" spans="1:21" ht="30" customHeight="1" x14ac:dyDescent="0.25">
      <c r="A501" s="8"/>
      <c r="B501" s="8"/>
      <c r="C501" s="8"/>
      <c r="D501" s="8"/>
      <c r="E501" s="224"/>
      <c r="F501" s="8"/>
      <c r="G501" s="8"/>
      <c r="H501" s="8"/>
      <c r="I501" s="8"/>
      <c r="J501" s="8"/>
      <c r="K501" s="8"/>
      <c r="L501" s="8"/>
      <c r="M501" s="8"/>
      <c r="N501" s="8"/>
      <c r="O501" s="8"/>
      <c r="P501" s="8"/>
      <c r="Q501" s="8"/>
      <c r="R501" s="8"/>
      <c r="S501" s="8"/>
      <c r="T501" s="8"/>
      <c r="U501" s="8"/>
    </row>
    <row r="502" spans="1:21" ht="30" customHeight="1" x14ac:dyDescent="0.25">
      <c r="A502" s="8"/>
      <c r="B502" s="8"/>
      <c r="C502" s="8"/>
      <c r="D502" s="8"/>
      <c r="E502" s="224"/>
      <c r="F502" s="8"/>
      <c r="G502" s="8"/>
      <c r="H502" s="8"/>
      <c r="I502" s="8"/>
      <c r="J502" s="8"/>
      <c r="K502" s="8"/>
      <c r="L502" s="8"/>
      <c r="M502" s="8"/>
      <c r="N502" s="8"/>
      <c r="O502" s="8"/>
      <c r="P502" s="8"/>
      <c r="Q502" s="8"/>
      <c r="R502" s="8"/>
      <c r="S502" s="8"/>
      <c r="T502" s="8"/>
      <c r="U502" s="8"/>
    </row>
    <row r="503" spans="1:21" ht="30" customHeight="1" x14ac:dyDescent="0.25">
      <c r="A503" s="8"/>
      <c r="B503" s="8"/>
      <c r="C503" s="8"/>
      <c r="D503" s="8"/>
      <c r="E503" s="224"/>
      <c r="F503" s="8"/>
      <c r="G503" s="8"/>
      <c r="H503" s="8"/>
      <c r="I503" s="8"/>
      <c r="J503" s="8"/>
      <c r="K503" s="8"/>
      <c r="L503" s="8"/>
      <c r="M503" s="8"/>
      <c r="N503" s="8"/>
      <c r="O503" s="8"/>
      <c r="P503" s="8"/>
      <c r="Q503" s="8"/>
      <c r="R503" s="8"/>
      <c r="S503" s="8"/>
      <c r="T503" s="8"/>
      <c r="U503" s="8"/>
    </row>
    <row r="504" spans="1:21" ht="30" customHeight="1" x14ac:dyDescent="0.25">
      <c r="A504" s="8"/>
      <c r="B504" s="8"/>
      <c r="C504" s="8"/>
      <c r="D504" s="8"/>
      <c r="E504" s="224"/>
      <c r="F504" s="8"/>
      <c r="G504" s="8"/>
      <c r="H504" s="8"/>
      <c r="I504" s="8"/>
      <c r="J504" s="8"/>
      <c r="K504" s="8"/>
      <c r="L504" s="8"/>
      <c r="M504" s="8"/>
      <c r="N504" s="8"/>
      <c r="O504" s="8"/>
      <c r="P504" s="8"/>
      <c r="Q504" s="8"/>
      <c r="R504" s="8"/>
      <c r="S504" s="8"/>
      <c r="T504" s="8"/>
      <c r="U504" s="8"/>
    </row>
    <row r="505" spans="1:21" ht="30" customHeight="1" x14ac:dyDescent="0.25">
      <c r="A505" s="8"/>
      <c r="B505" s="8"/>
      <c r="C505" s="8"/>
      <c r="D505" s="8"/>
      <c r="E505" s="224"/>
      <c r="F505" s="8"/>
      <c r="G505" s="8"/>
      <c r="H505" s="8"/>
      <c r="I505" s="8"/>
      <c r="J505" s="8"/>
      <c r="K505" s="8"/>
      <c r="L505" s="8"/>
      <c r="M505" s="8"/>
      <c r="N505" s="8"/>
      <c r="O505" s="8"/>
      <c r="P505" s="8"/>
      <c r="Q505" s="8"/>
      <c r="R505" s="8"/>
      <c r="S505" s="8"/>
      <c r="T505" s="8"/>
      <c r="U505" s="8"/>
    </row>
    <row r="506" spans="1:21" ht="30" customHeight="1" x14ac:dyDescent="0.25">
      <c r="A506" s="8"/>
      <c r="B506" s="8"/>
      <c r="C506" s="8"/>
      <c r="D506" s="8"/>
      <c r="E506" s="224"/>
      <c r="F506" s="8"/>
      <c r="G506" s="8"/>
      <c r="H506" s="8"/>
      <c r="I506" s="8"/>
      <c r="J506" s="8"/>
      <c r="K506" s="8"/>
      <c r="L506" s="8"/>
      <c r="M506" s="8"/>
      <c r="N506" s="8"/>
      <c r="O506" s="8"/>
      <c r="P506" s="8"/>
      <c r="Q506" s="8"/>
      <c r="R506" s="8"/>
      <c r="S506" s="8"/>
      <c r="T506" s="8"/>
      <c r="U506" s="8"/>
    </row>
    <row r="507" spans="1:21" ht="30" customHeight="1" x14ac:dyDescent="0.25">
      <c r="A507" s="8"/>
      <c r="B507" s="8"/>
      <c r="C507" s="8"/>
      <c r="D507" s="8"/>
      <c r="E507" s="224"/>
      <c r="F507" s="8"/>
      <c r="G507" s="8"/>
      <c r="H507" s="8"/>
      <c r="I507" s="8"/>
      <c r="J507" s="8"/>
      <c r="K507" s="8"/>
      <c r="L507" s="8"/>
      <c r="M507" s="8"/>
      <c r="N507" s="8"/>
      <c r="O507" s="8"/>
      <c r="P507" s="8"/>
      <c r="Q507" s="8"/>
      <c r="R507" s="8"/>
      <c r="S507" s="8"/>
      <c r="T507" s="8"/>
      <c r="U507" s="8"/>
    </row>
    <row r="508" spans="1:21" ht="30" customHeight="1" x14ac:dyDescent="0.25">
      <c r="A508" s="8"/>
      <c r="B508" s="8"/>
      <c r="C508" s="8"/>
      <c r="D508" s="8"/>
      <c r="E508" s="224"/>
      <c r="F508" s="8"/>
      <c r="G508" s="8"/>
      <c r="H508" s="8"/>
      <c r="I508" s="8"/>
      <c r="J508" s="8"/>
      <c r="K508" s="8"/>
      <c r="L508" s="8"/>
      <c r="M508" s="8"/>
      <c r="N508" s="8"/>
      <c r="O508" s="8"/>
      <c r="P508" s="8"/>
      <c r="Q508" s="8"/>
      <c r="R508" s="8"/>
      <c r="S508" s="8"/>
      <c r="T508" s="8"/>
      <c r="U508" s="8"/>
    </row>
    <row r="509" spans="1:21" ht="30" customHeight="1" x14ac:dyDescent="0.25">
      <c r="A509" s="8"/>
      <c r="B509" s="8"/>
      <c r="C509" s="8"/>
      <c r="D509" s="8"/>
      <c r="E509" s="224"/>
      <c r="F509" s="8"/>
      <c r="G509" s="8"/>
      <c r="H509" s="8"/>
      <c r="I509" s="8"/>
      <c r="J509" s="8"/>
      <c r="K509" s="8"/>
      <c r="L509" s="8"/>
      <c r="M509" s="8"/>
      <c r="N509" s="8"/>
      <c r="O509" s="8"/>
      <c r="P509" s="8"/>
      <c r="Q509" s="8"/>
      <c r="R509" s="8"/>
      <c r="S509" s="8"/>
      <c r="T509" s="8"/>
      <c r="U509" s="8"/>
    </row>
    <row r="510" spans="1:21" ht="30" customHeight="1" x14ac:dyDescent="0.25">
      <c r="A510" s="8"/>
      <c r="B510" s="8"/>
      <c r="C510" s="8"/>
      <c r="D510" s="8"/>
      <c r="E510" s="224"/>
      <c r="F510" s="8"/>
      <c r="G510" s="8"/>
      <c r="H510" s="8"/>
      <c r="I510" s="8"/>
      <c r="J510" s="8"/>
      <c r="K510" s="8"/>
      <c r="L510" s="8"/>
      <c r="M510" s="8"/>
      <c r="N510" s="8"/>
      <c r="O510" s="8"/>
      <c r="P510" s="8"/>
      <c r="Q510" s="8"/>
      <c r="R510" s="8"/>
      <c r="S510" s="8"/>
      <c r="T510" s="8"/>
      <c r="U510" s="8"/>
    </row>
    <row r="511" spans="1:21" ht="30" customHeight="1" x14ac:dyDescent="0.25">
      <c r="A511" s="8"/>
      <c r="B511" s="8"/>
      <c r="C511" s="8"/>
      <c r="D511" s="8"/>
      <c r="E511" s="224"/>
      <c r="F511" s="8"/>
      <c r="G511" s="8"/>
      <c r="H511" s="8"/>
      <c r="I511" s="8"/>
      <c r="J511" s="8"/>
      <c r="K511" s="8"/>
      <c r="L511" s="8"/>
      <c r="M511" s="8"/>
      <c r="N511" s="8"/>
      <c r="O511" s="8"/>
      <c r="P511" s="8"/>
      <c r="Q511" s="8"/>
      <c r="R511" s="8"/>
      <c r="S511" s="8"/>
      <c r="T511" s="8"/>
      <c r="U511" s="8"/>
    </row>
    <row r="512" spans="1:21" ht="30" customHeight="1" x14ac:dyDescent="0.25">
      <c r="A512" s="8"/>
      <c r="B512" s="8"/>
      <c r="C512" s="8"/>
      <c r="D512" s="8"/>
      <c r="E512" s="224"/>
      <c r="F512" s="8"/>
      <c r="G512" s="8"/>
      <c r="H512" s="8"/>
      <c r="I512" s="8"/>
      <c r="J512" s="8"/>
      <c r="K512" s="8"/>
      <c r="L512" s="8"/>
      <c r="M512" s="8"/>
      <c r="N512" s="8"/>
      <c r="O512" s="8"/>
      <c r="P512" s="8"/>
      <c r="Q512" s="8"/>
      <c r="R512" s="8"/>
      <c r="S512" s="8"/>
      <c r="T512" s="8"/>
      <c r="U512" s="8"/>
    </row>
    <row r="513" spans="1:21" ht="30" customHeight="1" x14ac:dyDescent="0.25">
      <c r="A513" s="8"/>
      <c r="B513" s="8"/>
      <c r="C513" s="8"/>
      <c r="D513" s="8"/>
      <c r="E513" s="224"/>
      <c r="F513" s="8"/>
      <c r="G513" s="8"/>
      <c r="H513" s="8"/>
      <c r="I513" s="8"/>
      <c r="J513" s="8"/>
      <c r="K513" s="8"/>
      <c r="L513" s="8"/>
      <c r="M513" s="8"/>
      <c r="N513" s="8"/>
      <c r="O513" s="8"/>
      <c r="P513" s="8"/>
      <c r="Q513" s="8"/>
      <c r="R513" s="8"/>
      <c r="S513" s="8"/>
      <c r="T513" s="8"/>
      <c r="U513" s="8"/>
    </row>
    <row r="514" spans="1:21" ht="30" customHeight="1" x14ac:dyDescent="0.25">
      <c r="A514" s="8"/>
      <c r="B514" s="8"/>
      <c r="C514" s="8"/>
      <c r="D514" s="8"/>
      <c r="E514" s="224"/>
      <c r="F514" s="8"/>
      <c r="G514" s="8"/>
      <c r="H514" s="8"/>
      <c r="I514" s="8"/>
      <c r="J514" s="8"/>
      <c r="K514" s="8"/>
      <c r="L514" s="8"/>
      <c r="M514" s="8"/>
      <c r="N514" s="8"/>
      <c r="O514" s="8"/>
      <c r="P514" s="8"/>
      <c r="Q514" s="8"/>
      <c r="R514" s="8"/>
      <c r="S514" s="8"/>
      <c r="T514" s="8"/>
      <c r="U514" s="8"/>
    </row>
    <row r="515" spans="1:21" ht="30" customHeight="1" x14ac:dyDescent="0.25">
      <c r="A515" s="8"/>
      <c r="B515" s="8"/>
      <c r="C515" s="8"/>
      <c r="D515" s="8"/>
      <c r="E515" s="224"/>
      <c r="F515" s="8"/>
      <c r="G515" s="8"/>
      <c r="H515" s="8"/>
      <c r="I515" s="8"/>
      <c r="J515" s="8"/>
      <c r="K515" s="8"/>
      <c r="L515" s="8"/>
      <c r="M515" s="8"/>
      <c r="N515" s="8"/>
      <c r="O515" s="8"/>
      <c r="P515" s="8"/>
      <c r="Q515" s="8"/>
      <c r="R515" s="8"/>
      <c r="S515" s="8"/>
      <c r="T515" s="8"/>
      <c r="U515" s="8"/>
    </row>
    <row r="516" spans="1:21" ht="30" customHeight="1" x14ac:dyDescent="0.25">
      <c r="A516" s="8"/>
      <c r="B516" s="8"/>
      <c r="C516" s="8"/>
      <c r="D516" s="8"/>
      <c r="E516" s="224"/>
      <c r="F516" s="8"/>
      <c r="G516" s="8"/>
      <c r="H516" s="8"/>
      <c r="I516" s="8"/>
      <c r="J516" s="8"/>
      <c r="K516" s="8"/>
      <c r="L516" s="8"/>
      <c r="M516" s="8"/>
      <c r="N516" s="8"/>
      <c r="O516" s="8"/>
      <c r="P516" s="8"/>
      <c r="Q516" s="8"/>
      <c r="R516" s="8"/>
      <c r="S516" s="8"/>
      <c r="T516" s="8"/>
      <c r="U516" s="8"/>
    </row>
    <row r="517" spans="1:21" ht="30" customHeight="1" x14ac:dyDescent="0.25">
      <c r="A517" s="8"/>
      <c r="B517" s="8"/>
      <c r="C517" s="8"/>
      <c r="D517" s="8"/>
      <c r="E517" s="224"/>
      <c r="F517" s="8"/>
      <c r="G517" s="8"/>
      <c r="H517" s="8"/>
      <c r="I517" s="8"/>
      <c r="J517" s="8"/>
      <c r="K517" s="8"/>
      <c r="L517" s="8"/>
      <c r="M517" s="8"/>
      <c r="N517" s="8"/>
      <c r="O517" s="8"/>
      <c r="P517" s="8"/>
      <c r="Q517" s="8"/>
      <c r="R517" s="8"/>
      <c r="S517" s="8"/>
      <c r="T517" s="8"/>
      <c r="U517" s="8"/>
    </row>
    <row r="518" spans="1:21" ht="30" customHeight="1" x14ac:dyDescent="0.25">
      <c r="A518" s="8"/>
      <c r="B518" s="8"/>
      <c r="C518" s="8"/>
      <c r="D518" s="8"/>
      <c r="E518" s="224"/>
      <c r="F518" s="8"/>
      <c r="G518" s="8"/>
      <c r="H518" s="8"/>
      <c r="I518" s="8"/>
      <c r="J518" s="8"/>
      <c r="K518" s="8"/>
      <c r="L518" s="8"/>
      <c r="M518" s="8"/>
      <c r="N518" s="8"/>
      <c r="O518" s="8"/>
      <c r="P518" s="8"/>
      <c r="Q518" s="8"/>
      <c r="R518" s="8"/>
      <c r="S518" s="8"/>
      <c r="T518" s="8"/>
      <c r="U518" s="8"/>
    </row>
    <row r="519" spans="1:21" ht="30" customHeight="1" x14ac:dyDescent="0.25">
      <c r="A519" s="8"/>
      <c r="B519" s="8"/>
      <c r="C519" s="8"/>
      <c r="D519" s="8"/>
      <c r="E519" s="224"/>
      <c r="F519" s="8"/>
      <c r="G519" s="8"/>
      <c r="H519" s="8"/>
      <c r="I519" s="8"/>
      <c r="J519" s="8"/>
      <c r="K519" s="8"/>
      <c r="L519" s="8"/>
      <c r="M519" s="8"/>
      <c r="N519" s="8"/>
      <c r="O519" s="8"/>
      <c r="P519" s="8"/>
      <c r="Q519" s="8"/>
      <c r="R519" s="8"/>
      <c r="S519" s="8"/>
      <c r="T519" s="8"/>
      <c r="U519" s="8"/>
    </row>
    <row r="520" spans="1:21" ht="30" customHeight="1" x14ac:dyDescent="0.25">
      <c r="A520" s="8"/>
      <c r="B520" s="8"/>
      <c r="C520" s="8"/>
      <c r="D520" s="8"/>
      <c r="E520" s="224"/>
      <c r="F520" s="8"/>
      <c r="G520" s="8"/>
      <c r="H520" s="8"/>
      <c r="I520" s="8"/>
      <c r="J520" s="8"/>
      <c r="K520" s="8"/>
      <c r="L520" s="8"/>
      <c r="M520" s="8"/>
      <c r="N520" s="8"/>
      <c r="O520" s="8"/>
      <c r="P520" s="8"/>
      <c r="Q520" s="8"/>
      <c r="R520" s="8"/>
      <c r="S520" s="8"/>
      <c r="T520" s="8"/>
      <c r="U520" s="8"/>
    </row>
    <row r="521" spans="1:21" ht="30" customHeight="1" x14ac:dyDescent="0.25">
      <c r="A521" s="8"/>
      <c r="B521" s="8"/>
      <c r="C521" s="8"/>
      <c r="D521" s="8"/>
      <c r="E521" s="224"/>
      <c r="F521" s="8"/>
      <c r="G521" s="8"/>
      <c r="H521" s="8"/>
      <c r="I521" s="8"/>
      <c r="J521" s="8"/>
      <c r="K521" s="8"/>
      <c r="L521" s="8"/>
      <c r="M521" s="8"/>
      <c r="N521" s="8"/>
      <c r="O521" s="8"/>
      <c r="P521" s="8"/>
      <c r="Q521" s="8"/>
      <c r="R521" s="8"/>
      <c r="S521" s="8"/>
      <c r="T521" s="8"/>
      <c r="U521" s="8"/>
    </row>
    <row r="522" spans="1:21" ht="30" customHeight="1" x14ac:dyDescent="0.25">
      <c r="A522" s="8"/>
      <c r="B522" s="8"/>
      <c r="C522" s="8"/>
      <c r="D522" s="8"/>
      <c r="E522" s="224"/>
      <c r="F522" s="8"/>
      <c r="G522" s="8"/>
      <c r="H522" s="8"/>
      <c r="I522" s="8"/>
      <c r="J522" s="8"/>
      <c r="K522" s="8"/>
      <c r="L522" s="8"/>
      <c r="M522" s="8"/>
      <c r="N522" s="8"/>
      <c r="O522" s="8"/>
      <c r="P522" s="8"/>
      <c r="Q522" s="8"/>
      <c r="R522" s="8"/>
      <c r="S522" s="8"/>
      <c r="T522" s="8"/>
      <c r="U522" s="8"/>
    </row>
    <row r="523" spans="1:21" ht="30" customHeight="1" x14ac:dyDescent="0.25">
      <c r="A523" s="8"/>
      <c r="B523" s="8"/>
      <c r="C523" s="8"/>
      <c r="D523" s="8"/>
      <c r="E523" s="224"/>
      <c r="F523" s="8"/>
      <c r="G523" s="8"/>
      <c r="H523" s="8"/>
      <c r="I523" s="8"/>
      <c r="J523" s="8"/>
      <c r="K523" s="8"/>
      <c r="L523" s="8"/>
      <c r="M523" s="8"/>
      <c r="N523" s="8"/>
      <c r="O523" s="8"/>
      <c r="P523" s="8"/>
      <c r="Q523" s="8"/>
      <c r="R523" s="8"/>
      <c r="S523" s="8"/>
      <c r="T523" s="8"/>
      <c r="U523" s="8"/>
    </row>
    <row r="524" spans="1:21" ht="30" customHeight="1" x14ac:dyDescent="0.25">
      <c r="A524" s="8"/>
      <c r="B524" s="8"/>
      <c r="C524" s="8"/>
      <c r="D524" s="8"/>
      <c r="E524" s="224"/>
      <c r="F524" s="8"/>
      <c r="G524" s="8"/>
      <c r="H524" s="8"/>
      <c r="I524" s="8"/>
      <c r="J524" s="8"/>
      <c r="K524" s="8"/>
      <c r="L524" s="8"/>
      <c r="M524" s="8"/>
      <c r="N524" s="8"/>
      <c r="O524" s="8"/>
      <c r="P524" s="8"/>
      <c r="Q524" s="8"/>
      <c r="R524" s="8"/>
      <c r="S524" s="8"/>
      <c r="T524" s="8"/>
      <c r="U524" s="8"/>
    </row>
    <row r="525" spans="1:21" ht="30" customHeight="1" x14ac:dyDescent="0.25">
      <c r="A525" s="8"/>
      <c r="B525" s="8"/>
      <c r="C525" s="8"/>
      <c r="D525" s="8"/>
      <c r="E525" s="224"/>
      <c r="F525" s="8"/>
      <c r="G525" s="8"/>
      <c r="H525" s="8"/>
      <c r="I525" s="8"/>
      <c r="J525" s="8"/>
      <c r="K525" s="8"/>
      <c r="L525" s="8"/>
      <c r="M525" s="8"/>
      <c r="N525" s="8"/>
      <c r="O525" s="8"/>
      <c r="P525" s="8"/>
      <c r="Q525" s="8"/>
      <c r="R525" s="8"/>
      <c r="S525" s="8"/>
      <c r="T525" s="8"/>
      <c r="U525" s="8"/>
    </row>
    <row r="526" spans="1:21" ht="30" customHeight="1" x14ac:dyDescent="0.25">
      <c r="A526" s="8"/>
      <c r="B526" s="8"/>
      <c r="C526" s="8"/>
      <c r="D526" s="8"/>
      <c r="E526" s="224"/>
      <c r="F526" s="8"/>
      <c r="G526" s="8"/>
      <c r="H526" s="8"/>
      <c r="I526" s="8"/>
      <c r="J526" s="8"/>
      <c r="K526" s="8"/>
      <c r="L526" s="8"/>
      <c r="M526" s="8"/>
      <c r="N526" s="8"/>
      <c r="O526" s="8"/>
      <c r="P526" s="8"/>
      <c r="Q526" s="8"/>
      <c r="R526" s="8"/>
      <c r="S526" s="8"/>
      <c r="T526" s="8"/>
      <c r="U526" s="8"/>
    </row>
    <row r="527" spans="1:21" ht="30" customHeight="1" x14ac:dyDescent="0.25">
      <c r="A527" s="8"/>
      <c r="B527" s="8"/>
      <c r="C527" s="8"/>
      <c r="D527" s="8"/>
      <c r="E527" s="224"/>
      <c r="F527" s="8"/>
      <c r="G527" s="8"/>
      <c r="H527" s="8"/>
      <c r="I527" s="8"/>
      <c r="J527" s="8"/>
      <c r="K527" s="8"/>
      <c r="L527" s="8"/>
      <c r="M527" s="8"/>
      <c r="N527" s="8"/>
      <c r="O527" s="8"/>
      <c r="P527" s="8"/>
      <c r="Q527" s="8"/>
      <c r="R527" s="8"/>
      <c r="S527" s="8"/>
      <c r="T527" s="8"/>
      <c r="U527" s="8"/>
    </row>
    <row r="528" spans="1:21" ht="30" customHeight="1" x14ac:dyDescent="0.25">
      <c r="A528" s="8"/>
      <c r="B528" s="8"/>
      <c r="C528" s="8"/>
      <c r="D528" s="8"/>
      <c r="E528" s="224"/>
      <c r="F528" s="8"/>
      <c r="G528" s="8"/>
      <c r="H528" s="8"/>
      <c r="I528" s="8"/>
      <c r="J528" s="8"/>
      <c r="K528" s="8"/>
      <c r="L528" s="8"/>
      <c r="M528" s="8"/>
      <c r="N528" s="8"/>
      <c r="O528" s="8"/>
      <c r="P528" s="8"/>
      <c r="Q528" s="8"/>
      <c r="R528" s="8"/>
      <c r="S528" s="8"/>
      <c r="T528" s="8"/>
      <c r="U528" s="8"/>
    </row>
    <row r="529" spans="1:21" ht="30" customHeight="1" x14ac:dyDescent="0.25">
      <c r="A529" s="8"/>
      <c r="B529" s="8"/>
      <c r="C529" s="8"/>
      <c r="D529" s="8"/>
      <c r="E529" s="224"/>
      <c r="F529" s="8"/>
      <c r="G529" s="8"/>
      <c r="H529" s="8"/>
      <c r="I529" s="8"/>
      <c r="J529" s="8"/>
      <c r="K529" s="8"/>
      <c r="L529" s="8"/>
      <c r="M529" s="8"/>
      <c r="N529" s="8"/>
      <c r="O529" s="8"/>
      <c r="P529" s="8"/>
      <c r="Q529" s="8"/>
      <c r="R529" s="8"/>
      <c r="S529" s="8"/>
      <c r="T529" s="8"/>
      <c r="U529" s="8"/>
    </row>
    <row r="530" spans="1:21" ht="30" customHeight="1" x14ac:dyDescent="0.25">
      <c r="A530" s="8"/>
      <c r="B530" s="8"/>
      <c r="C530" s="8"/>
      <c r="D530" s="8"/>
      <c r="E530" s="224"/>
      <c r="F530" s="8"/>
      <c r="G530" s="8"/>
      <c r="H530" s="8"/>
      <c r="I530" s="8"/>
      <c r="J530" s="8"/>
      <c r="K530" s="8"/>
      <c r="L530" s="8"/>
      <c r="M530" s="8"/>
      <c r="N530" s="8"/>
      <c r="O530" s="8"/>
      <c r="P530" s="8"/>
      <c r="Q530" s="8"/>
      <c r="R530" s="8"/>
      <c r="S530" s="8"/>
      <c r="T530" s="8"/>
      <c r="U530" s="8"/>
    </row>
    <row r="531" spans="1:21" ht="30" customHeight="1" x14ac:dyDescent="0.25">
      <c r="A531" s="8"/>
      <c r="B531" s="8"/>
      <c r="C531" s="8"/>
      <c r="D531" s="8"/>
      <c r="E531" s="224"/>
      <c r="F531" s="8"/>
      <c r="G531" s="8"/>
      <c r="H531" s="8"/>
      <c r="I531" s="8"/>
      <c r="J531" s="8"/>
      <c r="K531" s="8"/>
      <c r="L531" s="8"/>
      <c r="M531" s="8"/>
      <c r="N531" s="8"/>
      <c r="O531" s="8"/>
      <c r="P531" s="8"/>
      <c r="Q531" s="8"/>
      <c r="R531" s="8"/>
      <c r="S531" s="8"/>
      <c r="T531" s="8"/>
      <c r="U531" s="8"/>
    </row>
    <row r="532" spans="1:21" ht="30" customHeight="1" x14ac:dyDescent="0.25">
      <c r="A532" s="8"/>
      <c r="B532" s="8"/>
      <c r="C532" s="8"/>
      <c r="D532" s="8"/>
      <c r="E532" s="224"/>
      <c r="F532" s="8"/>
      <c r="G532" s="8"/>
      <c r="H532" s="8"/>
      <c r="I532" s="8"/>
      <c r="J532" s="8"/>
      <c r="K532" s="8"/>
      <c r="L532" s="8"/>
      <c r="M532" s="8"/>
      <c r="N532" s="8"/>
      <c r="O532" s="8"/>
      <c r="P532" s="8"/>
      <c r="Q532" s="8"/>
      <c r="R532" s="8"/>
      <c r="S532" s="8"/>
      <c r="T532" s="8"/>
      <c r="U532" s="8"/>
    </row>
    <row r="533" spans="1:21" ht="30" customHeight="1" x14ac:dyDescent="0.25">
      <c r="A533" s="8"/>
      <c r="B533" s="8"/>
      <c r="C533" s="8"/>
      <c r="D533" s="8"/>
      <c r="E533" s="224"/>
      <c r="F533" s="8"/>
      <c r="G533" s="8"/>
      <c r="H533" s="8"/>
      <c r="I533" s="8"/>
      <c r="J533" s="8"/>
      <c r="K533" s="8"/>
      <c r="L533" s="8"/>
      <c r="M533" s="8"/>
      <c r="N533" s="8"/>
      <c r="O533" s="8"/>
      <c r="P533" s="8"/>
      <c r="Q533" s="8"/>
      <c r="R533" s="8"/>
      <c r="S533" s="8"/>
      <c r="T533" s="8"/>
      <c r="U533" s="8"/>
    </row>
    <row r="534" spans="1:21" ht="30" customHeight="1" x14ac:dyDescent="0.25">
      <c r="A534" s="8"/>
      <c r="B534" s="8"/>
      <c r="C534" s="8"/>
      <c r="D534" s="8"/>
      <c r="E534" s="224"/>
      <c r="F534" s="8"/>
      <c r="G534" s="8"/>
      <c r="H534" s="8"/>
      <c r="I534" s="8"/>
      <c r="J534" s="8"/>
      <c r="K534" s="8"/>
      <c r="L534" s="8"/>
      <c r="M534" s="8"/>
      <c r="N534" s="8"/>
      <c r="O534" s="8"/>
      <c r="P534" s="8"/>
      <c r="Q534" s="8"/>
      <c r="R534" s="8"/>
      <c r="S534" s="8"/>
      <c r="T534" s="8"/>
      <c r="U534" s="8"/>
    </row>
    <row r="535" spans="1:21" ht="30" customHeight="1" x14ac:dyDescent="0.25">
      <c r="A535" s="8"/>
      <c r="B535" s="8"/>
      <c r="C535" s="8"/>
      <c r="D535" s="8"/>
      <c r="E535" s="224"/>
      <c r="F535" s="8"/>
      <c r="G535" s="8"/>
      <c r="H535" s="8"/>
      <c r="I535" s="8"/>
      <c r="J535" s="8"/>
      <c r="K535" s="8"/>
      <c r="L535" s="8"/>
      <c r="M535" s="8"/>
      <c r="N535" s="8"/>
      <c r="O535" s="8"/>
      <c r="P535" s="8"/>
      <c r="Q535" s="8"/>
      <c r="R535" s="8"/>
      <c r="S535" s="8"/>
      <c r="T535" s="8"/>
      <c r="U535" s="8"/>
    </row>
    <row r="536" spans="1:21" ht="30" customHeight="1" x14ac:dyDescent="0.25">
      <c r="A536" s="8"/>
      <c r="B536" s="8"/>
      <c r="C536" s="8"/>
      <c r="D536" s="8"/>
      <c r="E536" s="224"/>
      <c r="F536" s="8"/>
      <c r="G536" s="8"/>
      <c r="H536" s="8"/>
      <c r="I536" s="8"/>
      <c r="J536" s="8"/>
      <c r="K536" s="8"/>
      <c r="L536" s="8"/>
      <c r="M536" s="8"/>
      <c r="N536" s="8"/>
      <c r="O536" s="8"/>
      <c r="P536" s="8"/>
      <c r="Q536" s="8"/>
      <c r="R536" s="8"/>
      <c r="S536" s="8"/>
      <c r="T536" s="8"/>
      <c r="U536" s="8"/>
    </row>
    <row r="537" spans="1:21" ht="30" customHeight="1" x14ac:dyDescent="0.25">
      <c r="A537" s="8"/>
      <c r="B537" s="8"/>
      <c r="C537" s="8"/>
      <c r="D537" s="8"/>
      <c r="E537" s="224"/>
      <c r="F537" s="8"/>
      <c r="G537" s="8"/>
      <c r="H537" s="8"/>
      <c r="I537" s="8"/>
      <c r="J537" s="8"/>
      <c r="K537" s="8"/>
      <c r="L537" s="8"/>
      <c r="M537" s="8"/>
      <c r="N537" s="8"/>
      <c r="O537" s="8"/>
      <c r="P537" s="8"/>
      <c r="Q537" s="8"/>
      <c r="R537" s="8"/>
      <c r="S537" s="8"/>
      <c r="T537" s="8"/>
      <c r="U537" s="8"/>
    </row>
    <row r="538" spans="1:21" ht="30" customHeight="1" x14ac:dyDescent="0.25">
      <c r="A538" s="8"/>
      <c r="B538" s="8"/>
      <c r="C538" s="8"/>
      <c r="D538" s="8"/>
      <c r="E538" s="224"/>
      <c r="F538" s="8"/>
      <c r="G538" s="8"/>
      <c r="H538" s="8"/>
      <c r="I538" s="8"/>
      <c r="J538" s="8"/>
      <c r="K538" s="8"/>
      <c r="L538" s="8"/>
      <c r="M538" s="8"/>
      <c r="N538" s="8"/>
      <c r="O538" s="8"/>
      <c r="P538" s="8"/>
      <c r="Q538" s="8"/>
      <c r="R538" s="8"/>
      <c r="S538" s="8"/>
      <c r="T538" s="8"/>
      <c r="U538" s="8"/>
    </row>
    <row r="539" spans="1:21" ht="30" customHeight="1" x14ac:dyDescent="0.25">
      <c r="A539" s="8"/>
      <c r="B539" s="8"/>
      <c r="C539" s="8"/>
      <c r="D539" s="8"/>
      <c r="E539" s="224"/>
      <c r="F539" s="8"/>
      <c r="G539" s="8"/>
      <c r="H539" s="8"/>
      <c r="I539" s="8"/>
      <c r="J539" s="8"/>
      <c r="K539" s="8"/>
      <c r="L539" s="8"/>
      <c r="M539" s="8"/>
      <c r="N539" s="8"/>
      <c r="O539" s="8"/>
      <c r="P539" s="8"/>
      <c r="Q539" s="8"/>
      <c r="R539" s="8"/>
      <c r="S539" s="8"/>
      <c r="T539" s="8"/>
      <c r="U539" s="8"/>
    </row>
    <row r="540" spans="1:21" ht="30" customHeight="1" x14ac:dyDescent="0.25">
      <c r="A540" s="8"/>
      <c r="B540" s="8"/>
      <c r="C540" s="8"/>
      <c r="D540" s="8"/>
      <c r="E540" s="224"/>
      <c r="F540" s="8"/>
      <c r="G540" s="8"/>
      <c r="H540" s="8"/>
      <c r="I540" s="8"/>
      <c r="J540" s="8"/>
      <c r="K540" s="8"/>
      <c r="L540" s="8"/>
      <c r="M540" s="8"/>
      <c r="N540" s="8"/>
      <c r="O540" s="8"/>
      <c r="P540" s="8"/>
      <c r="Q540" s="8"/>
      <c r="R540" s="8"/>
      <c r="S540" s="8"/>
      <c r="T540" s="8"/>
      <c r="U540" s="8"/>
    </row>
    <row r="541" spans="1:21" ht="30" customHeight="1" x14ac:dyDescent="0.25">
      <c r="A541" s="8"/>
      <c r="B541" s="8"/>
      <c r="C541" s="8"/>
      <c r="D541" s="8"/>
      <c r="E541" s="224"/>
      <c r="F541" s="8"/>
      <c r="G541" s="8"/>
      <c r="H541" s="8"/>
      <c r="I541" s="8"/>
      <c r="J541" s="8"/>
      <c r="K541" s="8"/>
      <c r="L541" s="8"/>
      <c r="M541" s="8"/>
      <c r="N541" s="8"/>
      <c r="O541" s="8"/>
      <c r="P541" s="8"/>
      <c r="Q541" s="8"/>
      <c r="R541" s="8"/>
      <c r="S541" s="8"/>
      <c r="T541" s="8"/>
      <c r="U541" s="8"/>
    </row>
    <row r="542" spans="1:21" ht="30" customHeight="1" x14ac:dyDescent="0.25">
      <c r="A542" s="8"/>
      <c r="B542" s="8"/>
      <c r="C542" s="8"/>
      <c r="D542" s="8"/>
      <c r="E542" s="224"/>
      <c r="F542" s="8"/>
      <c r="G542" s="8"/>
      <c r="H542" s="8"/>
      <c r="I542" s="8"/>
      <c r="J542" s="8"/>
      <c r="K542" s="8"/>
      <c r="L542" s="8"/>
      <c r="M542" s="8"/>
      <c r="N542" s="8"/>
      <c r="O542" s="8"/>
      <c r="P542" s="8"/>
      <c r="Q542" s="8"/>
      <c r="R542" s="8"/>
      <c r="S542" s="8"/>
      <c r="T542" s="8"/>
      <c r="U542" s="8"/>
    </row>
    <row r="543" spans="1:21" ht="30" customHeight="1" x14ac:dyDescent="0.25">
      <c r="A543" s="8"/>
      <c r="B543" s="8"/>
      <c r="C543" s="8"/>
      <c r="D543" s="8"/>
      <c r="E543" s="224"/>
      <c r="F543" s="8"/>
      <c r="G543" s="8"/>
      <c r="H543" s="8"/>
      <c r="I543" s="8"/>
      <c r="J543" s="8"/>
      <c r="K543" s="8"/>
      <c r="L543" s="8"/>
      <c r="M543" s="8"/>
      <c r="N543" s="8"/>
      <c r="O543" s="8"/>
      <c r="P543" s="8"/>
      <c r="Q543" s="8"/>
      <c r="R543" s="8"/>
      <c r="S543" s="8"/>
      <c r="T543" s="8"/>
      <c r="U543" s="8"/>
    </row>
    <row r="544" spans="1:21" ht="30" customHeight="1" x14ac:dyDescent="0.25">
      <c r="A544" s="8"/>
      <c r="B544" s="8"/>
      <c r="C544" s="8"/>
      <c r="D544" s="8"/>
      <c r="E544" s="224"/>
      <c r="F544" s="8"/>
      <c r="G544" s="8"/>
      <c r="H544" s="8"/>
      <c r="I544" s="8"/>
      <c r="J544" s="8"/>
      <c r="K544" s="8"/>
      <c r="L544" s="8"/>
      <c r="M544" s="8"/>
      <c r="N544" s="8"/>
      <c r="O544" s="8"/>
      <c r="P544" s="8"/>
      <c r="Q544" s="8"/>
      <c r="R544" s="8"/>
      <c r="S544" s="8"/>
      <c r="T544" s="8"/>
      <c r="U544" s="8"/>
    </row>
    <row r="545" spans="1:21" ht="30" customHeight="1" x14ac:dyDescent="0.25">
      <c r="A545" s="8"/>
      <c r="B545" s="8"/>
      <c r="C545" s="8"/>
      <c r="D545" s="8"/>
      <c r="E545" s="224"/>
      <c r="F545" s="8"/>
      <c r="G545" s="8"/>
      <c r="H545" s="8"/>
      <c r="I545" s="8"/>
      <c r="J545" s="8"/>
      <c r="K545" s="8"/>
      <c r="L545" s="8"/>
      <c r="M545" s="8"/>
      <c r="N545" s="8"/>
      <c r="O545" s="8"/>
      <c r="P545" s="8"/>
      <c r="Q545" s="8"/>
      <c r="R545" s="8"/>
      <c r="S545" s="8"/>
      <c r="T545" s="8"/>
      <c r="U545" s="8"/>
    </row>
    <row r="546" spans="1:21" ht="30" customHeight="1" x14ac:dyDescent="0.25">
      <c r="A546" s="8"/>
      <c r="B546" s="8"/>
      <c r="C546" s="8"/>
      <c r="D546" s="8"/>
      <c r="E546" s="224"/>
      <c r="F546" s="8"/>
      <c r="G546" s="8"/>
      <c r="H546" s="8"/>
      <c r="I546" s="8"/>
      <c r="J546" s="8"/>
      <c r="K546" s="8"/>
      <c r="L546" s="8"/>
      <c r="M546" s="8"/>
      <c r="N546" s="8"/>
      <c r="O546" s="8"/>
      <c r="P546" s="8"/>
      <c r="Q546" s="8"/>
      <c r="R546" s="8"/>
      <c r="S546" s="8"/>
      <c r="T546" s="8"/>
      <c r="U546" s="8"/>
    </row>
    <row r="547" spans="1:21" ht="30" customHeight="1" x14ac:dyDescent="0.25">
      <c r="A547" s="8"/>
      <c r="B547" s="8"/>
      <c r="C547" s="8"/>
      <c r="D547" s="8"/>
      <c r="E547" s="224"/>
      <c r="F547" s="8"/>
      <c r="G547" s="8"/>
      <c r="H547" s="8"/>
      <c r="I547" s="8"/>
      <c r="J547" s="8"/>
      <c r="K547" s="8"/>
      <c r="L547" s="8"/>
      <c r="M547" s="8"/>
      <c r="N547" s="8"/>
      <c r="O547" s="8"/>
      <c r="P547" s="8"/>
      <c r="Q547" s="8"/>
      <c r="R547" s="8"/>
      <c r="S547" s="8"/>
      <c r="T547" s="8"/>
      <c r="U547" s="8"/>
    </row>
    <row r="548" spans="1:21" ht="30" customHeight="1" x14ac:dyDescent="0.25">
      <c r="A548" s="8"/>
      <c r="B548" s="8"/>
      <c r="C548" s="8"/>
      <c r="D548" s="8"/>
      <c r="E548" s="224"/>
      <c r="F548" s="8"/>
      <c r="G548" s="8"/>
      <c r="H548" s="8"/>
      <c r="I548" s="8"/>
      <c r="J548" s="8"/>
      <c r="K548" s="8"/>
      <c r="L548" s="8"/>
      <c r="M548" s="8"/>
      <c r="N548" s="8"/>
      <c r="O548" s="8"/>
      <c r="P548" s="8"/>
      <c r="Q548" s="8"/>
      <c r="R548" s="8"/>
      <c r="S548" s="8"/>
      <c r="T548" s="8"/>
      <c r="U548" s="8"/>
    </row>
    <row r="549" spans="1:21" ht="30" customHeight="1" x14ac:dyDescent="0.25">
      <c r="A549" s="8"/>
      <c r="B549" s="8"/>
      <c r="C549" s="8"/>
      <c r="D549" s="8"/>
      <c r="E549" s="224"/>
      <c r="F549" s="8"/>
      <c r="G549" s="8"/>
      <c r="H549" s="8"/>
      <c r="I549" s="8"/>
      <c r="J549" s="8"/>
      <c r="K549" s="8"/>
      <c r="L549" s="8"/>
      <c r="M549" s="8"/>
      <c r="N549" s="8"/>
      <c r="O549" s="8"/>
      <c r="P549" s="8"/>
      <c r="Q549" s="8"/>
      <c r="R549" s="8"/>
      <c r="S549" s="8"/>
      <c r="T549" s="8"/>
      <c r="U549" s="8"/>
    </row>
    <row r="550" spans="1:21" ht="30" customHeight="1" x14ac:dyDescent="0.25">
      <c r="A550" s="8"/>
      <c r="B550" s="8"/>
      <c r="C550" s="8"/>
      <c r="D550" s="8"/>
      <c r="E550" s="224"/>
      <c r="F550" s="8"/>
      <c r="G550" s="8"/>
      <c r="H550" s="8"/>
      <c r="I550" s="8"/>
      <c r="J550" s="8"/>
      <c r="K550" s="8"/>
      <c r="L550" s="8"/>
      <c r="M550" s="8"/>
      <c r="N550" s="8"/>
      <c r="O550" s="8"/>
      <c r="P550" s="8"/>
      <c r="Q550" s="8"/>
      <c r="R550" s="8"/>
      <c r="S550" s="8"/>
      <c r="T550" s="8"/>
      <c r="U550" s="8"/>
    </row>
    <row r="551" spans="1:21" ht="30" customHeight="1" x14ac:dyDescent="0.25">
      <c r="A551" s="8"/>
      <c r="B551" s="8"/>
      <c r="C551" s="8"/>
      <c r="D551" s="8"/>
      <c r="E551" s="224"/>
      <c r="F551" s="8"/>
      <c r="G551" s="8"/>
      <c r="H551" s="8"/>
      <c r="I551" s="8"/>
      <c r="J551" s="8"/>
      <c r="K551" s="8"/>
      <c r="L551" s="8"/>
      <c r="M551" s="8"/>
      <c r="N551" s="8"/>
      <c r="O551" s="8"/>
      <c r="P551" s="8"/>
      <c r="Q551" s="8"/>
      <c r="R551" s="8"/>
      <c r="S551" s="8"/>
      <c r="T551" s="8"/>
      <c r="U551" s="8"/>
    </row>
    <row r="552" spans="1:21" ht="30" customHeight="1" x14ac:dyDescent="0.25">
      <c r="A552" s="8"/>
      <c r="B552" s="8"/>
      <c r="C552" s="8"/>
      <c r="D552" s="8"/>
      <c r="E552" s="224"/>
      <c r="F552" s="8"/>
      <c r="G552" s="8"/>
      <c r="H552" s="8"/>
      <c r="I552" s="8"/>
      <c r="J552" s="8"/>
      <c r="K552" s="8"/>
      <c r="L552" s="8"/>
      <c r="M552" s="8"/>
      <c r="N552" s="8"/>
      <c r="O552" s="8"/>
      <c r="P552" s="8"/>
      <c r="Q552" s="8"/>
      <c r="R552" s="8"/>
      <c r="S552" s="8"/>
      <c r="T552" s="8"/>
      <c r="U552" s="8"/>
    </row>
    <row r="553" spans="1:21" ht="30" customHeight="1" x14ac:dyDescent="0.25">
      <c r="A553" s="8"/>
      <c r="B553" s="8"/>
      <c r="C553" s="8"/>
      <c r="D553" s="8"/>
      <c r="E553" s="224"/>
      <c r="F553" s="8"/>
      <c r="G553" s="8"/>
      <c r="H553" s="8"/>
      <c r="I553" s="8"/>
      <c r="J553" s="8"/>
      <c r="K553" s="8"/>
      <c r="L553" s="8"/>
      <c r="M553" s="8"/>
      <c r="N553" s="8"/>
      <c r="O553" s="8"/>
      <c r="P553" s="8"/>
      <c r="Q553" s="8"/>
      <c r="R553" s="8"/>
      <c r="S553" s="8"/>
      <c r="T553" s="8"/>
      <c r="U553" s="8"/>
    </row>
    <row r="554" spans="1:21" ht="30" customHeight="1" x14ac:dyDescent="0.25">
      <c r="A554" s="8"/>
      <c r="B554" s="8"/>
      <c r="C554" s="8"/>
      <c r="D554" s="8"/>
      <c r="E554" s="224"/>
      <c r="F554" s="8"/>
      <c r="G554" s="8"/>
      <c r="H554" s="8"/>
      <c r="I554" s="8"/>
      <c r="J554" s="8"/>
      <c r="K554" s="8"/>
      <c r="L554" s="8"/>
      <c r="M554" s="8"/>
      <c r="N554" s="8"/>
      <c r="O554" s="8"/>
      <c r="P554" s="8"/>
      <c r="Q554" s="8"/>
      <c r="R554" s="8"/>
      <c r="S554" s="8"/>
      <c r="T554" s="8"/>
      <c r="U554" s="8"/>
    </row>
    <row r="555" spans="1:21" ht="30" customHeight="1" x14ac:dyDescent="0.25">
      <c r="A555" s="8"/>
      <c r="B555" s="8"/>
      <c r="C555" s="8"/>
      <c r="D555" s="8"/>
      <c r="E555" s="224"/>
      <c r="F555" s="8"/>
      <c r="G555" s="8"/>
      <c r="H555" s="8"/>
      <c r="I555" s="8"/>
      <c r="J555" s="8"/>
      <c r="K555" s="8"/>
      <c r="L555" s="8"/>
      <c r="M555" s="8"/>
      <c r="N555" s="8"/>
      <c r="O555" s="8"/>
      <c r="P555" s="8"/>
      <c r="Q555" s="8"/>
      <c r="R555" s="8"/>
      <c r="S555" s="8"/>
      <c r="T555" s="8"/>
      <c r="U555" s="8"/>
    </row>
    <row r="556" spans="1:21" ht="30" customHeight="1" x14ac:dyDescent="0.25">
      <c r="A556" s="8"/>
      <c r="B556" s="8"/>
      <c r="C556" s="8"/>
      <c r="D556" s="8"/>
      <c r="E556" s="224"/>
      <c r="F556" s="8"/>
      <c r="G556" s="8"/>
      <c r="H556" s="8"/>
      <c r="I556" s="8"/>
      <c r="J556" s="8"/>
      <c r="K556" s="8"/>
      <c r="L556" s="8"/>
      <c r="M556" s="8"/>
      <c r="N556" s="8"/>
      <c r="O556" s="8"/>
      <c r="P556" s="8"/>
      <c r="Q556" s="8"/>
      <c r="R556" s="8"/>
      <c r="S556" s="8"/>
      <c r="T556" s="8"/>
      <c r="U556" s="8"/>
    </row>
    <row r="557" spans="1:21" ht="30" customHeight="1" x14ac:dyDescent="0.25">
      <c r="A557" s="8"/>
      <c r="B557" s="8"/>
      <c r="C557" s="8"/>
      <c r="D557" s="8"/>
      <c r="E557" s="224"/>
      <c r="F557" s="8"/>
      <c r="G557" s="8"/>
      <c r="H557" s="8"/>
      <c r="I557" s="8"/>
      <c r="J557" s="8"/>
      <c r="K557" s="8"/>
      <c r="L557" s="8"/>
      <c r="M557" s="8"/>
      <c r="N557" s="8"/>
      <c r="O557" s="8"/>
      <c r="P557" s="8"/>
      <c r="Q557" s="8"/>
      <c r="R557" s="8"/>
      <c r="S557" s="8"/>
      <c r="T557" s="8"/>
      <c r="U557" s="8"/>
    </row>
    <row r="558" spans="1:21" ht="30" customHeight="1" x14ac:dyDescent="0.25">
      <c r="A558" s="8"/>
      <c r="B558" s="8"/>
      <c r="C558" s="8"/>
      <c r="D558" s="8"/>
      <c r="E558" s="224"/>
      <c r="F558" s="8"/>
      <c r="G558" s="8"/>
      <c r="H558" s="8"/>
      <c r="I558" s="8"/>
      <c r="J558" s="8"/>
      <c r="K558" s="8"/>
      <c r="L558" s="8"/>
      <c r="M558" s="8"/>
      <c r="N558" s="8"/>
      <c r="O558" s="8"/>
      <c r="P558" s="8"/>
      <c r="Q558" s="8"/>
      <c r="R558" s="8"/>
      <c r="S558" s="8"/>
      <c r="T558" s="8"/>
      <c r="U558" s="8"/>
    </row>
    <row r="559" spans="1:21" ht="30" customHeight="1" x14ac:dyDescent="0.25">
      <c r="A559" s="8"/>
      <c r="B559" s="8"/>
      <c r="C559" s="8"/>
      <c r="D559" s="8"/>
      <c r="E559" s="224"/>
      <c r="F559" s="8"/>
      <c r="G559" s="8"/>
      <c r="H559" s="8"/>
      <c r="I559" s="8"/>
      <c r="J559" s="8"/>
      <c r="K559" s="8"/>
      <c r="L559" s="8"/>
      <c r="M559" s="8"/>
      <c r="N559" s="8"/>
      <c r="O559" s="8"/>
      <c r="P559" s="8"/>
      <c r="Q559" s="8"/>
      <c r="R559" s="8"/>
      <c r="S559" s="8"/>
      <c r="T559" s="8"/>
      <c r="U559" s="8"/>
    </row>
    <row r="560" spans="1:21" ht="30" customHeight="1" x14ac:dyDescent="0.25">
      <c r="A560" s="8"/>
      <c r="B560" s="8"/>
      <c r="C560" s="8"/>
      <c r="D560" s="8"/>
      <c r="E560" s="224"/>
      <c r="F560" s="8"/>
      <c r="G560" s="8"/>
      <c r="H560" s="8"/>
      <c r="I560" s="8"/>
      <c r="J560" s="8"/>
      <c r="K560" s="8"/>
      <c r="L560" s="8"/>
      <c r="M560" s="8"/>
      <c r="N560" s="8"/>
      <c r="O560" s="8"/>
      <c r="P560" s="8"/>
      <c r="Q560" s="8"/>
      <c r="R560" s="8"/>
      <c r="S560" s="8"/>
      <c r="T560" s="8"/>
      <c r="U560" s="8"/>
    </row>
    <row r="561" spans="1:21" ht="30" customHeight="1" x14ac:dyDescent="0.25">
      <c r="A561" s="8"/>
      <c r="B561" s="8"/>
      <c r="C561" s="8"/>
      <c r="D561" s="8"/>
      <c r="E561" s="224"/>
      <c r="F561" s="8"/>
      <c r="G561" s="8"/>
      <c r="H561" s="8"/>
      <c r="I561" s="8"/>
      <c r="J561" s="8"/>
      <c r="K561" s="8"/>
      <c r="L561" s="8"/>
      <c r="M561" s="8"/>
      <c r="N561" s="8"/>
      <c r="O561" s="8"/>
      <c r="P561" s="8"/>
      <c r="Q561" s="8"/>
      <c r="R561" s="8"/>
      <c r="S561" s="8"/>
      <c r="T561" s="8"/>
      <c r="U561" s="8"/>
    </row>
    <row r="562" spans="1:21" ht="30" customHeight="1" x14ac:dyDescent="0.25">
      <c r="A562" s="8"/>
      <c r="B562" s="8"/>
      <c r="C562" s="8"/>
      <c r="D562" s="8"/>
      <c r="E562" s="224"/>
      <c r="F562" s="8"/>
      <c r="G562" s="8"/>
      <c r="H562" s="8"/>
      <c r="I562" s="8"/>
      <c r="J562" s="8"/>
      <c r="K562" s="8"/>
      <c r="L562" s="8"/>
      <c r="M562" s="8"/>
      <c r="N562" s="8"/>
      <c r="O562" s="8"/>
      <c r="P562" s="8"/>
      <c r="Q562" s="8"/>
      <c r="R562" s="8"/>
      <c r="S562" s="8"/>
      <c r="T562" s="8"/>
      <c r="U562" s="8"/>
    </row>
    <row r="563" spans="1:21" ht="30" customHeight="1" x14ac:dyDescent="0.25">
      <c r="A563" s="8"/>
      <c r="B563" s="8"/>
      <c r="C563" s="8"/>
      <c r="D563" s="8"/>
      <c r="E563" s="224"/>
      <c r="F563" s="8"/>
      <c r="G563" s="8"/>
      <c r="H563" s="8"/>
      <c r="I563" s="8"/>
      <c r="J563" s="8"/>
      <c r="K563" s="8"/>
      <c r="L563" s="8"/>
      <c r="M563" s="8"/>
      <c r="N563" s="8"/>
      <c r="O563" s="8"/>
      <c r="P563" s="8"/>
      <c r="Q563" s="8"/>
      <c r="R563" s="8"/>
      <c r="S563" s="8"/>
      <c r="T563" s="8"/>
      <c r="U563" s="8"/>
    </row>
    <row r="564" spans="1:21" ht="30" customHeight="1" x14ac:dyDescent="0.25">
      <c r="A564" s="8"/>
      <c r="B564" s="8"/>
      <c r="C564" s="8"/>
      <c r="D564" s="8"/>
      <c r="E564" s="224"/>
      <c r="F564" s="8"/>
      <c r="G564" s="8"/>
      <c r="H564" s="8"/>
      <c r="I564" s="8"/>
      <c r="J564" s="8"/>
      <c r="K564" s="8"/>
      <c r="L564" s="8"/>
      <c r="M564" s="8"/>
      <c r="N564" s="8"/>
      <c r="O564" s="8"/>
      <c r="P564" s="8"/>
      <c r="Q564" s="8"/>
      <c r="R564" s="8"/>
      <c r="S564" s="8"/>
      <c r="T564" s="8"/>
      <c r="U564" s="8"/>
    </row>
    <row r="565" spans="1:21" ht="30" customHeight="1" x14ac:dyDescent="0.25">
      <c r="A565" s="8"/>
      <c r="B565" s="8"/>
      <c r="C565" s="8"/>
      <c r="D565" s="8"/>
      <c r="E565" s="224"/>
      <c r="F565" s="8"/>
      <c r="G565" s="8"/>
      <c r="H565" s="8"/>
      <c r="I565" s="8"/>
      <c r="J565" s="8"/>
      <c r="K565" s="8"/>
      <c r="L565" s="8"/>
      <c r="M565" s="8"/>
      <c r="N565" s="8"/>
      <c r="O565" s="8"/>
      <c r="P565" s="8"/>
      <c r="Q565" s="8"/>
      <c r="R565" s="8"/>
      <c r="S565" s="8"/>
      <c r="T565" s="8"/>
      <c r="U565" s="8"/>
    </row>
    <row r="566" spans="1:21" ht="30" customHeight="1" x14ac:dyDescent="0.25">
      <c r="A566" s="8"/>
      <c r="B566" s="8"/>
      <c r="C566" s="8"/>
      <c r="D566" s="8"/>
      <c r="E566" s="224"/>
      <c r="F566" s="8"/>
      <c r="G566" s="8"/>
      <c r="H566" s="8"/>
      <c r="I566" s="8"/>
      <c r="J566" s="8"/>
      <c r="K566" s="8"/>
      <c r="L566" s="8"/>
      <c r="M566" s="8"/>
      <c r="N566" s="8"/>
      <c r="O566" s="8"/>
      <c r="P566" s="8"/>
      <c r="Q566" s="8"/>
      <c r="R566" s="8"/>
      <c r="S566" s="8"/>
      <c r="T566" s="8"/>
      <c r="U566" s="8"/>
    </row>
    <row r="567" spans="1:21" ht="30" customHeight="1" x14ac:dyDescent="0.25">
      <c r="A567" s="8"/>
      <c r="B567" s="8"/>
      <c r="C567" s="8"/>
      <c r="D567" s="8"/>
      <c r="E567" s="224"/>
      <c r="F567" s="8"/>
      <c r="G567" s="8"/>
      <c r="H567" s="8"/>
      <c r="I567" s="8"/>
      <c r="J567" s="8"/>
      <c r="K567" s="8"/>
      <c r="L567" s="8"/>
      <c r="M567" s="8"/>
      <c r="N567" s="8"/>
      <c r="O567" s="8"/>
      <c r="P567" s="8"/>
      <c r="Q567" s="8"/>
      <c r="R567" s="8"/>
      <c r="S567" s="8"/>
      <c r="T567" s="8"/>
      <c r="U567" s="8"/>
    </row>
    <row r="568" spans="1:21" ht="30" customHeight="1" x14ac:dyDescent="0.25">
      <c r="A568" s="8"/>
      <c r="B568" s="8"/>
      <c r="C568" s="8"/>
      <c r="D568" s="8"/>
      <c r="E568" s="224"/>
      <c r="F568" s="8"/>
      <c r="G568" s="8"/>
      <c r="H568" s="8"/>
      <c r="I568" s="8"/>
      <c r="J568" s="8"/>
      <c r="K568" s="8"/>
      <c r="L568" s="8"/>
      <c r="M568" s="8"/>
      <c r="N568" s="8"/>
      <c r="O568" s="8"/>
      <c r="P568" s="8"/>
      <c r="Q568" s="8"/>
      <c r="R568" s="8"/>
      <c r="S568" s="8"/>
      <c r="T568" s="8"/>
      <c r="U568" s="8"/>
    </row>
    <row r="569" spans="1:21" ht="30" customHeight="1" x14ac:dyDescent="0.25">
      <c r="A569" s="8"/>
      <c r="B569" s="8"/>
      <c r="C569" s="8"/>
      <c r="D569" s="8"/>
      <c r="E569" s="224"/>
      <c r="F569" s="8"/>
      <c r="G569" s="8"/>
      <c r="H569" s="8"/>
      <c r="I569" s="8"/>
      <c r="J569" s="8"/>
      <c r="K569" s="8"/>
      <c r="L569" s="8"/>
      <c r="M569" s="8"/>
      <c r="N569" s="8"/>
      <c r="O569" s="8"/>
      <c r="P569" s="8"/>
      <c r="Q569" s="8"/>
      <c r="R569" s="8"/>
      <c r="S569" s="8"/>
      <c r="T569" s="8"/>
      <c r="U569" s="8"/>
    </row>
    <row r="570" spans="1:21" ht="30" customHeight="1" x14ac:dyDescent="0.25">
      <c r="A570" s="8"/>
      <c r="B570" s="8"/>
      <c r="C570" s="8"/>
      <c r="D570" s="8"/>
      <c r="E570" s="224"/>
      <c r="F570" s="8"/>
      <c r="G570" s="8"/>
      <c r="H570" s="8"/>
      <c r="I570" s="8"/>
      <c r="J570" s="8"/>
      <c r="K570" s="8"/>
      <c r="L570" s="8"/>
      <c r="M570" s="8"/>
      <c r="N570" s="8"/>
      <c r="O570" s="8"/>
      <c r="P570" s="8"/>
      <c r="Q570" s="8"/>
      <c r="R570" s="8"/>
      <c r="S570" s="8"/>
      <c r="T570" s="8"/>
      <c r="U570" s="8"/>
    </row>
    <row r="571" spans="1:21" ht="30" customHeight="1" x14ac:dyDescent="0.25">
      <c r="A571" s="8"/>
      <c r="B571" s="8"/>
      <c r="C571" s="8"/>
      <c r="D571" s="8"/>
      <c r="E571" s="224"/>
      <c r="F571" s="8"/>
      <c r="G571" s="8"/>
      <c r="H571" s="8"/>
      <c r="I571" s="8"/>
      <c r="J571" s="8"/>
      <c r="K571" s="8"/>
      <c r="L571" s="8"/>
      <c r="M571" s="8"/>
      <c r="N571" s="8"/>
      <c r="O571" s="8"/>
      <c r="P571" s="8"/>
      <c r="Q571" s="8"/>
      <c r="R571" s="8"/>
      <c r="S571" s="8"/>
      <c r="T571" s="8"/>
      <c r="U571" s="8"/>
    </row>
    <row r="572" spans="1:21" ht="30" customHeight="1" x14ac:dyDescent="0.25">
      <c r="A572" s="8"/>
      <c r="B572" s="8"/>
      <c r="C572" s="8"/>
      <c r="D572" s="8"/>
      <c r="E572" s="224"/>
      <c r="F572" s="8"/>
      <c r="G572" s="8"/>
      <c r="H572" s="8"/>
      <c r="I572" s="8"/>
      <c r="J572" s="8"/>
      <c r="K572" s="8"/>
      <c r="L572" s="8"/>
      <c r="M572" s="8"/>
      <c r="N572" s="8"/>
      <c r="O572" s="8"/>
      <c r="P572" s="8"/>
      <c r="Q572" s="8"/>
      <c r="R572" s="8"/>
      <c r="S572" s="8"/>
      <c r="T572" s="8"/>
      <c r="U572" s="8"/>
    </row>
    <row r="573" spans="1:21" ht="30" customHeight="1" x14ac:dyDescent="0.25">
      <c r="A573" s="8"/>
      <c r="B573" s="8"/>
      <c r="C573" s="8"/>
      <c r="D573" s="8"/>
      <c r="E573" s="224"/>
      <c r="F573" s="8"/>
      <c r="G573" s="8"/>
      <c r="H573" s="8"/>
      <c r="I573" s="8"/>
      <c r="J573" s="8"/>
      <c r="K573" s="8"/>
      <c r="L573" s="8"/>
      <c r="M573" s="8"/>
      <c r="N573" s="8"/>
      <c r="O573" s="8"/>
      <c r="P573" s="8"/>
      <c r="Q573" s="8"/>
      <c r="R573" s="8"/>
      <c r="S573" s="8"/>
      <c r="T573" s="8"/>
      <c r="U573" s="8"/>
    </row>
    <row r="574" spans="1:21" ht="30" customHeight="1" x14ac:dyDescent="0.25">
      <c r="A574" s="8"/>
      <c r="B574" s="8"/>
      <c r="C574" s="8"/>
      <c r="D574" s="8"/>
      <c r="E574" s="224"/>
      <c r="F574" s="8"/>
      <c r="G574" s="8"/>
      <c r="H574" s="8"/>
      <c r="I574" s="8"/>
      <c r="J574" s="8"/>
      <c r="K574" s="8"/>
      <c r="L574" s="8"/>
      <c r="M574" s="8"/>
      <c r="N574" s="8"/>
      <c r="O574" s="8"/>
      <c r="P574" s="8"/>
      <c r="Q574" s="8"/>
      <c r="R574" s="8"/>
      <c r="S574" s="8"/>
      <c r="T574" s="8"/>
      <c r="U574" s="8"/>
    </row>
    <row r="575" spans="1:21" ht="30" customHeight="1" x14ac:dyDescent="0.25">
      <c r="A575" s="8"/>
      <c r="B575" s="8"/>
      <c r="C575" s="8"/>
      <c r="D575" s="8"/>
      <c r="E575" s="224"/>
      <c r="F575" s="8"/>
      <c r="G575" s="8"/>
      <c r="H575" s="8"/>
      <c r="I575" s="8"/>
      <c r="J575" s="8"/>
      <c r="K575" s="8"/>
      <c r="L575" s="8"/>
      <c r="M575" s="8"/>
      <c r="N575" s="8"/>
      <c r="O575" s="8"/>
      <c r="P575" s="8"/>
      <c r="Q575" s="8"/>
      <c r="R575" s="8"/>
      <c r="S575" s="8"/>
      <c r="T575" s="8"/>
      <c r="U575" s="8"/>
    </row>
    <row r="576" spans="1:21" ht="30" customHeight="1" x14ac:dyDescent="0.25">
      <c r="A576" s="8"/>
      <c r="B576" s="8"/>
      <c r="C576" s="8"/>
      <c r="D576" s="8"/>
      <c r="E576" s="224"/>
      <c r="F576" s="8"/>
      <c r="G576" s="8"/>
      <c r="H576" s="8"/>
      <c r="I576" s="8"/>
      <c r="J576" s="8"/>
      <c r="K576" s="8"/>
      <c r="L576" s="8"/>
      <c r="M576" s="8"/>
      <c r="N576" s="8"/>
      <c r="O576" s="8"/>
      <c r="P576" s="8"/>
      <c r="Q576" s="8"/>
      <c r="R576" s="8"/>
      <c r="S576" s="8"/>
      <c r="T576" s="8"/>
      <c r="U576" s="8"/>
    </row>
    <row r="577" spans="1:21" ht="30" customHeight="1" x14ac:dyDescent="0.25">
      <c r="A577" s="8"/>
      <c r="B577" s="8"/>
      <c r="C577" s="8"/>
      <c r="D577" s="8"/>
      <c r="E577" s="224"/>
      <c r="F577" s="8"/>
      <c r="G577" s="8"/>
      <c r="H577" s="8"/>
      <c r="I577" s="8"/>
      <c r="J577" s="8"/>
      <c r="K577" s="8"/>
      <c r="L577" s="8"/>
      <c r="M577" s="8"/>
      <c r="N577" s="8"/>
      <c r="O577" s="8"/>
      <c r="P577" s="8"/>
      <c r="Q577" s="8"/>
      <c r="R577" s="8"/>
      <c r="S577" s="8"/>
      <c r="T577" s="8"/>
      <c r="U577" s="8"/>
    </row>
    <row r="578" spans="1:21" ht="30" customHeight="1" x14ac:dyDescent="0.25">
      <c r="A578" s="8"/>
      <c r="B578" s="8"/>
      <c r="C578" s="8"/>
      <c r="D578" s="8"/>
      <c r="E578" s="224"/>
      <c r="F578" s="8"/>
      <c r="G578" s="8"/>
      <c r="H578" s="8"/>
      <c r="I578" s="8"/>
      <c r="J578" s="8"/>
      <c r="K578" s="8"/>
      <c r="L578" s="8"/>
      <c r="M578" s="8"/>
      <c r="N578" s="8"/>
      <c r="O578" s="8"/>
      <c r="P578" s="8"/>
      <c r="Q578" s="8"/>
      <c r="R578" s="8"/>
      <c r="S578" s="8"/>
      <c r="T578" s="8"/>
      <c r="U578" s="8"/>
    </row>
    <row r="579" spans="1:21" ht="30" customHeight="1" x14ac:dyDescent="0.25">
      <c r="A579" s="8"/>
      <c r="B579" s="8"/>
      <c r="C579" s="8"/>
      <c r="D579" s="8"/>
      <c r="E579" s="224"/>
      <c r="F579" s="8"/>
      <c r="G579" s="8"/>
      <c r="H579" s="8"/>
      <c r="I579" s="8"/>
      <c r="J579" s="8"/>
      <c r="K579" s="8"/>
      <c r="L579" s="8"/>
      <c r="M579" s="8"/>
      <c r="N579" s="8"/>
      <c r="O579" s="8"/>
      <c r="P579" s="8"/>
      <c r="Q579" s="8"/>
      <c r="R579" s="8"/>
      <c r="S579" s="8"/>
      <c r="T579" s="8"/>
      <c r="U579" s="8"/>
    </row>
    <row r="580" spans="1:21" ht="30" customHeight="1" x14ac:dyDescent="0.25">
      <c r="A580" s="8"/>
      <c r="B580" s="8"/>
      <c r="C580" s="8"/>
      <c r="D580" s="8"/>
      <c r="E580" s="224"/>
      <c r="F580" s="8"/>
      <c r="G580" s="8"/>
      <c r="H580" s="8"/>
      <c r="I580" s="8"/>
      <c r="J580" s="8"/>
      <c r="K580" s="8"/>
      <c r="L580" s="8"/>
      <c r="M580" s="8"/>
      <c r="N580" s="8"/>
      <c r="O580" s="8"/>
      <c r="P580" s="8"/>
      <c r="Q580" s="8"/>
      <c r="R580" s="8"/>
      <c r="S580" s="8"/>
      <c r="T580" s="8"/>
      <c r="U580" s="8"/>
    </row>
    <row r="581" spans="1:21" ht="30" customHeight="1" x14ac:dyDescent="0.25">
      <c r="A581" s="8"/>
      <c r="B581" s="8"/>
      <c r="C581" s="8"/>
      <c r="D581" s="8"/>
      <c r="E581" s="224"/>
      <c r="F581" s="8"/>
      <c r="G581" s="8"/>
      <c r="H581" s="8"/>
      <c r="I581" s="8"/>
      <c r="J581" s="8"/>
      <c r="K581" s="8"/>
      <c r="L581" s="8"/>
      <c r="M581" s="8"/>
      <c r="N581" s="8"/>
      <c r="O581" s="8"/>
      <c r="P581" s="8"/>
      <c r="Q581" s="8"/>
      <c r="R581" s="8"/>
      <c r="S581" s="8"/>
      <c r="T581" s="8"/>
      <c r="U581" s="8"/>
    </row>
    <row r="582" spans="1:21" ht="30" customHeight="1" x14ac:dyDescent="0.25">
      <c r="A582" s="8"/>
      <c r="B582" s="8"/>
      <c r="C582" s="8"/>
      <c r="D582" s="8"/>
      <c r="E582" s="224"/>
      <c r="F582" s="8"/>
      <c r="G582" s="8"/>
      <c r="H582" s="8"/>
      <c r="I582" s="8"/>
      <c r="J582" s="8"/>
      <c r="K582" s="8"/>
      <c r="L582" s="8"/>
      <c r="M582" s="8"/>
      <c r="N582" s="8"/>
      <c r="O582" s="8"/>
      <c r="P582" s="8"/>
      <c r="Q582" s="8"/>
      <c r="R582" s="8"/>
      <c r="S582" s="8"/>
      <c r="T582" s="8"/>
      <c r="U582" s="8"/>
    </row>
    <row r="583" spans="1:21" ht="30" customHeight="1" x14ac:dyDescent="0.25">
      <c r="A583" s="8"/>
      <c r="B583" s="8"/>
      <c r="C583" s="8"/>
      <c r="D583" s="8"/>
      <c r="E583" s="224"/>
      <c r="F583" s="8"/>
      <c r="G583" s="8"/>
      <c r="H583" s="8"/>
      <c r="I583" s="8"/>
      <c r="J583" s="8"/>
      <c r="K583" s="8"/>
      <c r="L583" s="8"/>
      <c r="M583" s="8"/>
      <c r="N583" s="8"/>
      <c r="O583" s="8"/>
      <c r="P583" s="8"/>
      <c r="Q583" s="8"/>
      <c r="R583" s="8"/>
      <c r="S583" s="8"/>
      <c r="T583" s="8"/>
      <c r="U583" s="8"/>
    </row>
    <row r="584" spans="1:21" ht="30" customHeight="1" x14ac:dyDescent="0.25">
      <c r="A584" s="8"/>
      <c r="B584" s="8"/>
      <c r="C584" s="8"/>
      <c r="D584" s="8"/>
      <c r="E584" s="224"/>
      <c r="F584" s="8"/>
      <c r="G584" s="8"/>
      <c r="H584" s="8"/>
      <c r="I584" s="8"/>
      <c r="J584" s="8"/>
      <c r="K584" s="8"/>
      <c r="L584" s="8"/>
      <c r="M584" s="8"/>
      <c r="N584" s="8"/>
      <c r="O584" s="8"/>
      <c r="P584" s="8"/>
      <c r="Q584" s="8"/>
      <c r="R584" s="8"/>
      <c r="S584" s="8"/>
      <c r="T584" s="8"/>
      <c r="U584" s="8"/>
    </row>
    <row r="585" spans="1:21" ht="30" customHeight="1" x14ac:dyDescent="0.25">
      <c r="A585" s="8"/>
      <c r="B585" s="8"/>
      <c r="C585" s="8"/>
      <c r="D585" s="8"/>
      <c r="E585" s="224"/>
      <c r="F585" s="8"/>
      <c r="G585" s="8"/>
      <c r="H585" s="8"/>
      <c r="I585" s="8"/>
      <c r="J585" s="8"/>
      <c r="K585" s="8"/>
      <c r="L585" s="8"/>
      <c r="M585" s="8"/>
      <c r="N585" s="8"/>
      <c r="O585" s="8"/>
      <c r="P585" s="8"/>
      <c r="Q585" s="8"/>
      <c r="R585" s="8"/>
      <c r="S585" s="8"/>
      <c r="T585" s="8"/>
      <c r="U585" s="8"/>
    </row>
    <row r="586" spans="1:21" ht="30" customHeight="1" x14ac:dyDescent="0.25">
      <c r="A586" s="8"/>
      <c r="B586" s="8"/>
      <c r="C586" s="8"/>
      <c r="D586" s="8"/>
      <c r="E586" s="224"/>
      <c r="F586" s="8"/>
      <c r="G586" s="8"/>
      <c r="H586" s="8"/>
      <c r="I586" s="8"/>
      <c r="J586" s="8"/>
      <c r="K586" s="8"/>
      <c r="L586" s="8"/>
      <c r="M586" s="8"/>
      <c r="N586" s="8"/>
      <c r="O586" s="8"/>
      <c r="P586" s="8"/>
      <c r="Q586" s="8"/>
      <c r="R586" s="8"/>
      <c r="S586" s="8"/>
      <c r="T586" s="8"/>
      <c r="U586" s="8"/>
    </row>
    <row r="587" spans="1:21" ht="30" customHeight="1" x14ac:dyDescent="0.25">
      <c r="A587" s="8"/>
      <c r="B587" s="8"/>
      <c r="C587" s="8"/>
      <c r="D587" s="8"/>
      <c r="E587" s="224"/>
      <c r="F587" s="8"/>
      <c r="G587" s="8"/>
      <c r="H587" s="8"/>
      <c r="I587" s="8"/>
      <c r="J587" s="8"/>
      <c r="K587" s="8"/>
      <c r="L587" s="8"/>
      <c r="M587" s="8"/>
      <c r="N587" s="8"/>
      <c r="O587" s="8"/>
      <c r="P587" s="8"/>
      <c r="Q587" s="8"/>
      <c r="R587" s="8"/>
      <c r="S587" s="8"/>
      <c r="T587" s="8"/>
      <c r="U587" s="8"/>
    </row>
    <row r="588" spans="1:21" ht="30" customHeight="1" x14ac:dyDescent="0.25">
      <c r="A588" s="8"/>
      <c r="B588" s="8"/>
      <c r="C588" s="8"/>
      <c r="D588" s="8"/>
      <c r="E588" s="224"/>
      <c r="F588" s="8"/>
      <c r="G588" s="8"/>
      <c r="H588" s="8"/>
      <c r="I588" s="8"/>
      <c r="J588" s="8"/>
      <c r="K588" s="8"/>
      <c r="L588" s="8"/>
      <c r="M588" s="8"/>
      <c r="N588" s="8"/>
      <c r="O588" s="8"/>
      <c r="P588" s="8"/>
      <c r="Q588" s="8"/>
      <c r="R588" s="8"/>
      <c r="S588" s="8"/>
      <c r="T588" s="8"/>
      <c r="U588" s="8"/>
    </row>
    <row r="589" spans="1:21" ht="30" customHeight="1" x14ac:dyDescent="0.25">
      <c r="A589" s="8"/>
      <c r="B589" s="8"/>
      <c r="C589" s="8"/>
      <c r="D589" s="8"/>
      <c r="E589" s="224"/>
      <c r="F589" s="8"/>
      <c r="G589" s="8"/>
      <c r="H589" s="8"/>
      <c r="I589" s="8"/>
      <c r="J589" s="8"/>
      <c r="K589" s="8"/>
      <c r="L589" s="8"/>
      <c r="M589" s="8"/>
      <c r="N589" s="8"/>
      <c r="O589" s="8"/>
      <c r="P589" s="8"/>
      <c r="Q589" s="8"/>
      <c r="R589" s="8"/>
      <c r="S589" s="8"/>
      <c r="T589" s="8"/>
      <c r="U589" s="8"/>
    </row>
    <row r="590" spans="1:21" ht="30" customHeight="1" x14ac:dyDescent="0.25">
      <c r="A590" s="8"/>
      <c r="B590" s="8"/>
      <c r="C590" s="8"/>
      <c r="D590" s="8"/>
      <c r="E590" s="224"/>
      <c r="F590" s="8"/>
      <c r="G590" s="8"/>
      <c r="H590" s="8"/>
      <c r="I590" s="8"/>
      <c r="J590" s="8"/>
      <c r="K590" s="8"/>
      <c r="L590" s="8"/>
      <c r="M590" s="8"/>
      <c r="N590" s="8"/>
      <c r="O590" s="8"/>
      <c r="P590" s="8"/>
      <c r="Q590" s="8"/>
      <c r="R590" s="8"/>
      <c r="S590" s="8"/>
      <c r="T590" s="8"/>
      <c r="U590" s="8"/>
    </row>
    <row r="591" spans="1:21" ht="30" customHeight="1" x14ac:dyDescent="0.25">
      <c r="A591" s="8"/>
      <c r="B591" s="8"/>
      <c r="C591" s="8"/>
      <c r="D591" s="8"/>
      <c r="E591" s="224"/>
      <c r="F591" s="8"/>
      <c r="G591" s="8"/>
      <c r="H591" s="8"/>
      <c r="I591" s="8"/>
      <c r="J591" s="8"/>
      <c r="K591" s="8"/>
      <c r="L591" s="8"/>
      <c r="M591" s="8"/>
      <c r="N591" s="8"/>
      <c r="O591" s="8"/>
      <c r="P591" s="8"/>
      <c r="Q591" s="8"/>
      <c r="R591" s="8"/>
      <c r="S591" s="8"/>
      <c r="T591" s="8"/>
      <c r="U591" s="8"/>
    </row>
    <row r="592" spans="1:21" ht="30" customHeight="1" x14ac:dyDescent="0.25">
      <c r="A592" s="8"/>
      <c r="B592" s="8"/>
      <c r="C592" s="8"/>
      <c r="D592" s="8"/>
      <c r="E592" s="224"/>
      <c r="F592" s="8"/>
      <c r="G592" s="8"/>
      <c r="H592" s="8"/>
      <c r="I592" s="8"/>
      <c r="J592" s="8"/>
      <c r="K592" s="8"/>
      <c r="L592" s="8"/>
      <c r="M592" s="8"/>
      <c r="N592" s="8"/>
      <c r="O592" s="8"/>
      <c r="P592" s="8"/>
      <c r="Q592" s="8"/>
      <c r="R592" s="8"/>
      <c r="S592" s="8"/>
      <c r="T592" s="8"/>
      <c r="U592" s="8"/>
    </row>
    <row r="593" spans="1:21" ht="30" customHeight="1" x14ac:dyDescent="0.25">
      <c r="A593" s="8"/>
      <c r="B593" s="8"/>
      <c r="C593" s="8"/>
      <c r="D593" s="8"/>
      <c r="E593" s="224"/>
      <c r="F593" s="8"/>
      <c r="G593" s="8"/>
      <c r="H593" s="8"/>
      <c r="I593" s="8"/>
      <c r="J593" s="8"/>
      <c r="K593" s="8"/>
      <c r="L593" s="8"/>
      <c r="M593" s="8"/>
      <c r="N593" s="8"/>
      <c r="O593" s="8"/>
      <c r="P593" s="8"/>
      <c r="Q593" s="8"/>
      <c r="R593" s="8"/>
      <c r="S593" s="8"/>
      <c r="T593" s="8"/>
      <c r="U593" s="8"/>
    </row>
    <row r="594" spans="1:21" ht="30" customHeight="1" x14ac:dyDescent="0.25">
      <c r="A594" s="8"/>
      <c r="B594" s="8"/>
      <c r="C594" s="8"/>
      <c r="D594" s="8"/>
      <c r="E594" s="224"/>
      <c r="F594" s="8"/>
      <c r="G594" s="8"/>
      <c r="H594" s="8"/>
      <c r="I594" s="8"/>
      <c r="J594" s="8"/>
      <c r="K594" s="8"/>
      <c r="L594" s="8"/>
      <c r="M594" s="8"/>
      <c r="N594" s="8"/>
      <c r="O594" s="8"/>
      <c r="P594" s="8"/>
      <c r="Q594" s="8"/>
      <c r="R594" s="8"/>
      <c r="S594" s="8"/>
      <c r="T594" s="8"/>
      <c r="U594" s="8"/>
    </row>
    <row r="595" spans="1:21" ht="30" customHeight="1" x14ac:dyDescent="0.25">
      <c r="A595" s="8"/>
      <c r="B595" s="8"/>
      <c r="C595" s="8"/>
      <c r="D595" s="8"/>
      <c r="E595" s="224"/>
      <c r="F595" s="8"/>
      <c r="G595" s="8"/>
      <c r="H595" s="8"/>
      <c r="I595" s="8"/>
      <c r="J595" s="8"/>
      <c r="K595" s="8"/>
      <c r="L595" s="8"/>
      <c r="M595" s="8"/>
      <c r="N595" s="8"/>
      <c r="O595" s="8"/>
      <c r="P595" s="8"/>
      <c r="Q595" s="8"/>
      <c r="R595" s="8"/>
      <c r="S595" s="8"/>
      <c r="T595" s="8"/>
      <c r="U595" s="8"/>
    </row>
    <row r="596" spans="1:21" ht="30" customHeight="1" x14ac:dyDescent="0.25">
      <c r="A596" s="8"/>
      <c r="B596" s="8"/>
      <c r="C596" s="8"/>
      <c r="D596" s="8"/>
      <c r="E596" s="224"/>
      <c r="F596" s="8"/>
      <c r="G596" s="8"/>
      <c r="H596" s="8"/>
      <c r="I596" s="8"/>
      <c r="J596" s="8"/>
      <c r="K596" s="8"/>
      <c r="L596" s="8"/>
      <c r="M596" s="8"/>
      <c r="N596" s="8"/>
      <c r="O596" s="8"/>
      <c r="P596" s="8"/>
      <c r="Q596" s="8"/>
      <c r="R596" s="8"/>
      <c r="S596" s="8"/>
      <c r="T596" s="8"/>
      <c r="U596" s="8"/>
    </row>
    <row r="597" spans="1:21" ht="30" customHeight="1" x14ac:dyDescent="0.25">
      <c r="A597" s="8"/>
      <c r="B597" s="8"/>
      <c r="C597" s="8"/>
      <c r="D597" s="8"/>
      <c r="E597" s="224"/>
      <c r="F597" s="8"/>
      <c r="G597" s="8"/>
      <c r="H597" s="8"/>
      <c r="I597" s="8"/>
      <c r="J597" s="8"/>
      <c r="K597" s="8"/>
      <c r="L597" s="8"/>
      <c r="M597" s="8"/>
      <c r="N597" s="8"/>
      <c r="O597" s="8"/>
      <c r="P597" s="8"/>
      <c r="Q597" s="8"/>
      <c r="R597" s="8"/>
      <c r="S597" s="8"/>
      <c r="T597" s="8"/>
      <c r="U597" s="8"/>
    </row>
    <row r="598" spans="1:21" ht="30" customHeight="1" x14ac:dyDescent="0.25">
      <c r="A598" s="8"/>
      <c r="B598" s="8"/>
      <c r="C598" s="8"/>
      <c r="D598" s="8"/>
      <c r="E598" s="224"/>
      <c r="F598" s="8"/>
      <c r="G598" s="8"/>
      <c r="H598" s="8"/>
      <c r="I598" s="8"/>
      <c r="J598" s="8"/>
      <c r="K598" s="8"/>
      <c r="L598" s="8"/>
      <c r="M598" s="8"/>
      <c r="N598" s="8"/>
      <c r="O598" s="8"/>
      <c r="P598" s="8"/>
      <c r="Q598" s="8"/>
      <c r="R598" s="8"/>
      <c r="S598" s="8"/>
      <c r="T598" s="8"/>
      <c r="U598" s="8"/>
    </row>
    <row r="599" spans="1:21" ht="30" customHeight="1" x14ac:dyDescent="0.25">
      <c r="A599" s="8"/>
      <c r="B599" s="8"/>
      <c r="C599" s="8"/>
      <c r="D599" s="8"/>
      <c r="E599" s="224"/>
      <c r="F599" s="8"/>
      <c r="G599" s="8"/>
      <c r="H599" s="8"/>
      <c r="I599" s="8"/>
      <c r="J599" s="8"/>
      <c r="K599" s="8"/>
      <c r="L599" s="8"/>
      <c r="M599" s="8"/>
      <c r="N599" s="8"/>
      <c r="O599" s="8"/>
      <c r="P599" s="8"/>
      <c r="Q599" s="8"/>
      <c r="R599" s="8"/>
      <c r="S599" s="8"/>
      <c r="T599" s="8"/>
      <c r="U599" s="8"/>
    </row>
    <row r="600" spans="1:21" ht="30" customHeight="1" x14ac:dyDescent="0.25">
      <c r="A600" s="8"/>
      <c r="B600" s="8"/>
      <c r="C600" s="8"/>
      <c r="D600" s="8"/>
      <c r="E600" s="224"/>
      <c r="F600" s="8"/>
      <c r="G600" s="8"/>
      <c r="H600" s="8"/>
      <c r="I600" s="8"/>
      <c r="J600" s="8"/>
      <c r="K600" s="8"/>
      <c r="L600" s="8"/>
      <c r="M600" s="8"/>
      <c r="N600" s="8"/>
      <c r="O600" s="8"/>
      <c r="P600" s="8"/>
      <c r="Q600" s="8"/>
      <c r="R600" s="8"/>
      <c r="S600" s="8"/>
      <c r="T600" s="8"/>
      <c r="U600" s="8"/>
    </row>
    <row r="601" spans="1:21" ht="30" customHeight="1" x14ac:dyDescent="0.25">
      <c r="A601" s="8"/>
      <c r="B601" s="8"/>
      <c r="C601" s="8"/>
      <c r="D601" s="8"/>
      <c r="E601" s="224"/>
      <c r="F601" s="8"/>
      <c r="G601" s="8"/>
      <c r="H601" s="8"/>
      <c r="I601" s="8"/>
      <c r="J601" s="8"/>
      <c r="K601" s="8"/>
      <c r="L601" s="8"/>
      <c r="M601" s="8"/>
      <c r="N601" s="8"/>
      <c r="O601" s="8"/>
      <c r="P601" s="8"/>
      <c r="Q601" s="8"/>
      <c r="R601" s="8"/>
      <c r="S601" s="8"/>
      <c r="T601" s="8"/>
      <c r="U601" s="8"/>
    </row>
    <row r="602" spans="1:21" ht="30" customHeight="1" x14ac:dyDescent="0.25">
      <c r="A602" s="8"/>
      <c r="B602" s="8"/>
      <c r="C602" s="8"/>
      <c r="D602" s="8"/>
      <c r="E602" s="224"/>
      <c r="F602" s="8"/>
      <c r="G602" s="8"/>
      <c r="H602" s="8"/>
      <c r="I602" s="8"/>
      <c r="J602" s="8"/>
      <c r="K602" s="8"/>
      <c r="L602" s="8"/>
      <c r="M602" s="8"/>
      <c r="N602" s="8"/>
      <c r="O602" s="8"/>
      <c r="P602" s="8"/>
      <c r="Q602" s="8"/>
      <c r="R602" s="8"/>
      <c r="S602" s="8"/>
      <c r="T602" s="8"/>
      <c r="U602" s="8"/>
    </row>
    <row r="603" spans="1:21" ht="30" customHeight="1" x14ac:dyDescent="0.25">
      <c r="A603" s="8"/>
      <c r="B603" s="8"/>
      <c r="C603" s="8"/>
      <c r="D603" s="8"/>
      <c r="E603" s="224"/>
      <c r="F603" s="8"/>
      <c r="G603" s="8"/>
      <c r="H603" s="8"/>
      <c r="I603" s="8"/>
      <c r="J603" s="8"/>
      <c r="K603" s="8"/>
      <c r="L603" s="8"/>
      <c r="M603" s="8"/>
      <c r="N603" s="8"/>
      <c r="O603" s="8"/>
      <c r="P603" s="8"/>
      <c r="Q603" s="8"/>
      <c r="R603" s="8"/>
      <c r="S603" s="8"/>
      <c r="T603" s="8"/>
      <c r="U603" s="8"/>
    </row>
    <row r="604" spans="1:21" ht="30" customHeight="1" x14ac:dyDescent="0.25">
      <c r="A604" s="8"/>
      <c r="B604" s="8"/>
      <c r="C604" s="8"/>
      <c r="D604" s="8"/>
      <c r="E604" s="224"/>
      <c r="F604" s="8"/>
      <c r="G604" s="8"/>
      <c r="H604" s="8"/>
      <c r="I604" s="8"/>
      <c r="J604" s="8"/>
      <c r="K604" s="8"/>
      <c r="L604" s="8"/>
      <c r="M604" s="8"/>
      <c r="N604" s="8"/>
      <c r="O604" s="8"/>
      <c r="P604" s="8"/>
      <c r="Q604" s="8"/>
      <c r="R604" s="8"/>
      <c r="S604" s="8"/>
      <c r="T604" s="8"/>
      <c r="U604" s="8"/>
    </row>
    <row r="605" spans="1:21" ht="30" customHeight="1" x14ac:dyDescent="0.25">
      <c r="A605" s="8"/>
      <c r="B605" s="8"/>
      <c r="C605" s="8"/>
      <c r="D605" s="8"/>
      <c r="E605" s="224"/>
      <c r="F605" s="8"/>
      <c r="G605" s="8"/>
      <c r="H605" s="8"/>
      <c r="I605" s="8"/>
      <c r="J605" s="8"/>
      <c r="K605" s="8"/>
      <c r="L605" s="8"/>
      <c r="M605" s="8"/>
      <c r="N605" s="8"/>
      <c r="O605" s="8"/>
      <c r="P605" s="8"/>
      <c r="Q605" s="8"/>
      <c r="R605" s="8"/>
      <c r="S605" s="8"/>
      <c r="T605" s="8"/>
      <c r="U605" s="8"/>
    </row>
    <row r="606" spans="1:21" ht="30" customHeight="1" x14ac:dyDescent="0.25">
      <c r="A606" s="8"/>
      <c r="B606" s="8"/>
      <c r="C606" s="8"/>
      <c r="D606" s="8"/>
      <c r="E606" s="224"/>
      <c r="F606" s="8"/>
      <c r="G606" s="8"/>
      <c r="H606" s="8"/>
      <c r="I606" s="8"/>
      <c r="J606" s="8"/>
      <c r="K606" s="8"/>
      <c r="L606" s="8"/>
      <c r="M606" s="8"/>
      <c r="N606" s="8"/>
      <c r="O606" s="8"/>
      <c r="P606" s="8"/>
      <c r="Q606" s="8"/>
      <c r="R606" s="8"/>
      <c r="S606" s="8"/>
      <c r="T606" s="8"/>
      <c r="U606" s="8"/>
    </row>
    <row r="607" spans="1:21" ht="30" customHeight="1" x14ac:dyDescent="0.25">
      <c r="A607" s="8"/>
      <c r="B607" s="8"/>
      <c r="C607" s="8"/>
      <c r="D607" s="8"/>
      <c r="E607" s="224"/>
      <c r="F607" s="8"/>
      <c r="G607" s="8"/>
      <c r="H607" s="8"/>
      <c r="I607" s="8"/>
      <c r="J607" s="8"/>
      <c r="K607" s="8"/>
      <c r="L607" s="8"/>
      <c r="M607" s="8"/>
      <c r="N607" s="8"/>
      <c r="O607" s="8"/>
      <c r="P607" s="8"/>
      <c r="Q607" s="8"/>
      <c r="R607" s="8"/>
      <c r="S607" s="8"/>
      <c r="T607" s="8"/>
      <c r="U607" s="8"/>
    </row>
    <row r="608" spans="1:21" ht="30" customHeight="1" x14ac:dyDescent="0.25">
      <c r="A608" s="8"/>
      <c r="B608" s="8"/>
      <c r="C608" s="8"/>
      <c r="D608" s="8"/>
      <c r="E608" s="224"/>
      <c r="F608" s="8"/>
      <c r="G608" s="8"/>
      <c r="H608" s="8"/>
      <c r="I608" s="8"/>
      <c r="J608" s="8"/>
      <c r="K608" s="8"/>
      <c r="L608" s="8"/>
      <c r="M608" s="8"/>
      <c r="N608" s="8"/>
      <c r="O608" s="8"/>
      <c r="P608" s="8"/>
      <c r="Q608" s="8"/>
      <c r="R608" s="8"/>
      <c r="S608" s="8"/>
      <c r="T608" s="8"/>
      <c r="U608" s="8"/>
    </row>
    <row r="609" spans="1:21" ht="30" customHeight="1" x14ac:dyDescent="0.25">
      <c r="A609" s="8"/>
      <c r="B609" s="8"/>
      <c r="C609" s="8"/>
      <c r="D609" s="8"/>
      <c r="E609" s="224"/>
      <c r="F609" s="8"/>
      <c r="G609" s="8"/>
      <c r="H609" s="8"/>
      <c r="I609" s="8"/>
      <c r="J609" s="8"/>
      <c r="K609" s="8"/>
      <c r="L609" s="8"/>
      <c r="M609" s="8"/>
      <c r="N609" s="8"/>
      <c r="O609" s="8"/>
      <c r="P609" s="8"/>
      <c r="Q609" s="8"/>
      <c r="R609" s="8"/>
      <c r="S609" s="8"/>
      <c r="T609" s="8"/>
      <c r="U609" s="8"/>
    </row>
    <row r="610" spans="1:21" ht="30" customHeight="1" x14ac:dyDescent="0.25">
      <c r="A610" s="8"/>
      <c r="B610" s="8"/>
      <c r="C610" s="8"/>
      <c r="D610" s="8"/>
      <c r="E610" s="224"/>
      <c r="F610" s="8"/>
      <c r="G610" s="8"/>
      <c r="H610" s="8"/>
      <c r="I610" s="8"/>
      <c r="J610" s="8"/>
      <c r="K610" s="8"/>
      <c r="L610" s="8"/>
      <c r="M610" s="8"/>
      <c r="N610" s="8"/>
      <c r="O610" s="8"/>
      <c r="P610" s="8"/>
      <c r="Q610" s="8"/>
      <c r="R610" s="8"/>
      <c r="S610" s="8"/>
      <c r="T610" s="8"/>
      <c r="U610" s="8"/>
    </row>
    <row r="611" spans="1:21" ht="30" customHeight="1" x14ac:dyDescent="0.25">
      <c r="A611" s="8"/>
      <c r="B611" s="8"/>
      <c r="C611" s="8"/>
      <c r="D611" s="8"/>
      <c r="E611" s="224"/>
      <c r="F611" s="8"/>
      <c r="G611" s="8"/>
      <c r="H611" s="8"/>
      <c r="I611" s="8"/>
      <c r="J611" s="8"/>
      <c r="K611" s="8"/>
      <c r="L611" s="8"/>
      <c r="M611" s="8"/>
      <c r="N611" s="8"/>
      <c r="O611" s="8"/>
      <c r="P611" s="8"/>
      <c r="Q611" s="8"/>
      <c r="R611" s="8"/>
      <c r="S611" s="8"/>
      <c r="T611" s="8"/>
      <c r="U611" s="8"/>
    </row>
    <row r="612" spans="1:21" ht="30" customHeight="1" x14ac:dyDescent="0.25">
      <c r="A612" s="8"/>
      <c r="B612" s="8"/>
      <c r="C612" s="8"/>
      <c r="D612" s="8"/>
      <c r="E612" s="224"/>
      <c r="F612" s="8"/>
      <c r="G612" s="8"/>
      <c r="H612" s="8"/>
      <c r="I612" s="8"/>
      <c r="J612" s="8"/>
      <c r="K612" s="8"/>
      <c r="L612" s="8"/>
      <c r="M612" s="8"/>
      <c r="N612" s="8"/>
      <c r="O612" s="8"/>
      <c r="P612" s="8"/>
      <c r="Q612" s="8"/>
      <c r="R612" s="8"/>
      <c r="S612" s="8"/>
      <c r="T612" s="8"/>
      <c r="U612" s="8"/>
    </row>
    <row r="613" spans="1:21" ht="30" customHeight="1" x14ac:dyDescent="0.25">
      <c r="A613" s="8"/>
      <c r="B613" s="8"/>
      <c r="C613" s="8"/>
      <c r="D613" s="8"/>
      <c r="E613" s="224"/>
      <c r="F613" s="8"/>
      <c r="G613" s="8"/>
      <c r="H613" s="8"/>
      <c r="I613" s="8"/>
      <c r="J613" s="8"/>
      <c r="K613" s="8"/>
      <c r="L613" s="8"/>
      <c r="M613" s="8"/>
      <c r="N613" s="8"/>
      <c r="O613" s="8"/>
      <c r="P613" s="8"/>
      <c r="Q613" s="8"/>
      <c r="R613" s="8"/>
      <c r="S613" s="8"/>
      <c r="T613" s="8"/>
      <c r="U613" s="8"/>
    </row>
    <row r="614" spans="1:21" ht="30" customHeight="1" x14ac:dyDescent="0.25">
      <c r="A614" s="8"/>
      <c r="B614" s="8"/>
      <c r="C614" s="8"/>
      <c r="D614" s="8"/>
      <c r="E614" s="224"/>
      <c r="F614" s="8"/>
      <c r="G614" s="8"/>
      <c r="H614" s="8"/>
      <c r="I614" s="8"/>
      <c r="J614" s="8"/>
      <c r="K614" s="8"/>
      <c r="L614" s="8"/>
      <c r="M614" s="8"/>
      <c r="N614" s="8"/>
      <c r="O614" s="8"/>
      <c r="P614" s="8"/>
      <c r="Q614" s="8"/>
      <c r="R614" s="8"/>
      <c r="S614" s="8"/>
      <c r="T614" s="8"/>
      <c r="U614" s="8"/>
    </row>
    <row r="615" spans="1:21" ht="30" customHeight="1" x14ac:dyDescent="0.25">
      <c r="A615" s="8"/>
      <c r="B615" s="8"/>
      <c r="C615" s="8"/>
      <c r="D615" s="8"/>
      <c r="E615" s="224"/>
      <c r="F615" s="8"/>
      <c r="G615" s="8"/>
      <c r="H615" s="8"/>
      <c r="I615" s="8"/>
      <c r="J615" s="8"/>
      <c r="K615" s="8"/>
      <c r="L615" s="8"/>
      <c r="M615" s="8"/>
      <c r="N615" s="8"/>
      <c r="O615" s="8"/>
      <c r="P615" s="8"/>
      <c r="Q615" s="8"/>
      <c r="R615" s="8"/>
      <c r="S615" s="8"/>
      <c r="T615" s="8"/>
      <c r="U615" s="8"/>
    </row>
    <row r="616" spans="1:21" ht="30" customHeight="1" x14ac:dyDescent="0.25">
      <c r="A616" s="8"/>
      <c r="B616" s="8"/>
      <c r="C616" s="8"/>
      <c r="D616" s="8"/>
      <c r="E616" s="224"/>
      <c r="F616" s="8"/>
      <c r="G616" s="8"/>
      <c r="H616" s="8"/>
      <c r="I616" s="8"/>
      <c r="J616" s="8"/>
      <c r="K616" s="8"/>
      <c r="L616" s="8"/>
      <c r="M616" s="8"/>
      <c r="N616" s="8"/>
      <c r="O616" s="8"/>
      <c r="P616" s="8"/>
      <c r="Q616" s="8"/>
      <c r="R616" s="8"/>
      <c r="S616" s="8"/>
      <c r="T616" s="8"/>
      <c r="U616" s="8"/>
    </row>
    <row r="617" spans="1:21" ht="30" customHeight="1" x14ac:dyDescent="0.25">
      <c r="A617" s="8"/>
      <c r="B617" s="8"/>
      <c r="C617" s="8"/>
      <c r="D617" s="8"/>
      <c r="E617" s="224"/>
      <c r="F617" s="8"/>
      <c r="G617" s="8"/>
      <c r="H617" s="8"/>
      <c r="I617" s="8"/>
      <c r="J617" s="8"/>
      <c r="K617" s="8"/>
      <c r="L617" s="8"/>
      <c r="M617" s="8"/>
      <c r="N617" s="8"/>
      <c r="O617" s="8"/>
      <c r="P617" s="8"/>
      <c r="Q617" s="8"/>
      <c r="R617" s="8"/>
      <c r="S617" s="8"/>
      <c r="T617" s="8"/>
      <c r="U617" s="8"/>
    </row>
    <row r="618" spans="1:21" ht="30" customHeight="1" x14ac:dyDescent="0.25">
      <c r="A618" s="8"/>
      <c r="B618" s="8"/>
      <c r="C618" s="8"/>
      <c r="D618" s="8"/>
      <c r="E618" s="224"/>
      <c r="F618" s="8"/>
      <c r="G618" s="8"/>
      <c r="H618" s="8"/>
      <c r="I618" s="8"/>
      <c r="J618" s="8"/>
      <c r="K618" s="8"/>
      <c r="L618" s="8"/>
      <c r="M618" s="8"/>
      <c r="N618" s="8"/>
      <c r="O618" s="8"/>
      <c r="P618" s="8"/>
      <c r="Q618" s="8"/>
      <c r="R618" s="8"/>
      <c r="S618" s="8"/>
      <c r="T618" s="8"/>
      <c r="U618" s="8"/>
    </row>
    <row r="619" spans="1:21" ht="30" customHeight="1" x14ac:dyDescent="0.25">
      <c r="A619" s="8"/>
      <c r="B619" s="8"/>
      <c r="C619" s="8"/>
      <c r="D619" s="8"/>
      <c r="E619" s="224"/>
      <c r="F619" s="8"/>
      <c r="G619" s="8"/>
      <c r="H619" s="8"/>
      <c r="I619" s="8"/>
      <c r="J619" s="8"/>
      <c r="K619" s="8"/>
      <c r="L619" s="8"/>
      <c r="M619" s="8"/>
      <c r="N619" s="8"/>
      <c r="O619" s="8"/>
      <c r="P619" s="8"/>
      <c r="Q619" s="8"/>
      <c r="R619" s="8"/>
      <c r="S619" s="8"/>
      <c r="T619" s="8"/>
      <c r="U619" s="8"/>
    </row>
    <row r="620" spans="1:21" ht="30" customHeight="1" x14ac:dyDescent="0.25">
      <c r="A620" s="8"/>
      <c r="B620" s="8"/>
      <c r="C620" s="8"/>
      <c r="D620" s="8"/>
      <c r="E620" s="224"/>
      <c r="F620" s="8"/>
      <c r="G620" s="8"/>
      <c r="H620" s="8"/>
      <c r="I620" s="8"/>
      <c r="J620" s="8"/>
      <c r="K620" s="8"/>
      <c r="L620" s="8"/>
      <c r="M620" s="8"/>
      <c r="N620" s="8"/>
      <c r="O620" s="8"/>
      <c r="P620" s="8"/>
      <c r="Q620" s="8"/>
      <c r="R620" s="8"/>
      <c r="S620" s="8"/>
      <c r="T620" s="8"/>
      <c r="U620" s="8"/>
    </row>
    <row r="621" spans="1:21" ht="30" customHeight="1" x14ac:dyDescent="0.25">
      <c r="A621" s="8"/>
      <c r="B621" s="8"/>
      <c r="C621" s="8"/>
      <c r="D621" s="8"/>
      <c r="E621" s="224"/>
      <c r="F621" s="8"/>
      <c r="G621" s="8"/>
      <c r="H621" s="8"/>
      <c r="I621" s="8"/>
      <c r="J621" s="8"/>
      <c r="K621" s="8"/>
      <c r="L621" s="8"/>
      <c r="M621" s="8"/>
      <c r="N621" s="8"/>
      <c r="O621" s="8"/>
      <c r="P621" s="8"/>
      <c r="Q621" s="8"/>
      <c r="R621" s="8"/>
      <c r="S621" s="8"/>
      <c r="T621" s="8"/>
      <c r="U621" s="8"/>
    </row>
    <row r="622" spans="1:21" ht="30" customHeight="1" x14ac:dyDescent="0.25">
      <c r="A622" s="8"/>
      <c r="B622" s="8"/>
      <c r="C622" s="8"/>
      <c r="D622" s="8"/>
      <c r="E622" s="224"/>
      <c r="F622" s="8"/>
      <c r="G622" s="8"/>
      <c r="H622" s="8"/>
      <c r="I622" s="8"/>
      <c r="J622" s="8"/>
      <c r="K622" s="8"/>
      <c r="L622" s="8"/>
      <c r="M622" s="8"/>
      <c r="N622" s="8"/>
      <c r="O622" s="8"/>
      <c r="P622" s="8"/>
      <c r="Q622" s="8"/>
      <c r="R622" s="8"/>
      <c r="S622" s="8"/>
      <c r="T622" s="8"/>
      <c r="U622" s="8"/>
    </row>
    <row r="623" spans="1:21" ht="30" customHeight="1" x14ac:dyDescent="0.25">
      <c r="A623" s="8"/>
      <c r="B623" s="8"/>
      <c r="C623" s="8"/>
      <c r="D623" s="8"/>
      <c r="E623" s="224"/>
      <c r="F623" s="8"/>
      <c r="G623" s="8"/>
      <c r="H623" s="8"/>
      <c r="I623" s="8"/>
      <c r="J623" s="8"/>
      <c r="K623" s="8"/>
      <c r="L623" s="8"/>
      <c r="M623" s="8"/>
      <c r="N623" s="8"/>
      <c r="O623" s="8"/>
      <c r="P623" s="8"/>
      <c r="Q623" s="8"/>
      <c r="R623" s="8"/>
      <c r="S623" s="8"/>
      <c r="T623" s="8"/>
      <c r="U623" s="8"/>
    </row>
    <row r="624" spans="1:21" ht="30" customHeight="1" x14ac:dyDescent="0.25">
      <c r="A624" s="8"/>
      <c r="B624" s="8"/>
      <c r="C624" s="8"/>
      <c r="D624" s="8"/>
      <c r="E624" s="224"/>
      <c r="F624" s="8"/>
      <c r="G624" s="8"/>
      <c r="H624" s="8"/>
      <c r="I624" s="8"/>
      <c r="J624" s="8"/>
      <c r="K624" s="8"/>
      <c r="L624" s="8"/>
      <c r="M624" s="8"/>
      <c r="N624" s="8"/>
      <c r="O624" s="8"/>
      <c r="P624" s="8"/>
      <c r="Q624" s="8"/>
      <c r="R624" s="8"/>
      <c r="S624" s="8"/>
      <c r="T624" s="8"/>
      <c r="U624" s="8"/>
    </row>
    <row r="625" spans="1:21" ht="30" customHeight="1" x14ac:dyDescent="0.25">
      <c r="A625" s="8"/>
      <c r="B625" s="8"/>
      <c r="C625" s="8"/>
      <c r="D625" s="8"/>
      <c r="E625" s="224"/>
      <c r="F625" s="8"/>
      <c r="G625" s="8"/>
      <c r="H625" s="8"/>
      <c r="I625" s="8"/>
      <c r="J625" s="8"/>
      <c r="K625" s="8"/>
      <c r="L625" s="8"/>
      <c r="M625" s="8"/>
      <c r="N625" s="8"/>
      <c r="O625" s="8"/>
      <c r="P625" s="8"/>
      <c r="Q625" s="8"/>
      <c r="R625" s="8"/>
      <c r="S625" s="8"/>
      <c r="T625" s="8"/>
      <c r="U625" s="8"/>
    </row>
    <row r="626" spans="1:21" ht="30" customHeight="1" x14ac:dyDescent="0.25">
      <c r="A626" s="8"/>
      <c r="B626" s="8"/>
      <c r="C626" s="8"/>
      <c r="D626" s="8"/>
      <c r="E626" s="224"/>
      <c r="F626" s="8"/>
      <c r="G626" s="8"/>
      <c r="H626" s="8"/>
      <c r="I626" s="8"/>
      <c r="J626" s="8"/>
      <c r="K626" s="8"/>
      <c r="L626" s="8"/>
      <c r="M626" s="8"/>
      <c r="N626" s="8"/>
      <c r="O626" s="8"/>
      <c r="P626" s="8"/>
      <c r="Q626" s="8"/>
      <c r="R626" s="8"/>
      <c r="S626" s="8"/>
      <c r="T626" s="8"/>
      <c r="U626" s="8"/>
    </row>
    <row r="627" spans="1:21" ht="30" customHeight="1" x14ac:dyDescent="0.25">
      <c r="A627" s="8"/>
      <c r="B627" s="8"/>
      <c r="C627" s="8"/>
      <c r="D627" s="8"/>
      <c r="E627" s="224"/>
      <c r="F627" s="8"/>
      <c r="G627" s="8"/>
      <c r="H627" s="8"/>
      <c r="I627" s="8"/>
      <c r="J627" s="8"/>
      <c r="K627" s="8"/>
      <c r="L627" s="8"/>
      <c r="M627" s="8"/>
      <c r="N627" s="8"/>
      <c r="O627" s="8"/>
      <c r="P627" s="8"/>
      <c r="Q627" s="8"/>
      <c r="R627" s="8"/>
      <c r="S627" s="8"/>
      <c r="T627" s="8"/>
      <c r="U627" s="8"/>
    </row>
    <row r="628" spans="1:21" ht="30" customHeight="1" x14ac:dyDescent="0.25">
      <c r="A628" s="8"/>
      <c r="B628" s="8"/>
      <c r="C628" s="8"/>
      <c r="D628" s="8"/>
      <c r="E628" s="224"/>
      <c r="F628" s="8"/>
      <c r="G628" s="8"/>
      <c r="H628" s="8"/>
      <c r="I628" s="8"/>
      <c r="J628" s="8"/>
      <c r="K628" s="8"/>
      <c r="L628" s="8"/>
      <c r="M628" s="8"/>
      <c r="N628" s="8"/>
      <c r="O628" s="8"/>
      <c r="P628" s="8"/>
      <c r="Q628" s="8"/>
      <c r="R628" s="8"/>
      <c r="S628" s="8"/>
      <c r="T628" s="8"/>
      <c r="U628" s="8"/>
    </row>
    <row r="629" spans="1:21" ht="30" customHeight="1" x14ac:dyDescent="0.25">
      <c r="A629" s="8"/>
      <c r="B629" s="8"/>
      <c r="C629" s="8"/>
      <c r="D629" s="8"/>
      <c r="E629" s="224"/>
      <c r="F629" s="8"/>
      <c r="G629" s="8"/>
      <c r="H629" s="8"/>
      <c r="I629" s="8"/>
      <c r="J629" s="8"/>
      <c r="K629" s="8"/>
      <c r="L629" s="8"/>
      <c r="M629" s="8"/>
      <c r="N629" s="8"/>
      <c r="O629" s="8"/>
      <c r="P629" s="8"/>
      <c r="Q629" s="8"/>
      <c r="R629" s="8"/>
      <c r="S629" s="8"/>
      <c r="T629" s="8"/>
      <c r="U629" s="8"/>
    </row>
    <row r="630" spans="1:21" ht="30" customHeight="1" x14ac:dyDescent="0.25">
      <c r="A630" s="8"/>
      <c r="B630" s="8"/>
      <c r="C630" s="8"/>
      <c r="D630" s="8"/>
      <c r="E630" s="224"/>
      <c r="F630" s="8"/>
      <c r="G630" s="8"/>
      <c r="H630" s="8"/>
      <c r="I630" s="8"/>
      <c r="J630" s="8"/>
      <c r="K630" s="8"/>
      <c r="L630" s="8"/>
      <c r="M630" s="8"/>
      <c r="N630" s="8"/>
      <c r="O630" s="8"/>
      <c r="P630" s="8"/>
      <c r="Q630" s="8"/>
      <c r="R630" s="8"/>
      <c r="S630" s="8"/>
      <c r="T630" s="8"/>
      <c r="U630" s="8"/>
    </row>
    <row r="631" spans="1:21" ht="30" customHeight="1" x14ac:dyDescent="0.25">
      <c r="A631" s="8"/>
      <c r="B631" s="8"/>
      <c r="C631" s="8"/>
      <c r="D631" s="8"/>
      <c r="E631" s="224"/>
      <c r="F631" s="8"/>
      <c r="G631" s="8"/>
      <c r="H631" s="8"/>
      <c r="I631" s="8"/>
      <c r="J631" s="8"/>
      <c r="K631" s="8"/>
      <c r="L631" s="8"/>
      <c r="M631" s="8"/>
      <c r="N631" s="8"/>
      <c r="O631" s="8"/>
      <c r="P631" s="8"/>
      <c r="Q631" s="8"/>
      <c r="R631" s="8"/>
      <c r="S631" s="8"/>
      <c r="T631" s="8"/>
      <c r="U631" s="8"/>
    </row>
    <row r="632" spans="1:21" ht="30" customHeight="1" x14ac:dyDescent="0.25">
      <c r="A632" s="8"/>
      <c r="B632" s="8"/>
      <c r="C632" s="8"/>
      <c r="D632" s="8"/>
      <c r="E632" s="224"/>
      <c r="F632" s="8"/>
      <c r="G632" s="8"/>
      <c r="H632" s="8"/>
      <c r="I632" s="8"/>
      <c r="J632" s="8"/>
      <c r="K632" s="8"/>
      <c r="L632" s="8"/>
      <c r="M632" s="8"/>
      <c r="N632" s="8"/>
      <c r="O632" s="8"/>
      <c r="P632" s="8"/>
      <c r="Q632" s="8"/>
      <c r="R632" s="8"/>
      <c r="S632" s="8"/>
      <c r="T632" s="8"/>
      <c r="U632" s="8"/>
    </row>
    <row r="633" spans="1:21" ht="30" customHeight="1" x14ac:dyDescent="0.25">
      <c r="A633" s="8"/>
      <c r="B633" s="8"/>
      <c r="C633" s="8"/>
      <c r="D633" s="8"/>
      <c r="E633" s="224"/>
      <c r="F633" s="8"/>
      <c r="G633" s="8"/>
      <c r="H633" s="8"/>
      <c r="I633" s="8"/>
      <c r="J633" s="8"/>
      <c r="K633" s="8"/>
      <c r="L633" s="8"/>
      <c r="M633" s="8"/>
      <c r="N633" s="8"/>
      <c r="O633" s="8"/>
      <c r="P633" s="8"/>
      <c r="Q633" s="8"/>
      <c r="R633" s="8"/>
      <c r="S633" s="8"/>
      <c r="T633" s="8"/>
      <c r="U633" s="8"/>
    </row>
    <row r="634" spans="1:21" ht="30" customHeight="1" x14ac:dyDescent="0.25">
      <c r="A634" s="8"/>
      <c r="B634" s="8"/>
      <c r="C634" s="8"/>
      <c r="D634" s="8"/>
      <c r="E634" s="224"/>
      <c r="F634" s="8"/>
      <c r="G634" s="8"/>
      <c r="H634" s="8"/>
      <c r="I634" s="8"/>
      <c r="J634" s="8"/>
      <c r="K634" s="8"/>
      <c r="L634" s="8"/>
      <c r="M634" s="8"/>
      <c r="N634" s="8"/>
      <c r="O634" s="8"/>
      <c r="P634" s="8"/>
      <c r="Q634" s="8"/>
      <c r="R634" s="8"/>
      <c r="S634" s="8"/>
      <c r="T634" s="8"/>
      <c r="U634" s="8"/>
    </row>
    <row r="635" spans="1:21" ht="30" customHeight="1" x14ac:dyDescent="0.25">
      <c r="A635" s="8"/>
      <c r="B635" s="8"/>
      <c r="C635" s="8"/>
      <c r="D635" s="8"/>
      <c r="E635" s="224"/>
      <c r="F635" s="8"/>
      <c r="G635" s="8"/>
      <c r="H635" s="8"/>
      <c r="I635" s="8"/>
      <c r="J635" s="8"/>
      <c r="K635" s="8"/>
      <c r="L635" s="8"/>
      <c r="M635" s="8"/>
      <c r="N635" s="8"/>
      <c r="O635" s="8"/>
      <c r="P635" s="8"/>
      <c r="Q635" s="8"/>
      <c r="R635" s="8"/>
      <c r="S635" s="8"/>
      <c r="T635" s="8"/>
      <c r="U635" s="8"/>
    </row>
    <row r="636" spans="1:21" ht="30" customHeight="1" x14ac:dyDescent="0.25">
      <c r="A636" s="8"/>
      <c r="B636" s="8"/>
      <c r="C636" s="8"/>
      <c r="D636" s="8"/>
      <c r="E636" s="224"/>
      <c r="F636" s="8"/>
      <c r="G636" s="8"/>
      <c r="H636" s="8"/>
      <c r="I636" s="8"/>
      <c r="J636" s="8"/>
      <c r="K636" s="8"/>
      <c r="L636" s="8"/>
      <c r="M636" s="8"/>
      <c r="N636" s="8"/>
      <c r="O636" s="8"/>
      <c r="P636" s="8"/>
      <c r="Q636" s="8"/>
      <c r="R636" s="8"/>
      <c r="S636" s="8"/>
      <c r="T636" s="8"/>
      <c r="U636" s="8"/>
    </row>
    <row r="637" spans="1:21" ht="30" customHeight="1" x14ac:dyDescent="0.25">
      <c r="A637" s="8"/>
      <c r="B637" s="8"/>
      <c r="C637" s="8"/>
      <c r="D637" s="8"/>
      <c r="E637" s="224"/>
      <c r="F637" s="8"/>
      <c r="G637" s="8"/>
      <c r="H637" s="8"/>
      <c r="I637" s="8"/>
      <c r="J637" s="8"/>
      <c r="K637" s="8"/>
      <c r="L637" s="8"/>
      <c r="M637" s="8"/>
      <c r="N637" s="8"/>
      <c r="O637" s="8"/>
      <c r="P637" s="8"/>
      <c r="Q637" s="8"/>
      <c r="R637" s="8"/>
      <c r="S637" s="8"/>
      <c r="T637" s="8"/>
      <c r="U637" s="8"/>
    </row>
    <row r="638" spans="1:21" ht="30" customHeight="1" x14ac:dyDescent="0.25">
      <c r="A638" s="8"/>
      <c r="B638" s="8"/>
      <c r="C638" s="8"/>
      <c r="D638" s="8"/>
      <c r="E638" s="224"/>
      <c r="F638" s="8"/>
      <c r="G638" s="8"/>
      <c r="H638" s="8"/>
      <c r="I638" s="8"/>
      <c r="J638" s="8"/>
      <c r="K638" s="8"/>
      <c r="L638" s="8"/>
      <c r="M638" s="8"/>
      <c r="N638" s="8"/>
      <c r="O638" s="8"/>
      <c r="P638" s="8"/>
      <c r="Q638" s="8"/>
      <c r="R638" s="8"/>
      <c r="S638" s="8"/>
      <c r="T638" s="8"/>
      <c r="U638" s="8"/>
    </row>
    <row r="639" spans="1:21" ht="30" customHeight="1" x14ac:dyDescent="0.25">
      <c r="A639" s="8"/>
      <c r="B639" s="8"/>
      <c r="C639" s="8"/>
      <c r="D639" s="8"/>
      <c r="E639" s="224"/>
      <c r="F639" s="8"/>
      <c r="G639" s="8"/>
      <c r="H639" s="8"/>
      <c r="I639" s="8"/>
      <c r="J639" s="8"/>
      <c r="K639" s="8"/>
      <c r="L639" s="8"/>
      <c r="M639" s="8"/>
      <c r="N639" s="8"/>
      <c r="O639" s="8"/>
      <c r="P639" s="8"/>
      <c r="Q639" s="8"/>
      <c r="R639" s="8"/>
      <c r="S639" s="8"/>
      <c r="T639" s="8"/>
      <c r="U639" s="8"/>
    </row>
    <row r="640" spans="1:21" ht="30" customHeight="1" x14ac:dyDescent="0.25">
      <c r="A640" s="8"/>
      <c r="B640" s="8"/>
      <c r="C640" s="8"/>
      <c r="D640" s="8"/>
      <c r="E640" s="224"/>
      <c r="F640" s="8"/>
      <c r="G640" s="8"/>
      <c r="H640" s="8"/>
      <c r="I640" s="8"/>
      <c r="J640" s="8"/>
      <c r="K640" s="8"/>
      <c r="L640" s="8"/>
      <c r="M640" s="8"/>
      <c r="N640" s="8"/>
      <c r="O640" s="8"/>
      <c r="P640" s="8"/>
      <c r="Q640" s="8"/>
      <c r="R640" s="8"/>
      <c r="S640" s="8"/>
      <c r="T640" s="8"/>
      <c r="U640" s="8"/>
    </row>
    <row r="641" spans="1:21" ht="30" customHeight="1" x14ac:dyDescent="0.25">
      <c r="A641" s="8"/>
      <c r="B641" s="8"/>
      <c r="C641" s="8"/>
      <c r="D641" s="8"/>
      <c r="E641" s="224"/>
      <c r="F641" s="8"/>
      <c r="G641" s="8"/>
      <c r="H641" s="8"/>
      <c r="I641" s="8"/>
      <c r="J641" s="8"/>
      <c r="K641" s="8"/>
      <c r="L641" s="8"/>
      <c r="M641" s="8"/>
      <c r="N641" s="8"/>
      <c r="O641" s="8"/>
      <c r="P641" s="8"/>
      <c r="Q641" s="8"/>
      <c r="R641" s="8"/>
      <c r="S641" s="8"/>
      <c r="T641" s="8"/>
      <c r="U641" s="8"/>
    </row>
    <row r="642" spans="1:21" ht="30" customHeight="1" x14ac:dyDescent="0.25">
      <c r="A642" s="8"/>
      <c r="B642" s="8"/>
      <c r="C642" s="8"/>
      <c r="D642" s="8"/>
      <c r="E642" s="224"/>
      <c r="F642" s="8"/>
      <c r="G642" s="8"/>
      <c r="H642" s="8"/>
      <c r="I642" s="8"/>
      <c r="J642" s="8"/>
      <c r="K642" s="8"/>
      <c r="L642" s="8"/>
      <c r="M642" s="8"/>
      <c r="N642" s="8"/>
      <c r="O642" s="8"/>
      <c r="P642" s="8"/>
      <c r="Q642" s="8"/>
      <c r="R642" s="8"/>
      <c r="S642" s="8"/>
      <c r="T642" s="8"/>
      <c r="U642" s="8"/>
    </row>
    <row r="643" spans="1:21" ht="30" customHeight="1" x14ac:dyDescent="0.25">
      <c r="A643" s="8"/>
      <c r="B643" s="8"/>
      <c r="C643" s="8"/>
      <c r="D643" s="8"/>
      <c r="E643" s="224"/>
      <c r="F643" s="8"/>
      <c r="G643" s="8"/>
      <c r="H643" s="8"/>
      <c r="I643" s="8"/>
      <c r="J643" s="8"/>
      <c r="K643" s="8"/>
      <c r="L643" s="8"/>
      <c r="M643" s="8"/>
      <c r="N643" s="8"/>
      <c r="O643" s="8"/>
      <c r="P643" s="8"/>
      <c r="Q643" s="8"/>
      <c r="R643" s="8"/>
      <c r="S643" s="8"/>
      <c r="T643" s="8"/>
      <c r="U643" s="8"/>
    </row>
    <row r="644" spans="1:21" ht="30" customHeight="1" x14ac:dyDescent="0.25">
      <c r="A644" s="8"/>
      <c r="B644" s="8"/>
      <c r="C644" s="8"/>
      <c r="D644" s="8"/>
      <c r="E644" s="224"/>
      <c r="F644" s="8"/>
      <c r="G644" s="8"/>
      <c r="H644" s="8"/>
      <c r="I644" s="8"/>
      <c r="J644" s="8"/>
      <c r="K644" s="8"/>
      <c r="L644" s="8"/>
      <c r="M644" s="8"/>
      <c r="N644" s="8"/>
      <c r="O644" s="8"/>
      <c r="P644" s="8"/>
      <c r="Q644" s="8"/>
      <c r="R644" s="8"/>
      <c r="S644" s="8"/>
      <c r="T644" s="8"/>
      <c r="U644" s="8"/>
    </row>
    <row r="645" spans="1:21" ht="30" customHeight="1" x14ac:dyDescent="0.25">
      <c r="A645" s="8"/>
      <c r="B645" s="8"/>
      <c r="C645" s="8"/>
      <c r="D645" s="8"/>
      <c r="E645" s="224"/>
      <c r="F645" s="8"/>
      <c r="G645" s="8"/>
      <c r="H645" s="8"/>
      <c r="I645" s="8"/>
      <c r="J645" s="8"/>
      <c r="K645" s="8"/>
      <c r="L645" s="8"/>
      <c r="M645" s="8"/>
      <c r="N645" s="8"/>
      <c r="O645" s="8"/>
      <c r="P645" s="8"/>
      <c r="Q645" s="8"/>
      <c r="R645" s="8"/>
      <c r="S645" s="8"/>
      <c r="T645" s="8"/>
      <c r="U645" s="8"/>
    </row>
    <row r="646" spans="1:21" ht="30" customHeight="1" x14ac:dyDescent="0.25">
      <c r="A646" s="8"/>
      <c r="B646" s="8"/>
      <c r="C646" s="8"/>
      <c r="D646" s="8"/>
      <c r="E646" s="224"/>
      <c r="F646" s="8"/>
      <c r="G646" s="8"/>
      <c r="H646" s="8"/>
      <c r="I646" s="8"/>
      <c r="J646" s="8"/>
      <c r="K646" s="8"/>
      <c r="L646" s="8"/>
      <c r="M646" s="8"/>
      <c r="N646" s="8"/>
      <c r="O646" s="8"/>
      <c r="P646" s="8"/>
      <c r="Q646" s="8"/>
      <c r="R646" s="8"/>
      <c r="S646" s="8"/>
      <c r="T646" s="8"/>
      <c r="U646" s="8"/>
    </row>
    <row r="647" spans="1:21" ht="30" customHeight="1" x14ac:dyDescent="0.25">
      <c r="A647" s="8"/>
      <c r="B647" s="8"/>
      <c r="C647" s="8"/>
      <c r="D647" s="8"/>
      <c r="E647" s="224"/>
      <c r="F647" s="8"/>
      <c r="G647" s="8"/>
      <c r="H647" s="8"/>
      <c r="I647" s="8"/>
      <c r="J647" s="8"/>
      <c r="K647" s="8"/>
      <c r="L647" s="8"/>
      <c r="M647" s="8"/>
      <c r="N647" s="8"/>
      <c r="O647" s="8"/>
      <c r="P647" s="8"/>
      <c r="Q647" s="8"/>
      <c r="R647" s="8"/>
      <c r="S647" s="8"/>
      <c r="T647" s="8"/>
      <c r="U647" s="8"/>
    </row>
    <row r="648" spans="1:21" ht="30" customHeight="1" x14ac:dyDescent="0.25">
      <c r="A648" s="8"/>
      <c r="B648" s="8"/>
      <c r="C648" s="8"/>
      <c r="D648" s="8"/>
      <c r="E648" s="224"/>
      <c r="F648" s="8"/>
      <c r="G648" s="8"/>
      <c r="H648" s="8"/>
      <c r="I648" s="8"/>
      <c r="J648" s="8"/>
      <c r="K648" s="8"/>
      <c r="L648" s="8"/>
      <c r="M648" s="8"/>
      <c r="N648" s="8"/>
      <c r="O648" s="8"/>
      <c r="P648" s="8"/>
      <c r="Q648" s="8"/>
      <c r="R648" s="8"/>
      <c r="S648" s="8"/>
      <c r="T648" s="8"/>
      <c r="U648" s="8"/>
    </row>
    <row r="649" spans="1:21" ht="30" customHeight="1" x14ac:dyDescent="0.25">
      <c r="A649" s="8"/>
      <c r="B649" s="8"/>
      <c r="C649" s="8"/>
      <c r="D649" s="8"/>
      <c r="E649" s="224"/>
      <c r="F649" s="8"/>
      <c r="G649" s="8"/>
      <c r="H649" s="8"/>
      <c r="I649" s="8"/>
      <c r="J649" s="8"/>
      <c r="K649" s="8"/>
      <c r="L649" s="8"/>
      <c r="M649" s="8"/>
      <c r="N649" s="8"/>
      <c r="O649" s="8"/>
      <c r="P649" s="8"/>
      <c r="Q649" s="8"/>
      <c r="R649" s="8"/>
      <c r="S649" s="8"/>
      <c r="T649" s="8"/>
      <c r="U649" s="8"/>
    </row>
    <row r="650" spans="1:21" ht="30" customHeight="1" x14ac:dyDescent="0.25">
      <c r="A650" s="8"/>
      <c r="B650" s="8"/>
      <c r="C650" s="8"/>
      <c r="D650" s="8"/>
      <c r="E650" s="224"/>
      <c r="F650" s="8"/>
      <c r="G650" s="8"/>
      <c r="H650" s="8"/>
      <c r="I650" s="8"/>
      <c r="J650" s="8"/>
      <c r="K650" s="8"/>
      <c r="L650" s="8"/>
      <c r="M650" s="8"/>
      <c r="N650" s="8"/>
      <c r="O650" s="8"/>
      <c r="P650" s="8"/>
      <c r="Q650" s="8"/>
      <c r="R650" s="8"/>
      <c r="S650" s="8"/>
      <c r="T650" s="8"/>
      <c r="U650" s="8"/>
    </row>
    <row r="651" spans="1:21" ht="30" customHeight="1" x14ac:dyDescent="0.25">
      <c r="A651" s="8"/>
      <c r="B651" s="8"/>
      <c r="C651" s="8"/>
      <c r="D651" s="8"/>
      <c r="E651" s="224"/>
      <c r="F651" s="8"/>
      <c r="G651" s="8"/>
      <c r="H651" s="8"/>
      <c r="I651" s="8"/>
      <c r="J651" s="8"/>
      <c r="K651" s="8"/>
      <c r="L651" s="8"/>
      <c r="M651" s="8"/>
      <c r="N651" s="8"/>
      <c r="O651" s="8"/>
      <c r="P651" s="8"/>
      <c r="Q651" s="8"/>
      <c r="R651" s="8"/>
      <c r="S651" s="8"/>
      <c r="T651" s="8"/>
      <c r="U651" s="8"/>
    </row>
    <row r="652" spans="1:21" ht="30" customHeight="1" x14ac:dyDescent="0.25">
      <c r="A652" s="8"/>
      <c r="B652" s="8"/>
      <c r="C652" s="8"/>
      <c r="D652" s="8"/>
      <c r="E652" s="224"/>
      <c r="F652" s="8"/>
      <c r="G652" s="8"/>
      <c r="H652" s="8"/>
      <c r="I652" s="8"/>
      <c r="J652" s="8"/>
      <c r="K652" s="8"/>
      <c r="L652" s="8"/>
      <c r="M652" s="8"/>
      <c r="N652" s="8"/>
      <c r="O652" s="8"/>
      <c r="P652" s="8"/>
      <c r="Q652" s="8"/>
      <c r="R652" s="8"/>
      <c r="S652" s="8"/>
      <c r="T652" s="8"/>
      <c r="U652" s="8"/>
    </row>
    <row r="653" spans="1:21" ht="30" customHeight="1" x14ac:dyDescent="0.25">
      <c r="A653" s="8"/>
      <c r="B653" s="8"/>
      <c r="C653" s="8"/>
      <c r="D653" s="8"/>
      <c r="E653" s="224"/>
      <c r="F653" s="8"/>
      <c r="G653" s="8"/>
      <c r="H653" s="8"/>
      <c r="I653" s="8"/>
      <c r="J653" s="8"/>
      <c r="K653" s="8"/>
      <c r="L653" s="8"/>
      <c r="M653" s="8"/>
      <c r="N653" s="8"/>
      <c r="O653" s="8"/>
      <c r="P653" s="8"/>
      <c r="Q653" s="8"/>
      <c r="R653" s="8"/>
      <c r="S653" s="8"/>
      <c r="T653" s="8"/>
      <c r="U653" s="8"/>
    </row>
    <row r="654" spans="1:21" ht="30" customHeight="1" x14ac:dyDescent="0.25">
      <c r="A654" s="8"/>
      <c r="B654" s="8"/>
      <c r="C654" s="8"/>
      <c r="D654" s="8"/>
      <c r="E654" s="224"/>
      <c r="F654" s="8"/>
      <c r="G654" s="8"/>
      <c r="H654" s="8"/>
      <c r="I654" s="8"/>
      <c r="J654" s="8"/>
      <c r="K654" s="8"/>
      <c r="L654" s="8"/>
      <c r="M654" s="8"/>
      <c r="N654" s="8"/>
      <c r="O654" s="8"/>
      <c r="P654" s="8"/>
      <c r="Q654" s="8"/>
      <c r="R654" s="8"/>
      <c r="S654" s="8"/>
      <c r="T654" s="8"/>
      <c r="U654" s="8"/>
    </row>
    <row r="655" spans="1:21" ht="30" customHeight="1" x14ac:dyDescent="0.25">
      <c r="A655" s="8"/>
      <c r="B655" s="8"/>
      <c r="C655" s="8"/>
      <c r="D655" s="8"/>
      <c r="E655" s="224"/>
      <c r="F655" s="8"/>
      <c r="G655" s="8"/>
      <c r="H655" s="8"/>
      <c r="I655" s="8"/>
      <c r="J655" s="8"/>
      <c r="K655" s="8"/>
      <c r="L655" s="8"/>
      <c r="M655" s="8"/>
      <c r="N655" s="8"/>
      <c r="O655" s="8"/>
      <c r="P655" s="8"/>
      <c r="Q655" s="8"/>
      <c r="R655" s="8"/>
      <c r="S655" s="8"/>
      <c r="T655" s="8"/>
      <c r="U655" s="8"/>
    </row>
    <row r="656" spans="1:21" ht="30" customHeight="1" x14ac:dyDescent="0.25">
      <c r="A656" s="8"/>
      <c r="B656" s="8"/>
      <c r="C656" s="8"/>
      <c r="D656" s="8"/>
      <c r="E656" s="224"/>
      <c r="F656" s="8"/>
      <c r="G656" s="8"/>
      <c r="H656" s="8"/>
      <c r="I656" s="8"/>
      <c r="J656" s="8"/>
      <c r="K656" s="8"/>
      <c r="L656" s="8"/>
      <c r="M656" s="8"/>
      <c r="N656" s="8"/>
      <c r="O656" s="8"/>
      <c r="P656" s="8"/>
      <c r="Q656" s="8"/>
      <c r="R656" s="8"/>
      <c r="S656" s="8"/>
      <c r="T656" s="8"/>
      <c r="U656" s="8"/>
    </row>
    <row r="657" spans="1:21" ht="30" customHeight="1" x14ac:dyDescent="0.25">
      <c r="A657" s="8"/>
      <c r="B657" s="8"/>
      <c r="C657" s="8"/>
      <c r="D657" s="8"/>
      <c r="E657" s="224"/>
      <c r="F657" s="8"/>
      <c r="G657" s="8"/>
      <c r="H657" s="8"/>
      <c r="I657" s="8"/>
      <c r="J657" s="8"/>
      <c r="K657" s="8"/>
      <c r="L657" s="8"/>
      <c r="M657" s="8"/>
      <c r="N657" s="8"/>
      <c r="O657" s="8"/>
      <c r="P657" s="8"/>
      <c r="Q657" s="8"/>
      <c r="R657" s="8"/>
      <c r="S657" s="8"/>
      <c r="T657" s="8"/>
      <c r="U657" s="8"/>
    </row>
    <row r="658" spans="1:21" ht="30" customHeight="1" x14ac:dyDescent="0.25">
      <c r="A658" s="8"/>
      <c r="B658" s="8"/>
      <c r="C658" s="8"/>
      <c r="D658" s="8"/>
      <c r="E658" s="224"/>
      <c r="F658" s="8"/>
      <c r="G658" s="8"/>
      <c r="H658" s="8"/>
      <c r="I658" s="8"/>
      <c r="J658" s="8"/>
      <c r="K658" s="8"/>
      <c r="L658" s="8"/>
      <c r="M658" s="8"/>
      <c r="N658" s="8"/>
      <c r="O658" s="8"/>
      <c r="P658" s="8"/>
      <c r="Q658" s="8"/>
      <c r="R658" s="8"/>
      <c r="S658" s="8"/>
      <c r="T658" s="8"/>
      <c r="U658" s="8"/>
    </row>
    <row r="659" spans="1:21" ht="30" customHeight="1" x14ac:dyDescent="0.25">
      <c r="A659" s="8"/>
      <c r="B659" s="8"/>
      <c r="C659" s="8"/>
      <c r="D659" s="8"/>
      <c r="E659" s="224"/>
      <c r="F659" s="8"/>
      <c r="G659" s="8"/>
      <c r="H659" s="8"/>
      <c r="I659" s="8"/>
      <c r="J659" s="8"/>
      <c r="K659" s="8"/>
      <c r="L659" s="8"/>
      <c r="M659" s="8"/>
      <c r="N659" s="8"/>
      <c r="O659" s="8"/>
      <c r="P659" s="8"/>
      <c r="Q659" s="8"/>
      <c r="R659" s="8"/>
      <c r="S659" s="8"/>
      <c r="T659" s="8"/>
      <c r="U659" s="8"/>
    </row>
    <row r="660" spans="1:21" ht="30" customHeight="1" x14ac:dyDescent="0.25">
      <c r="A660" s="8"/>
      <c r="B660" s="8"/>
      <c r="C660" s="8"/>
      <c r="D660" s="8"/>
      <c r="E660" s="224"/>
      <c r="F660" s="8"/>
      <c r="G660" s="8"/>
      <c r="H660" s="8"/>
      <c r="I660" s="8"/>
      <c r="J660" s="8"/>
      <c r="K660" s="8"/>
      <c r="L660" s="8"/>
      <c r="M660" s="8"/>
      <c r="N660" s="8"/>
      <c r="O660" s="8"/>
      <c r="P660" s="8"/>
      <c r="Q660" s="8"/>
      <c r="R660" s="8"/>
      <c r="S660" s="8"/>
      <c r="T660" s="8"/>
      <c r="U660" s="8"/>
    </row>
    <row r="661" spans="1:21" ht="30" customHeight="1" x14ac:dyDescent="0.25">
      <c r="A661" s="8"/>
      <c r="B661" s="8"/>
      <c r="C661" s="8"/>
      <c r="D661" s="8"/>
      <c r="E661" s="224"/>
      <c r="F661" s="8"/>
      <c r="G661" s="8"/>
      <c r="H661" s="8"/>
      <c r="I661" s="8"/>
      <c r="J661" s="8"/>
      <c r="K661" s="8"/>
      <c r="L661" s="8"/>
      <c r="M661" s="8"/>
      <c r="N661" s="8"/>
      <c r="O661" s="8"/>
      <c r="P661" s="8"/>
      <c r="Q661" s="8"/>
      <c r="R661" s="8"/>
      <c r="S661" s="8"/>
      <c r="T661" s="8"/>
      <c r="U661" s="8"/>
    </row>
    <row r="662" spans="1:21" ht="30" customHeight="1" x14ac:dyDescent="0.25">
      <c r="A662" s="8"/>
      <c r="B662" s="8"/>
      <c r="C662" s="8"/>
      <c r="D662" s="8"/>
      <c r="E662" s="224"/>
      <c r="F662" s="8"/>
      <c r="G662" s="8"/>
      <c r="H662" s="8"/>
      <c r="I662" s="8"/>
      <c r="J662" s="8"/>
      <c r="K662" s="8"/>
      <c r="L662" s="8"/>
      <c r="M662" s="8"/>
      <c r="N662" s="8"/>
      <c r="O662" s="8"/>
      <c r="P662" s="8"/>
      <c r="Q662" s="8"/>
      <c r="R662" s="8"/>
      <c r="S662" s="8"/>
      <c r="T662" s="8"/>
      <c r="U662" s="8"/>
    </row>
    <row r="663" spans="1:21" ht="30" customHeight="1" x14ac:dyDescent="0.25">
      <c r="A663" s="8"/>
      <c r="B663" s="8"/>
      <c r="C663" s="8"/>
      <c r="D663" s="8"/>
      <c r="E663" s="224"/>
      <c r="F663" s="8"/>
      <c r="G663" s="8"/>
      <c r="H663" s="8"/>
      <c r="I663" s="8"/>
      <c r="J663" s="8"/>
      <c r="K663" s="8"/>
      <c r="L663" s="8"/>
      <c r="M663" s="8"/>
      <c r="N663" s="8"/>
      <c r="O663" s="8"/>
      <c r="P663" s="8"/>
      <c r="Q663" s="8"/>
      <c r="R663" s="8"/>
      <c r="S663" s="8"/>
      <c r="T663" s="8"/>
      <c r="U663" s="8"/>
    </row>
    <row r="664" spans="1:21" ht="30" customHeight="1" x14ac:dyDescent="0.25">
      <c r="A664" s="8"/>
      <c r="B664" s="8"/>
      <c r="C664" s="8"/>
      <c r="D664" s="8"/>
      <c r="E664" s="224"/>
      <c r="F664" s="8"/>
      <c r="G664" s="8"/>
      <c r="H664" s="8"/>
      <c r="I664" s="8"/>
      <c r="J664" s="8"/>
      <c r="K664" s="8"/>
      <c r="L664" s="8"/>
      <c r="M664" s="8"/>
      <c r="N664" s="8"/>
      <c r="O664" s="8"/>
      <c r="P664" s="8"/>
      <c r="Q664" s="8"/>
      <c r="R664" s="8"/>
      <c r="S664" s="8"/>
      <c r="T664" s="8"/>
      <c r="U664" s="8"/>
    </row>
    <row r="665" spans="1:21" ht="30" customHeight="1" x14ac:dyDescent="0.25">
      <c r="A665" s="8"/>
      <c r="B665" s="8"/>
      <c r="C665" s="8"/>
      <c r="D665" s="8"/>
      <c r="E665" s="224"/>
      <c r="F665" s="8"/>
      <c r="G665" s="8"/>
      <c r="H665" s="8"/>
      <c r="I665" s="8"/>
      <c r="J665" s="8"/>
      <c r="K665" s="8"/>
      <c r="L665" s="8"/>
      <c r="M665" s="8"/>
      <c r="N665" s="8"/>
      <c r="O665" s="8"/>
      <c r="P665" s="8"/>
      <c r="Q665" s="8"/>
      <c r="R665" s="8"/>
      <c r="S665" s="8"/>
      <c r="T665" s="8"/>
      <c r="U665" s="8"/>
    </row>
    <row r="666" spans="1:21" ht="30" customHeight="1" x14ac:dyDescent="0.25">
      <c r="A666" s="8"/>
      <c r="B666" s="8"/>
      <c r="C666" s="8"/>
      <c r="D666" s="8"/>
      <c r="E666" s="224"/>
      <c r="F666" s="8"/>
      <c r="G666" s="8"/>
      <c r="H666" s="8"/>
      <c r="I666" s="8"/>
      <c r="J666" s="8"/>
      <c r="K666" s="8"/>
      <c r="L666" s="8"/>
      <c r="M666" s="8"/>
      <c r="N666" s="8"/>
      <c r="O666" s="8"/>
      <c r="P666" s="8"/>
      <c r="Q666" s="8"/>
      <c r="R666" s="8"/>
      <c r="S666" s="8"/>
      <c r="T666" s="8"/>
      <c r="U666" s="8"/>
    </row>
    <row r="667" spans="1:21" ht="30" customHeight="1" x14ac:dyDescent="0.25">
      <c r="A667" s="8"/>
      <c r="B667" s="8"/>
      <c r="C667" s="8"/>
      <c r="D667" s="8"/>
      <c r="E667" s="224"/>
      <c r="F667" s="8"/>
      <c r="G667" s="8"/>
      <c r="H667" s="8"/>
      <c r="I667" s="8"/>
      <c r="J667" s="8"/>
      <c r="K667" s="8"/>
      <c r="L667" s="8"/>
      <c r="M667" s="8"/>
      <c r="N667" s="8"/>
      <c r="O667" s="8"/>
      <c r="P667" s="8"/>
      <c r="Q667" s="8"/>
      <c r="R667" s="8"/>
      <c r="S667" s="8"/>
      <c r="T667" s="8"/>
      <c r="U667" s="8"/>
    </row>
    <row r="668" spans="1:21" ht="30" customHeight="1" x14ac:dyDescent="0.25">
      <c r="A668" s="8"/>
      <c r="B668" s="8"/>
      <c r="C668" s="8"/>
      <c r="D668" s="8"/>
      <c r="E668" s="224"/>
      <c r="F668" s="8"/>
      <c r="G668" s="8"/>
      <c r="H668" s="8"/>
      <c r="I668" s="8"/>
      <c r="J668" s="8"/>
      <c r="K668" s="8"/>
      <c r="L668" s="8"/>
      <c r="M668" s="8"/>
      <c r="N668" s="8"/>
      <c r="O668" s="8"/>
      <c r="P668" s="8"/>
      <c r="Q668" s="8"/>
      <c r="R668" s="8"/>
      <c r="S668" s="8"/>
      <c r="T668" s="8"/>
      <c r="U668" s="8"/>
    </row>
    <row r="669" spans="1:21" ht="30" customHeight="1" x14ac:dyDescent="0.25">
      <c r="A669" s="8"/>
      <c r="B669" s="8"/>
      <c r="C669" s="8"/>
      <c r="D669" s="8"/>
      <c r="E669" s="224"/>
      <c r="F669" s="8"/>
      <c r="G669" s="8"/>
      <c r="H669" s="8"/>
      <c r="I669" s="8"/>
      <c r="J669" s="8"/>
      <c r="K669" s="8"/>
      <c r="L669" s="8"/>
      <c r="M669" s="8"/>
      <c r="N669" s="8"/>
      <c r="O669" s="8"/>
      <c r="P669" s="8"/>
      <c r="Q669" s="8"/>
      <c r="R669" s="8"/>
      <c r="S669" s="8"/>
      <c r="T669" s="8"/>
      <c r="U669" s="8"/>
    </row>
    <row r="670" spans="1:21" ht="30" customHeight="1" x14ac:dyDescent="0.25">
      <c r="A670" s="8"/>
      <c r="B670" s="8"/>
      <c r="C670" s="8"/>
      <c r="D670" s="8"/>
      <c r="E670" s="224"/>
      <c r="F670" s="8"/>
      <c r="G670" s="8"/>
      <c r="H670" s="8"/>
      <c r="I670" s="8"/>
      <c r="J670" s="8"/>
      <c r="K670" s="8"/>
      <c r="L670" s="8"/>
      <c r="M670" s="8"/>
      <c r="N670" s="8"/>
      <c r="O670" s="8"/>
      <c r="P670" s="8"/>
      <c r="Q670" s="8"/>
      <c r="R670" s="8"/>
      <c r="S670" s="8"/>
      <c r="T670" s="8"/>
      <c r="U670" s="8"/>
    </row>
    <row r="671" spans="1:21" ht="30" customHeight="1" x14ac:dyDescent="0.25">
      <c r="A671" s="8"/>
      <c r="B671" s="8"/>
      <c r="C671" s="8"/>
      <c r="D671" s="8"/>
      <c r="E671" s="224"/>
      <c r="F671" s="8"/>
      <c r="G671" s="8"/>
      <c r="H671" s="8"/>
      <c r="I671" s="8"/>
      <c r="J671" s="8"/>
      <c r="K671" s="8"/>
      <c r="L671" s="8"/>
      <c r="M671" s="8"/>
      <c r="N671" s="8"/>
      <c r="O671" s="8"/>
      <c r="P671" s="8"/>
      <c r="Q671" s="8"/>
      <c r="R671" s="8"/>
      <c r="S671" s="8"/>
      <c r="T671" s="8"/>
      <c r="U671" s="8"/>
    </row>
    <row r="672" spans="1:21" ht="30" customHeight="1" x14ac:dyDescent="0.25">
      <c r="A672" s="8"/>
      <c r="B672" s="8"/>
      <c r="C672" s="8"/>
      <c r="D672" s="8"/>
      <c r="E672" s="224"/>
      <c r="F672" s="8"/>
      <c r="G672" s="8"/>
      <c r="H672" s="8"/>
      <c r="I672" s="8"/>
      <c r="J672" s="8"/>
      <c r="K672" s="8"/>
      <c r="L672" s="8"/>
      <c r="M672" s="8"/>
      <c r="N672" s="8"/>
      <c r="O672" s="8"/>
      <c r="P672" s="8"/>
      <c r="Q672" s="8"/>
      <c r="R672" s="8"/>
      <c r="S672" s="8"/>
      <c r="T672" s="8"/>
      <c r="U672" s="8"/>
    </row>
    <row r="673" spans="1:21" ht="30" customHeight="1" x14ac:dyDescent="0.25">
      <c r="A673" s="8"/>
      <c r="B673" s="8"/>
      <c r="C673" s="8"/>
      <c r="D673" s="8"/>
      <c r="E673" s="224"/>
      <c r="F673" s="8"/>
      <c r="G673" s="8"/>
      <c r="H673" s="8"/>
      <c r="I673" s="8"/>
      <c r="J673" s="8"/>
      <c r="K673" s="8"/>
      <c r="L673" s="8"/>
      <c r="M673" s="8"/>
      <c r="N673" s="8"/>
      <c r="O673" s="8"/>
      <c r="P673" s="8"/>
      <c r="Q673" s="8"/>
      <c r="R673" s="8"/>
      <c r="S673" s="8"/>
      <c r="T673" s="8"/>
      <c r="U673" s="8"/>
    </row>
    <row r="674" spans="1:21" ht="30" customHeight="1" x14ac:dyDescent="0.25">
      <c r="A674" s="8"/>
      <c r="B674" s="8"/>
      <c r="C674" s="8"/>
      <c r="D674" s="8"/>
      <c r="E674" s="224"/>
      <c r="F674" s="8"/>
      <c r="G674" s="8"/>
      <c r="H674" s="8"/>
      <c r="I674" s="8"/>
      <c r="J674" s="8"/>
      <c r="K674" s="8"/>
      <c r="L674" s="8"/>
      <c r="M674" s="8"/>
      <c r="N674" s="8"/>
      <c r="O674" s="8"/>
      <c r="P674" s="8"/>
      <c r="Q674" s="8"/>
      <c r="R674" s="8"/>
      <c r="S674" s="8"/>
      <c r="T674" s="8"/>
      <c r="U674" s="8"/>
    </row>
    <row r="675" spans="1:21" ht="30" customHeight="1" x14ac:dyDescent="0.25">
      <c r="A675" s="8"/>
      <c r="B675" s="8"/>
      <c r="C675" s="8"/>
      <c r="D675" s="8"/>
      <c r="E675" s="224"/>
      <c r="F675" s="8"/>
      <c r="G675" s="8"/>
      <c r="H675" s="8"/>
      <c r="I675" s="8"/>
      <c r="J675" s="8"/>
      <c r="K675" s="8"/>
      <c r="L675" s="8"/>
      <c r="M675" s="8"/>
      <c r="N675" s="8"/>
      <c r="O675" s="8"/>
      <c r="P675" s="8"/>
      <c r="Q675" s="8"/>
      <c r="R675" s="8"/>
      <c r="S675" s="8"/>
      <c r="T675" s="8"/>
      <c r="U675" s="8"/>
    </row>
    <row r="676" spans="1:21" ht="30" customHeight="1" x14ac:dyDescent="0.25">
      <c r="A676" s="8"/>
      <c r="B676" s="8"/>
      <c r="C676" s="8"/>
      <c r="D676" s="8"/>
      <c r="E676" s="224"/>
      <c r="F676" s="8"/>
      <c r="G676" s="8"/>
      <c r="H676" s="8"/>
      <c r="I676" s="8"/>
      <c r="J676" s="8"/>
      <c r="K676" s="8"/>
      <c r="L676" s="8"/>
      <c r="M676" s="8"/>
      <c r="N676" s="8"/>
      <c r="O676" s="8"/>
      <c r="P676" s="8"/>
      <c r="Q676" s="8"/>
      <c r="R676" s="8"/>
      <c r="S676" s="8"/>
      <c r="T676" s="8"/>
      <c r="U676" s="8"/>
    </row>
    <row r="677" spans="1:21" ht="30" customHeight="1" x14ac:dyDescent="0.25">
      <c r="A677" s="8"/>
      <c r="B677" s="8"/>
      <c r="C677" s="8"/>
      <c r="D677" s="8"/>
      <c r="E677" s="224"/>
      <c r="F677" s="8"/>
      <c r="G677" s="8"/>
      <c r="H677" s="8"/>
      <c r="I677" s="8"/>
      <c r="J677" s="8"/>
      <c r="K677" s="8"/>
      <c r="L677" s="8"/>
      <c r="M677" s="8"/>
      <c r="N677" s="8"/>
      <c r="O677" s="8"/>
      <c r="P677" s="8"/>
      <c r="Q677" s="8"/>
      <c r="R677" s="8"/>
      <c r="S677" s="8"/>
      <c r="T677" s="8"/>
      <c r="U677" s="8"/>
    </row>
    <row r="678" spans="1:21" ht="30" customHeight="1" x14ac:dyDescent="0.25">
      <c r="A678" s="8"/>
      <c r="B678" s="8"/>
      <c r="C678" s="8"/>
      <c r="D678" s="8"/>
      <c r="E678" s="224"/>
      <c r="F678" s="8"/>
      <c r="G678" s="8"/>
      <c r="H678" s="8"/>
      <c r="I678" s="8"/>
      <c r="J678" s="8"/>
      <c r="K678" s="8"/>
      <c r="L678" s="8"/>
      <c r="M678" s="8"/>
      <c r="N678" s="8"/>
      <c r="O678" s="8"/>
      <c r="P678" s="8"/>
      <c r="Q678" s="8"/>
      <c r="R678" s="8"/>
      <c r="S678" s="8"/>
      <c r="T678" s="8"/>
      <c r="U678" s="8"/>
    </row>
    <row r="679" spans="1:21" ht="30" customHeight="1" x14ac:dyDescent="0.25">
      <c r="A679" s="8"/>
      <c r="B679" s="8"/>
      <c r="C679" s="8"/>
      <c r="D679" s="8"/>
      <c r="E679" s="224"/>
      <c r="F679" s="8"/>
      <c r="G679" s="8"/>
      <c r="H679" s="8"/>
      <c r="I679" s="8"/>
      <c r="J679" s="8"/>
      <c r="K679" s="8"/>
      <c r="L679" s="8"/>
      <c r="M679" s="8"/>
      <c r="N679" s="8"/>
      <c r="O679" s="8"/>
      <c r="P679" s="8"/>
      <c r="Q679" s="8"/>
      <c r="R679" s="8"/>
      <c r="S679" s="8"/>
      <c r="T679" s="8"/>
      <c r="U679" s="8"/>
    </row>
    <row r="680" spans="1:21" ht="30" customHeight="1" x14ac:dyDescent="0.25">
      <c r="A680" s="8"/>
      <c r="B680" s="8"/>
      <c r="C680" s="8"/>
      <c r="D680" s="8"/>
      <c r="E680" s="224"/>
      <c r="F680" s="8"/>
      <c r="G680" s="8"/>
      <c r="H680" s="8"/>
      <c r="I680" s="8"/>
      <c r="J680" s="8"/>
      <c r="K680" s="8"/>
      <c r="L680" s="8"/>
      <c r="M680" s="8"/>
      <c r="N680" s="8"/>
      <c r="O680" s="8"/>
      <c r="P680" s="8"/>
      <c r="Q680" s="8"/>
      <c r="R680" s="8"/>
      <c r="S680" s="8"/>
      <c r="T680" s="8"/>
      <c r="U680" s="8"/>
    </row>
    <row r="681" spans="1:21" ht="30" customHeight="1" x14ac:dyDescent="0.25">
      <c r="A681" s="8"/>
      <c r="B681" s="8"/>
      <c r="C681" s="8"/>
      <c r="D681" s="8"/>
      <c r="E681" s="224"/>
      <c r="F681" s="8"/>
      <c r="G681" s="8"/>
      <c r="H681" s="8"/>
      <c r="I681" s="8"/>
      <c r="J681" s="8"/>
      <c r="K681" s="8"/>
      <c r="L681" s="8"/>
      <c r="M681" s="8"/>
      <c r="N681" s="8"/>
      <c r="O681" s="8"/>
      <c r="P681" s="8"/>
      <c r="Q681" s="8"/>
      <c r="R681" s="8"/>
      <c r="S681" s="8"/>
      <c r="T681" s="8"/>
      <c r="U681" s="8"/>
    </row>
    <row r="682" spans="1:21" ht="30" customHeight="1" x14ac:dyDescent="0.25">
      <c r="A682" s="8"/>
      <c r="B682" s="8"/>
      <c r="C682" s="8"/>
      <c r="D682" s="8"/>
      <c r="E682" s="224"/>
      <c r="F682" s="8"/>
      <c r="G682" s="8"/>
      <c r="H682" s="8"/>
      <c r="I682" s="8"/>
      <c r="J682" s="8"/>
      <c r="K682" s="8"/>
      <c r="L682" s="8"/>
      <c r="M682" s="8"/>
      <c r="N682" s="8"/>
      <c r="O682" s="8"/>
      <c r="P682" s="8"/>
      <c r="Q682" s="8"/>
      <c r="R682" s="8"/>
      <c r="S682" s="8"/>
      <c r="T682" s="8"/>
      <c r="U682" s="8"/>
    </row>
    <row r="683" spans="1:21" ht="30" customHeight="1" x14ac:dyDescent="0.25">
      <c r="A683" s="8"/>
      <c r="B683" s="8"/>
      <c r="C683" s="8"/>
      <c r="D683" s="8"/>
      <c r="E683" s="224"/>
      <c r="F683" s="8"/>
      <c r="G683" s="8"/>
      <c r="H683" s="8"/>
      <c r="I683" s="8"/>
      <c r="J683" s="8"/>
      <c r="K683" s="8"/>
      <c r="L683" s="8"/>
      <c r="M683" s="8"/>
      <c r="N683" s="8"/>
      <c r="O683" s="8"/>
      <c r="P683" s="8"/>
      <c r="Q683" s="8"/>
      <c r="R683" s="8"/>
      <c r="S683" s="8"/>
      <c r="T683" s="8"/>
      <c r="U683" s="8"/>
    </row>
    <row r="684" spans="1:21" ht="30" customHeight="1" x14ac:dyDescent="0.25">
      <c r="A684" s="8"/>
      <c r="B684" s="8"/>
      <c r="C684" s="8"/>
      <c r="D684" s="8"/>
      <c r="E684" s="224"/>
      <c r="F684" s="8"/>
      <c r="G684" s="8"/>
      <c r="H684" s="8"/>
      <c r="I684" s="8"/>
      <c r="J684" s="8"/>
      <c r="K684" s="8"/>
      <c r="L684" s="8"/>
      <c r="M684" s="8"/>
      <c r="N684" s="8"/>
      <c r="O684" s="8"/>
      <c r="P684" s="8"/>
      <c r="Q684" s="8"/>
      <c r="R684" s="8"/>
      <c r="S684" s="8"/>
      <c r="T684" s="8"/>
      <c r="U684" s="8"/>
    </row>
    <row r="685" spans="1:21" ht="30" customHeight="1" x14ac:dyDescent="0.25">
      <c r="A685" s="8"/>
      <c r="B685" s="8"/>
      <c r="C685" s="8"/>
      <c r="D685" s="8"/>
      <c r="E685" s="224"/>
      <c r="F685" s="8"/>
      <c r="G685" s="8"/>
      <c r="H685" s="8"/>
      <c r="I685" s="8"/>
      <c r="J685" s="8"/>
      <c r="K685" s="8"/>
      <c r="L685" s="8"/>
      <c r="M685" s="8"/>
      <c r="N685" s="8"/>
      <c r="O685" s="8"/>
      <c r="P685" s="8"/>
      <c r="Q685" s="8"/>
      <c r="R685" s="8"/>
      <c r="S685" s="8"/>
      <c r="T685" s="8"/>
      <c r="U685" s="8"/>
    </row>
    <row r="686" spans="1:21" ht="30" customHeight="1" x14ac:dyDescent="0.25">
      <c r="A686" s="8"/>
      <c r="B686" s="8"/>
      <c r="C686" s="8"/>
      <c r="D686" s="8"/>
      <c r="E686" s="224"/>
      <c r="F686" s="8"/>
      <c r="G686" s="8"/>
      <c r="H686" s="8"/>
      <c r="I686" s="8"/>
      <c r="J686" s="8"/>
      <c r="K686" s="8"/>
      <c r="L686" s="8"/>
      <c r="M686" s="8"/>
      <c r="N686" s="8"/>
      <c r="O686" s="8"/>
      <c r="P686" s="8"/>
      <c r="Q686" s="8"/>
      <c r="R686" s="8"/>
      <c r="S686" s="8"/>
      <c r="T686" s="8"/>
      <c r="U686" s="8"/>
    </row>
    <row r="687" spans="1:21" ht="30" customHeight="1" x14ac:dyDescent="0.25">
      <c r="A687" s="8"/>
      <c r="B687" s="8"/>
      <c r="C687" s="8"/>
      <c r="D687" s="8"/>
      <c r="E687" s="224"/>
      <c r="F687" s="8"/>
      <c r="G687" s="8"/>
      <c r="H687" s="8"/>
      <c r="I687" s="8"/>
      <c r="J687" s="8"/>
      <c r="K687" s="8"/>
      <c r="L687" s="8"/>
      <c r="M687" s="8"/>
      <c r="N687" s="8"/>
      <c r="O687" s="8"/>
      <c r="P687" s="8"/>
      <c r="Q687" s="8"/>
      <c r="R687" s="8"/>
      <c r="S687" s="8"/>
      <c r="T687" s="8"/>
      <c r="U687" s="8"/>
    </row>
    <row r="688" spans="1:21" ht="30" customHeight="1" x14ac:dyDescent="0.25">
      <c r="A688" s="8"/>
      <c r="B688" s="8"/>
      <c r="C688" s="8"/>
      <c r="D688" s="8"/>
      <c r="E688" s="224"/>
      <c r="F688" s="8"/>
      <c r="G688" s="8"/>
      <c r="H688" s="8"/>
      <c r="I688" s="8"/>
      <c r="J688" s="8"/>
      <c r="K688" s="8"/>
      <c r="L688" s="8"/>
      <c r="M688" s="8"/>
      <c r="N688" s="8"/>
      <c r="O688" s="8"/>
      <c r="P688" s="8"/>
      <c r="Q688" s="8"/>
      <c r="R688" s="8"/>
      <c r="S688" s="8"/>
      <c r="T688" s="8"/>
      <c r="U688" s="8"/>
    </row>
    <row r="689" spans="1:21" ht="30" customHeight="1" x14ac:dyDescent="0.25">
      <c r="A689" s="8"/>
      <c r="B689" s="8"/>
      <c r="C689" s="8"/>
      <c r="D689" s="8"/>
      <c r="E689" s="224"/>
      <c r="F689" s="8"/>
      <c r="G689" s="8"/>
      <c r="H689" s="8"/>
      <c r="I689" s="8"/>
      <c r="J689" s="8"/>
      <c r="K689" s="8"/>
      <c r="L689" s="8"/>
      <c r="M689" s="8"/>
      <c r="N689" s="8"/>
      <c r="O689" s="8"/>
      <c r="P689" s="8"/>
      <c r="Q689" s="8"/>
      <c r="R689" s="8"/>
      <c r="S689" s="8"/>
      <c r="T689" s="8"/>
      <c r="U689" s="8"/>
    </row>
    <row r="690" spans="1:21" ht="30" customHeight="1" x14ac:dyDescent="0.25">
      <c r="A690" s="8"/>
      <c r="B690" s="8"/>
      <c r="C690" s="8"/>
      <c r="D690" s="8"/>
      <c r="E690" s="224"/>
      <c r="F690" s="8"/>
      <c r="G690" s="8"/>
      <c r="H690" s="8"/>
      <c r="I690" s="8"/>
      <c r="J690" s="8"/>
      <c r="K690" s="8"/>
      <c r="L690" s="8"/>
      <c r="M690" s="8"/>
      <c r="N690" s="8"/>
      <c r="O690" s="8"/>
      <c r="P690" s="8"/>
      <c r="Q690" s="8"/>
      <c r="R690" s="8"/>
      <c r="S690" s="8"/>
      <c r="T690" s="8"/>
      <c r="U690" s="8"/>
    </row>
    <row r="691" spans="1:21" ht="30" customHeight="1" x14ac:dyDescent="0.25">
      <c r="A691" s="8"/>
      <c r="B691" s="8"/>
      <c r="C691" s="8"/>
      <c r="D691" s="8"/>
      <c r="E691" s="224"/>
      <c r="F691" s="8"/>
      <c r="G691" s="8"/>
      <c r="H691" s="8"/>
      <c r="I691" s="8"/>
      <c r="J691" s="8"/>
      <c r="K691" s="8"/>
      <c r="L691" s="8"/>
      <c r="M691" s="8"/>
      <c r="N691" s="8"/>
      <c r="O691" s="8"/>
      <c r="P691" s="8"/>
      <c r="Q691" s="8"/>
      <c r="R691" s="8"/>
      <c r="S691" s="8"/>
      <c r="T691" s="8"/>
      <c r="U691" s="8"/>
    </row>
    <row r="692" spans="1:21" ht="30" customHeight="1" x14ac:dyDescent="0.25">
      <c r="A692" s="8"/>
      <c r="B692" s="8"/>
      <c r="C692" s="8"/>
      <c r="D692" s="8"/>
      <c r="E692" s="224"/>
      <c r="F692" s="8"/>
      <c r="G692" s="8"/>
      <c r="H692" s="8"/>
      <c r="I692" s="8"/>
      <c r="J692" s="8"/>
      <c r="K692" s="8"/>
      <c r="L692" s="8"/>
      <c r="M692" s="8"/>
      <c r="N692" s="8"/>
      <c r="O692" s="8"/>
      <c r="P692" s="8"/>
      <c r="Q692" s="8"/>
      <c r="R692" s="8"/>
      <c r="S692" s="8"/>
      <c r="T692" s="8"/>
      <c r="U692" s="8"/>
    </row>
    <row r="693" spans="1:21" ht="30" customHeight="1" x14ac:dyDescent="0.25">
      <c r="A693" s="8"/>
      <c r="B693" s="8"/>
      <c r="C693" s="8"/>
      <c r="D693" s="8"/>
      <c r="E693" s="224"/>
      <c r="F693" s="8"/>
      <c r="G693" s="8"/>
      <c r="H693" s="8"/>
      <c r="I693" s="8"/>
      <c r="J693" s="8"/>
      <c r="K693" s="8"/>
      <c r="L693" s="8"/>
      <c r="M693" s="8"/>
      <c r="N693" s="8"/>
      <c r="O693" s="8"/>
      <c r="P693" s="8"/>
      <c r="Q693" s="8"/>
      <c r="R693" s="8"/>
      <c r="S693" s="8"/>
      <c r="T693" s="8"/>
      <c r="U693" s="8"/>
    </row>
    <row r="694" spans="1:21" ht="30" customHeight="1" x14ac:dyDescent="0.25">
      <c r="A694" s="8"/>
      <c r="B694" s="8"/>
      <c r="C694" s="8"/>
      <c r="D694" s="8"/>
      <c r="E694" s="224"/>
      <c r="F694" s="8"/>
      <c r="G694" s="8"/>
      <c r="H694" s="8"/>
      <c r="I694" s="8"/>
      <c r="J694" s="8"/>
      <c r="K694" s="8"/>
      <c r="L694" s="8"/>
      <c r="M694" s="8"/>
      <c r="N694" s="8"/>
      <c r="O694" s="8"/>
      <c r="P694" s="8"/>
      <c r="Q694" s="8"/>
      <c r="R694" s="8"/>
      <c r="S694" s="8"/>
      <c r="T694" s="8"/>
      <c r="U694" s="8"/>
    </row>
    <row r="695" spans="1:21" ht="30" customHeight="1" x14ac:dyDescent="0.25">
      <c r="A695" s="8"/>
      <c r="B695" s="8"/>
      <c r="C695" s="8"/>
      <c r="D695" s="8"/>
      <c r="E695" s="224"/>
      <c r="F695" s="8"/>
      <c r="G695" s="8"/>
      <c r="H695" s="8"/>
      <c r="I695" s="8"/>
      <c r="J695" s="8"/>
      <c r="K695" s="8"/>
      <c r="L695" s="8"/>
      <c r="M695" s="8"/>
      <c r="N695" s="8"/>
      <c r="O695" s="8"/>
      <c r="P695" s="8"/>
      <c r="Q695" s="8"/>
      <c r="R695" s="8"/>
      <c r="S695" s="8"/>
      <c r="T695" s="8"/>
      <c r="U695" s="8"/>
    </row>
    <row r="696" spans="1:21" ht="30" customHeight="1" x14ac:dyDescent="0.25">
      <c r="A696" s="8"/>
      <c r="B696" s="8"/>
      <c r="C696" s="8"/>
      <c r="D696" s="8"/>
      <c r="E696" s="224"/>
      <c r="F696" s="8"/>
      <c r="G696" s="8"/>
      <c r="H696" s="8"/>
      <c r="I696" s="8"/>
      <c r="J696" s="8"/>
      <c r="K696" s="8"/>
      <c r="L696" s="8"/>
      <c r="M696" s="8"/>
      <c r="N696" s="8"/>
      <c r="O696" s="8"/>
      <c r="P696" s="8"/>
      <c r="Q696" s="8"/>
      <c r="R696" s="8"/>
      <c r="S696" s="8"/>
      <c r="T696" s="8"/>
      <c r="U696" s="8"/>
    </row>
    <row r="697" spans="1:21" ht="30" customHeight="1" x14ac:dyDescent="0.25">
      <c r="A697" s="8"/>
      <c r="B697" s="8"/>
      <c r="C697" s="8"/>
      <c r="D697" s="8"/>
      <c r="E697" s="224"/>
      <c r="F697" s="8"/>
      <c r="G697" s="8"/>
      <c r="H697" s="8"/>
      <c r="I697" s="8"/>
      <c r="J697" s="8"/>
      <c r="K697" s="8"/>
      <c r="L697" s="8"/>
      <c r="M697" s="8"/>
      <c r="N697" s="8"/>
      <c r="O697" s="8"/>
      <c r="P697" s="8"/>
      <c r="Q697" s="8"/>
      <c r="R697" s="8"/>
      <c r="S697" s="8"/>
      <c r="T697" s="8"/>
      <c r="U697" s="8"/>
    </row>
    <row r="698" spans="1:21" ht="30" customHeight="1" x14ac:dyDescent="0.25">
      <c r="A698" s="8"/>
      <c r="B698" s="8"/>
      <c r="C698" s="8"/>
      <c r="D698" s="8"/>
      <c r="E698" s="224"/>
      <c r="F698" s="8"/>
      <c r="G698" s="8"/>
      <c r="H698" s="8"/>
      <c r="I698" s="8"/>
      <c r="J698" s="8"/>
      <c r="K698" s="8"/>
      <c r="L698" s="8"/>
      <c r="M698" s="8"/>
      <c r="N698" s="8"/>
      <c r="O698" s="8"/>
      <c r="P698" s="8"/>
      <c r="Q698" s="8"/>
      <c r="R698" s="8"/>
      <c r="S698" s="8"/>
      <c r="T698" s="8"/>
      <c r="U698" s="8"/>
    </row>
    <row r="699" spans="1:21" ht="30" customHeight="1" x14ac:dyDescent="0.25">
      <c r="A699" s="8"/>
      <c r="B699" s="8"/>
      <c r="C699" s="8"/>
      <c r="D699" s="8"/>
      <c r="E699" s="224"/>
      <c r="F699" s="8"/>
      <c r="G699" s="8"/>
      <c r="H699" s="8"/>
      <c r="I699" s="8"/>
      <c r="J699" s="8"/>
      <c r="K699" s="8"/>
      <c r="L699" s="8"/>
      <c r="M699" s="8"/>
      <c r="N699" s="8"/>
      <c r="O699" s="8"/>
      <c r="P699" s="8"/>
      <c r="Q699" s="8"/>
      <c r="R699" s="8"/>
      <c r="S699" s="8"/>
      <c r="T699" s="8"/>
      <c r="U699" s="8"/>
    </row>
    <row r="700" spans="1:21" ht="30" customHeight="1" x14ac:dyDescent="0.25">
      <c r="A700" s="8"/>
      <c r="B700" s="8"/>
      <c r="C700" s="8"/>
      <c r="D700" s="8"/>
      <c r="E700" s="224"/>
      <c r="F700" s="8"/>
      <c r="G700" s="8"/>
      <c r="H700" s="8"/>
      <c r="I700" s="8"/>
      <c r="J700" s="8"/>
      <c r="K700" s="8"/>
      <c r="L700" s="8"/>
      <c r="M700" s="8"/>
      <c r="N700" s="8"/>
      <c r="O700" s="8"/>
      <c r="P700" s="8"/>
      <c r="Q700" s="8"/>
      <c r="R700" s="8"/>
      <c r="S700" s="8"/>
      <c r="T700" s="8"/>
      <c r="U700" s="8"/>
    </row>
    <row r="701" spans="1:21" ht="30" customHeight="1" x14ac:dyDescent="0.25">
      <c r="A701" s="8"/>
      <c r="B701" s="8"/>
      <c r="C701" s="8"/>
      <c r="D701" s="8"/>
      <c r="E701" s="224"/>
      <c r="F701" s="8"/>
      <c r="G701" s="8"/>
      <c r="H701" s="8"/>
      <c r="I701" s="8"/>
      <c r="J701" s="8"/>
      <c r="K701" s="8"/>
      <c r="L701" s="8"/>
      <c r="M701" s="8"/>
      <c r="N701" s="8"/>
      <c r="O701" s="8"/>
      <c r="P701" s="8"/>
      <c r="Q701" s="8"/>
      <c r="R701" s="8"/>
      <c r="S701" s="8"/>
      <c r="T701" s="8"/>
      <c r="U701" s="8"/>
    </row>
    <row r="702" spans="1:21" ht="30" customHeight="1" x14ac:dyDescent="0.25">
      <c r="A702" s="8"/>
      <c r="B702" s="8"/>
      <c r="C702" s="8"/>
      <c r="D702" s="8"/>
      <c r="E702" s="224"/>
      <c r="F702" s="8"/>
      <c r="G702" s="8"/>
      <c r="H702" s="8"/>
      <c r="I702" s="8"/>
      <c r="J702" s="8"/>
      <c r="K702" s="8"/>
      <c r="L702" s="8"/>
      <c r="M702" s="8"/>
      <c r="N702" s="8"/>
      <c r="O702" s="8"/>
      <c r="P702" s="8"/>
      <c r="Q702" s="8"/>
      <c r="R702" s="8"/>
      <c r="S702" s="8"/>
      <c r="T702" s="8"/>
      <c r="U702" s="8"/>
    </row>
    <row r="703" spans="1:21" ht="30" customHeight="1" x14ac:dyDescent="0.25">
      <c r="A703" s="8"/>
      <c r="B703" s="8"/>
      <c r="C703" s="8"/>
      <c r="D703" s="8"/>
      <c r="E703" s="224"/>
      <c r="F703" s="8"/>
      <c r="G703" s="8"/>
      <c r="H703" s="8"/>
      <c r="I703" s="8"/>
      <c r="J703" s="8"/>
      <c r="K703" s="8"/>
      <c r="L703" s="8"/>
      <c r="M703" s="8"/>
      <c r="N703" s="8"/>
      <c r="O703" s="8"/>
      <c r="P703" s="8"/>
      <c r="Q703" s="8"/>
      <c r="R703" s="8"/>
      <c r="S703" s="8"/>
      <c r="T703" s="8"/>
      <c r="U703" s="8"/>
    </row>
    <row r="704" spans="1:21" ht="30" customHeight="1" x14ac:dyDescent="0.25">
      <c r="A704" s="8"/>
      <c r="B704" s="8"/>
      <c r="C704" s="8"/>
      <c r="D704" s="8"/>
      <c r="E704" s="224"/>
      <c r="F704" s="8"/>
      <c r="G704" s="8"/>
      <c r="H704" s="8"/>
      <c r="I704" s="8"/>
      <c r="J704" s="8"/>
      <c r="K704" s="8"/>
      <c r="L704" s="8"/>
      <c r="M704" s="8"/>
      <c r="N704" s="8"/>
      <c r="O704" s="8"/>
      <c r="P704" s="8"/>
      <c r="Q704" s="8"/>
      <c r="R704" s="8"/>
      <c r="S704" s="8"/>
      <c r="T704" s="8"/>
      <c r="U704" s="8"/>
    </row>
    <row r="705" spans="1:21" ht="30" customHeight="1" x14ac:dyDescent="0.25">
      <c r="A705" s="8"/>
      <c r="B705" s="8"/>
      <c r="C705" s="8"/>
      <c r="D705" s="8"/>
      <c r="E705" s="224"/>
      <c r="F705" s="8"/>
      <c r="G705" s="8"/>
      <c r="H705" s="8"/>
      <c r="I705" s="8"/>
      <c r="J705" s="8"/>
      <c r="K705" s="8"/>
      <c r="L705" s="8"/>
      <c r="M705" s="8"/>
      <c r="N705" s="8"/>
      <c r="O705" s="8"/>
      <c r="P705" s="8"/>
      <c r="Q705" s="8"/>
      <c r="R705" s="8"/>
      <c r="S705" s="8"/>
      <c r="T705" s="8"/>
      <c r="U705" s="8"/>
    </row>
    <row r="706" spans="1:21" ht="30" customHeight="1" x14ac:dyDescent="0.25">
      <c r="A706" s="8"/>
      <c r="B706" s="8"/>
      <c r="C706" s="8"/>
      <c r="D706" s="8"/>
      <c r="E706" s="224"/>
      <c r="F706" s="8"/>
      <c r="G706" s="8"/>
      <c r="H706" s="8"/>
      <c r="I706" s="8"/>
      <c r="J706" s="8"/>
      <c r="K706" s="8"/>
      <c r="L706" s="8"/>
      <c r="M706" s="8"/>
      <c r="N706" s="8"/>
      <c r="O706" s="8"/>
      <c r="P706" s="8"/>
      <c r="Q706" s="8"/>
      <c r="R706" s="8"/>
      <c r="S706" s="8"/>
      <c r="T706" s="8"/>
      <c r="U706" s="8"/>
    </row>
    <row r="707" spans="1:21" ht="30" customHeight="1" x14ac:dyDescent="0.25">
      <c r="A707" s="8"/>
      <c r="B707" s="8"/>
      <c r="C707" s="8"/>
      <c r="D707" s="8"/>
      <c r="E707" s="224"/>
      <c r="F707" s="8"/>
      <c r="G707" s="8"/>
      <c r="H707" s="8"/>
      <c r="I707" s="8"/>
      <c r="J707" s="8"/>
      <c r="K707" s="8"/>
      <c r="L707" s="8"/>
      <c r="M707" s="8"/>
      <c r="N707" s="8"/>
      <c r="O707" s="8"/>
      <c r="P707" s="8"/>
      <c r="Q707" s="8"/>
      <c r="R707" s="8"/>
      <c r="S707" s="8"/>
      <c r="T707" s="8"/>
      <c r="U707" s="8"/>
    </row>
    <row r="708" spans="1:21" ht="30" customHeight="1" x14ac:dyDescent="0.25">
      <c r="A708" s="8"/>
      <c r="B708" s="8"/>
      <c r="C708" s="8"/>
      <c r="D708" s="8"/>
      <c r="E708" s="224"/>
      <c r="F708" s="8"/>
      <c r="G708" s="8"/>
      <c r="H708" s="8"/>
      <c r="I708" s="8"/>
      <c r="J708" s="8"/>
      <c r="K708" s="8"/>
      <c r="L708" s="8"/>
      <c r="M708" s="8"/>
      <c r="N708" s="8"/>
      <c r="O708" s="8"/>
      <c r="P708" s="8"/>
      <c r="Q708" s="8"/>
      <c r="R708" s="8"/>
      <c r="S708" s="8"/>
      <c r="T708" s="8"/>
      <c r="U708" s="8"/>
    </row>
    <row r="709" spans="1:21" ht="30" customHeight="1" x14ac:dyDescent="0.25">
      <c r="A709" s="8"/>
      <c r="B709" s="8"/>
      <c r="C709" s="8"/>
      <c r="D709" s="8"/>
      <c r="E709" s="224"/>
      <c r="F709" s="8"/>
      <c r="G709" s="8"/>
      <c r="H709" s="8"/>
      <c r="I709" s="8"/>
      <c r="J709" s="8"/>
      <c r="K709" s="8"/>
      <c r="L709" s="8"/>
      <c r="M709" s="8"/>
      <c r="N709" s="8"/>
      <c r="O709" s="8"/>
      <c r="P709" s="8"/>
      <c r="Q709" s="8"/>
      <c r="R709" s="8"/>
      <c r="S709" s="8"/>
      <c r="T709" s="8"/>
      <c r="U709" s="8"/>
    </row>
    <row r="710" spans="1:21" ht="30" customHeight="1" x14ac:dyDescent="0.25">
      <c r="A710" s="8"/>
      <c r="B710" s="8"/>
      <c r="C710" s="8"/>
      <c r="D710" s="8"/>
      <c r="E710" s="224"/>
      <c r="F710" s="8"/>
      <c r="G710" s="8"/>
      <c r="H710" s="8"/>
      <c r="I710" s="8"/>
      <c r="J710" s="8"/>
      <c r="K710" s="8"/>
      <c r="L710" s="8"/>
      <c r="M710" s="8"/>
      <c r="N710" s="8"/>
      <c r="O710" s="8"/>
      <c r="P710" s="8"/>
      <c r="Q710" s="8"/>
      <c r="R710" s="8"/>
      <c r="S710" s="8"/>
      <c r="T710" s="8"/>
      <c r="U710" s="8"/>
    </row>
    <row r="711" spans="1:21" ht="30" customHeight="1" x14ac:dyDescent="0.25">
      <c r="A711" s="8"/>
      <c r="B711" s="8"/>
      <c r="C711" s="8"/>
      <c r="D711" s="8"/>
      <c r="E711" s="224"/>
      <c r="F711" s="8"/>
      <c r="G711" s="8"/>
      <c r="H711" s="8"/>
      <c r="I711" s="8"/>
      <c r="J711" s="8"/>
      <c r="K711" s="8"/>
      <c r="L711" s="8"/>
      <c r="M711" s="8"/>
      <c r="N711" s="8"/>
      <c r="O711" s="8"/>
      <c r="P711" s="8"/>
      <c r="Q711" s="8"/>
      <c r="R711" s="8"/>
      <c r="S711" s="8"/>
      <c r="T711" s="8"/>
      <c r="U711" s="8"/>
    </row>
    <row r="712" spans="1:21" ht="30" customHeight="1" x14ac:dyDescent="0.25">
      <c r="A712" s="8"/>
      <c r="B712" s="8"/>
      <c r="C712" s="8"/>
      <c r="D712" s="8"/>
      <c r="E712" s="224"/>
      <c r="F712" s="8"/>
      <c r="G712" s="8"/>
      <c r="H712" s="8"/>
      <c r="I712" s="8"/>
      <c r="J712" s="8"/>
      <c r="K712" s="8"/>
      <c r="L712" s="8"/>
      <c r="M712" s="8"/>
      <c r="N712" s="8"/>
      <c r="O712" s="8"/>
      <c r="P712" s="8"/>
      <c r="Q712" s="8"/>
      <c r="R712" s="8"/>
      <c r="S712" s="8"/>
      <c r="T712" s="8"/>
      <c r="U712" s="8"/>
    </row>
    <row r="713" spans="1:21" ht="30" customHeight="1" x14ac:dyDescent="0.25">
      <c r="A713" s="8"/>
      <c r="B713" s="8"/>
      <c r="C713" s="8"/>
      <c r="D713" s="8"/>
      <c r="E713" s="224"/>
      <c r="F713" s="8"/>
      <c r="G713" s="8"/>
      <c r="H713" s="8"/>
      <c r="I713" s="8"/>
      <c r="J713" s="8"/>
      <c r="K713" s="8"/>
      <c r="L713" s="8"/>
      <c r="M713" s="8"/>
      <c r="N713" s="8"/>
      <c r="O713" s="8"/>
      <c r="P713" s="8"/>
      <c r="Q713" s="8"/>
      <c r="R713" s="8"/>
      <c r="S713" s="8"/>
      <c r="T713" s="8"/>
      <c r="U713" s="8"/>
    </row>
    <row r="714" spans="1:21" ht="30" customHeight="1" x14ac:dyDescent="0.25">
      <c r="A714" s="8"/>
      <c r="B714" s="8"/>
      <c r="C714" s="8"/>
      <c r="D714" s="8"/>
      <c r="E714" s="224"/>
      <c r="F714" s="8"/>
      <c r="G714" s="8"/>
      <c r="H714" s="8"/>
      <c r="I714" s="8"/>
      <c r="J714" s="8"/>
      <c r="K714" s="8"/>
      <c r="L714" s="8"/>
      <c r="M714" s="8"/>
      <c r="N714" s="8"/>
      <c r="O714" s="8"/>
      <c r="P714" s="8"/>
      <c r="Q714" s="8"/>
      <c r="R714" s="8"/>
      <c r="S714" s="8"/>
      <c r="T714" s="8"/>
      <c r="U714" s="8"/>
    </row>
    <row r="715" spans="1:21" ht="30" customHeight="1" x14ac:dyDescent="0.25">
      <c r="A715" s="8"/>
      <c r="B715" s="8"/>
      <c r="C715" s="8"/>
      <c r="D715" s="8"/>
      <c r="E715" s="224"/>
      <c r="F715" s="8"/>
      <c r="G715" s="8"/>
      <c r="H715" s="8"/>
      <c r="I715" s="8"/>
      <c r="J715" s="8"/>
      <c r="K715" s="8"/>
      <c r="L715" s="8"/>
      <c r="M715" s="8"/>
      <c r="N715" s="8"/>
      <c r="O715" s="8"/>
      <c r="P715" s="8"/>
      <c r="Q715" s="8"/>
      <c r="R715" s="8"/>
      <c r="S715" s="8"/>
      <c r="T715" s="8"/>
      <c r="U715" s="8"/>
    </row>
    <row r="716" spans="1:21" ht="30" customHeight="1" x14ac:dyDescent="0.25">
      <c r="A716" s="8"/>
      <c r="B716" s="8"/>
      <c r="C716" s="8"/>
      <c r="D716" s="8"/>
      <c r="E716" s="224"/>
      <c r="F716" s="8"/>
      <c r="G716" s="8"/>
      <c r="H716" s="8"/>
      <c r="I716" s="8"/>
      <c r="J716" s="8"/>
      <c r="K716" s="8"/>
      <c r="L716" s="8"/>
      <c r="M716" s="8"/>
      <c r="N716" s="8"/>
      <c r="O716" s="8"/>
      <c r="P716" s="8"/>
      <c r="Q716" s="8"/>
      <c r="R716" s="8"/>
      <c r="S716" s="8"/>
      <c r="T716" s="8"/>
      <c r="U716" s="8"/>
    </row>
    <row r="717" spans="1:21" ht="30" customHeight="1" x14ac:dyDescent="0.25">
      <c r="A717" s="8"/>
      <c r="B717" s="8"/>
      <c r="C717" s="8"/>
      <c r="D717" s="8"/>
      <c r="E717" s="224"/>
      <c r="F717" s="8"/>
      <c r="G717" s="8"/>
      <c r="H717" s="8"/>
      <c r="I717" s="8"/>
      <c r="J717" s="8"/>
      <c r="K717" s="8"/>
      <c r="L717" s="8"/>
      <c r="M717" s="8"/>
      <c r="N717" s="8"/>
      <c r="O717" s="8"/>
      <c r="P717" s="8"/>
      <c r="Q717" s="8"/>
      <c r="R717" s="8"/>
      <c r="S717" s="8"/>
      <c r="T717" s="8"/>
      <c r="U717" s="8"/>
    </row>
    <row r="718" spans="1:21" ht="30" customHeight="1" x14ac:dyDescent="0.25">
      <c r="A718" s="8"/>
      <c r="B718" s="8"/>
      <c r="C718" s="8"/>
      <c r="D718" s="8"/>
      <c r="E718" s="224"/>
      <c r="F718" s="8"/>
      <c r="G718" s="8"/>
      <c r="H718" s="8"/>
      <c r="I718" s="8"/>
      <c r="J718" s="8"/>
      <c r="K718" s="8"/>
      <c r="L718" s="8"/>
      <c r="M718" s="8"/>
      <c r="N718" s="8"/>
      <c r="O718" s="8"/>
      <c r="P718" s="8"/>
      <c r="Q718" s="8"/>
      <c r="R718" s="8"/>
      <c r="S718" s="8"/>
      <c r="T718" s="8"/>
      <c r="U718" s="8"/>
    </row>
    <row r="719" spans="1:21" ht="30" customHeight="1" x14ac:dyDescent="0.25">
      <c r="A719" s="8"/>
      <c r="B719" s="8"/>
      <c r="C719" s="8"/>
      <c r="D719" s="8"/>
      <c r="E719" s="224"/>
      <c r="F719" s="8"/>
      <c r="G719" s="8"/>
      <c r="H719" s="8"/>
      <c r="I719" s="8"/>
      <c r="J719" s="8"/>
      <c r="K719" s="8"/>
      <c r="L719" s="8"/>
      <c r="M719" s="8"/>
      <c r="N719" s="8"/>
      <c r="O719" s="8"/>
      <c r="P719" s="8"/>
      <c r="Q719" s="8"/>
      <c r="R719" s="8"/>
      <c r="S719" s="8"/>
      <c r="T719" s="8"/>
      <c r="U719" s="8"/>
    </row>
    <row r="720" spans="1:21" ht="30" customHeight="1" x14ac:dyDescent="0.25">
      <c r="A720" s="8"/>
      <c r="B720" s="8"/>
      <c r="C720" s="8"/>
      <c r="D720" s="8"/>
      <c r="E720" s="224"/>
      <c r="F720" s="8"/>
      <c r="G720" s="8"/>
      <c r="H720" s="8"/>
      <c r="I720" s="8"/>
      <c r="J720" s="8"/>
      <c r="K720" s="8"/>
      <c r="L720" s="8"/>
      <c r="M720" s="8"/>
      <c r="N720" s="8"/>
      <c r="O720" s="8"/>
      <c r="P720" s="8"/>
      <c r="Q720" s="8"/>
      <c r="R720" s="8"/>
      <c r="S720" s="8"/>
      <c r="T720" s="8"/>
      <c r="U720" s="8"/>
    </row>
    <row r="721" spans="1:21" ht="30" customHeight="1" x14ac:dyDescent="0.25">
      <c r="A721" s="8"/>
      <c r="B721" s="8"/>
      <c r="C721" s="8"/>
      <c r="D721" s="8"/>
      <c r="E721" s="224"/>
      <c r="F721" s="8"/>
      <c r="G721" s="8"/>
      <c r="H721" s="8"/>
      <c r="I721" s="8"/>
      <c r="J721" s="8"/>
      <c r="K721" s="8"/>
      <c r="L721" s="8"/>
      <c r="M721" s="8"/>
      <c r="N721" s="8"/>
      <c r="O721" s="8"/>
      <c r="P721" s="8"/>
      <c r="Q721" s="8"/>
      <c r="R721" s="8"/>
      <c r="S721" s="8"/>
      <c r="T721" s="8"/>
      <c r="U721" s="8"/>
    </row>
    <row r="722" spans="1:21" ht="30" customHeight="1" x14ac:dyDescent="0.25">
      <c r="A722" s="8"/>
      <c r="B722" s="8"/>
      <c r="C722" s="8"/>
      <c r="D722" s="8"/>
      <c r="E722" s="224"/>
      <c r="F722" s="8"/>
      <c r="G722" s="8"/>
      <c r="H722" s="8"/>
      <c r="I722" s="8"/>
      <c r="J722" s="8"/>
      <c r="K722" s="8"/>
      <c r="L722" s="8"/>
      <c r="M722" s="8"/>
      <c r="N722" s="8"/>
      <c r="O722" s="8"/>
      <c r="P722" s="8"/>
      <c r="Q722" s="8"/>
      <c r="R722" s="8"/>
      <c r="S722" s="8"/>
      <c r="T722" s="8"/>
      <c r="U722" s="8"/>
    </row>
    <row r="723" spans="1:21" ht="30" customHeight="1" x14ac:dyDescent="0.25">
      <c r="A723" s="8"/>
      <c r="B723" s="8"/>
      <c r="C723" s="8"/>
      <c r="D723" s="8"/>
      <c r="E723" s="224"/>
      <c r="F723" s="8"/>
      <c r="G723" s="8"/>
      <c r="H723" s="8"/>
      <c r="I723" s="8"/>
      <c r="J723" s="8"/>
      <c r="K723" s="8"/>
      <c r="L723" s="8"/>
      <c r="M723" s="8"/>
      <c r="N723" s="8"/>
      <c r="O723" s="8"/>
      <c r="P723" s="8"/>
      <c r="Q723" s="8"/>
      <c r="R723" s="8"/>
      <c r="S723" s="8"/>
      <c r="T723" s="8"/>
      <c r="U723" s="8"/>
    </row>
    <row r="724" spans="1:21" ht="30" customHeight="1" x14ac:dyDescent="0.25">
      <c r="A724" s="8"/>
      <c r="B724" s="8"/>
      <c r="C724" s="8"/>
      <c r="D724" s="8"/>
      <c r="E724" s="224"/>
      <c r="F724" s="8"/>
      <c r="G724" s="8"/>
      <c r="H724" s="8"/>
      <c r="I724" s="8"/>
      <c r="J724" s="8"/>
      <c r="K724" s="8"/>
      <c r="L724" s="8"/>
      <c r="M724" s="8"/>
      <c r="N724" s="8"/>
      <c r="O724" s="8"/>
      <c r="P724" s="8"/>
      <c r="Q724" s="8"/>
      <c r="R724" s="8"/>
      <c r="S724" s="8"/>
      <c r="T724" s="8"/>
      <c r="U724" s="8"/>
    </row>
    <row r="725" spans="1:21" ht="30" customHeight="1" x14ac:dyDescent="0.25">
      <c r="A725" s="8"/>
      <c r="B725" s="8"/>
      <c r="C725" s="8"/>
      <c r="D725" s="8"/>
      <c r="E725" s="224"/>
      <c r="F725" s="8"/>
      <c r="G725" s="8"/>
      <c r="H725" s="8"/>
      <c r="I725" s="8"/>
      <c r="J725" s="8"/>
      <c r="K725" s="8"/>
      <c r="L725" s="8"/>
      <c r="M725" s="8"/>
      <c r="N725" s="8"/>
      <c r="O725" s="8"/>
      <c r="P725" s="8"/>
      <c r="Q725" s="8"/>
      <c r="R725" s="8"/>
      <c r="S725" s="8"/>
      <c r="T725" s="8"/>
      <c r="U725" s="8"/>
    </row>
    <row r="726" spans="1:21" ht="30" customHeight="1" x14ac:dyDescent="0.25">
      <c r="A726" s="8"/>
      <c r="B726" s="8"/>
      <c r="C726" s="8"/>
      <c r="D726" s="8"/>
      <c r="E726" s="224"/>
      <c r="F726" s="8"/>
      <c r="G726" s="8"/>
      <c r="H726" s="8"/>
      <c r="I726" s="8"/>
      <c r="J726" s="8"/>
      <c r="K726" s="8"/>
      <c r="L726" s="8"/>
      <c r="M726" s="8"/>
      <c r="N726" s="8"/>
      <c r="O726" s="8"/>
      <c r="P726" s="8"/>
      <c r="Q726" s="8"/>
      <c r="R726" s="8"/>
      <c r="S726" s="8"/>
      <c r="T726" s="8"/>
      <c r="U726" s="8"/>
    </row>
    <row r="727" spans="1:21" ht="30" customHeight="1" x14ac:dyDescent="0.25">
      <c r="A727" s="8"/>
      <c r="B727" s="8"/>
      <c r="C727" s="8"/>
      <c r="D727" s="8"/>
      <c r="E727" s="224"/>
      <c r="F727" s="8"/>
      <c r="G727" s="8"/>
      <c r="H727" s="8"/>
      <c r="I727" s="8"/>
      <c r="J727" s="8"/>
      <c r="K727" s="8"/>
      <c r="L727" s="8"/>
      <c r="M727" s="8"/>
      <c r="N727" s="8"/>
      <c r="O727" s="8"/>
      <c r="P727" s="8"/>
      <c r="Q727" s="8"/>
      <c r="R727" s="8"/>
      <c r="S727" s="8"/>
      <c r="T727" s="8"/>
      <c r="U727" s="8"/>
    </row>
    <row r="728" spans="1:21" ht="30" customHeight="1" x14ac:dyDescent="0.25">
      <c r="A728" s="8"/>
      <c r="B728" s="8"/>
      <c r="C728" s="8"/>
      <c r="D728" s="8"/>
      <c r="E728" s="224"/>
      <c r="F728" s="8"/>
      <c r="G728" s="8"/>
      <c r="H728" s="8"/>
      <c r="I728" s="8"/>
      <c r="J728" s="8"/>
      <c r="K728" s="8"/>
      <c r="L728" s="8"/>
      <c r="M728" s="8"/>
      <c r="N728" s="8"/>
      <c r="O728" s="8"/>
      <c r="P728" s="8"/>
      <c r="Q728" s="8"/>
      <c r="R728" s="8"/>
      <c r="S728" s="8"/>
      <c r="T728" s="8"/>
      <c r="U728" s="8"/>
    </row>
    <row r="729" spans="1:21" ht="30" customHeight="1" x14ac:dyDescent="0.25">
      <c r="A729" s="8"/>
      <c r="B729" s="8"/>
      <c r="C729" s="8"/>
      <c r="D729" s="8"/>
      <c r="E729" s="224"/>
      <c r="F729" s="8"/>
      <c r="G729" s="8"/>
      <c r="H729" s="8"/>
      <c r="I729" s="8"/>
      <c r="J729" s="8"/>
      <c r="K729" s="8"/>
      <c r="L729" s="8"/>
      <c r="M729" s="8"/>
      <c r="N729" s="8"/>
      <c r="O729" s="8"/>
      <c r="P729" s="8"/>
      <c r="Q729" s="8"/>
      <c r="R729" s="8"/>
      <c r="S729" s="8"/>
      <c r="T729" s="8"/>
      <c r="U729" s="8"/>
    </row>
    <row r="730" spans="1:21" ht="30" customHeight="1" x14ac:dyDescent="0.25">
      <c r="A730" s="8"/>
      <c r="B730" s="8"/>
      <c r="C730" s="8"/>
      <c r="D730" s="8"/>
      <c r="E730" s="224"/>
      <c r="F730" s="8"/>
      <c r="G730" s="8"/>
      <c r="H730" s="8"/>
      <c r="I730" s="8"/>
      <c r="J730" s="8"/>
      <c r="K730" s="8"/>
      <c r="L730" s="8"/>
      <c r="M730" s="8"/>
      <c r="N730" s="8"/>
      <c r="O730" s="8"/>
      <c r="P730" s="8"/>
      <c r="Q730" s="8"/>
      <c r="R730" s="8"/>
      <c r="S730" s="8"/>
      <c r="T730" s="8"/>
      <c r="U730" s="8"/>
    </row>
    <row r="731" spans="1:21" ht="30" customHeight="1" x14ac:dyDescent="0.25">
      <c r="A731" s="8"/>
      <c r="B731" s="8"/>
      <c r="C731" s="8"/>
      <c r="D731" s="8"/>
      <c r="E731" s="224"/>
      <c r="F731" s="8"/>
      <c r="G731" s="8"/>
      <c r="H731" s="8"/>
      <c r="I731" s="8"/>
      <c r="J731" s="8"/>
      <c r="K731" s="8"/>
      <c r="L731" s="8"/>
      <c r="M731" s="8"/>
      <c r="N731" s="8"/>
      <c r="O731" s="8"/>
      <c r="P731" s="8"/>
      <c r="Q731" s="8"/>
      <c r="R731" s="8"/>
      <c r="S731" s="8"/>
      <c r="T731" s="8"/>
      <c r="U731" s="8"/>
    </row>
    <row r="732" spans="1:21" ht="30" customHeight="1" x14ac:dyDescent="0.25">
      <c r="A732" s="8"/>
      <c r="B732" s="8"/>
      <c r="C732" s="8"/>
      <c r="D732" s="8"/>
      <c r="E732" s="224"/>
      <c r="F732" s="8"/>
      <c r="G732" s="8"/>
      <c r="H732" s="8"/>
      <c r="I732" s="8"/>
      <c r="J732" s="8"/>
      <c r="K732" s="8"/>
      <c r="L732" s="8"/>
      <c r="M732" s="8"/>
      <c r="N732" s="8"/>
      <c r="O732" s="8"/>
      <c r="P732" s="8"/>
      <c r="Q732" s="8"/>
      <c r="R732" s="8"/>
      <c r="S732" s="8"/>
      <c r="T732" s="8"/>
      <c r="U732" s="8"/>
    </row>
    <row r="733" spans="1:21" ht="30" customHeight="1" x14ac:dyDescent="0.25">
      <c r="A733" s="8"/>
      <c r="B733" s="8"/>
      <c r="C733" s="8"/>
      <c r="D733" s="8"/>
      <c r="E733" s="224"/>
      <c r="F733" s="8"/>
      <c r="G733" s="8"/>
      <c r="H733" s="8"/>
      <c r="I733" s="8"/>
      <c r="J733" s="8"/>
      <c r="K733" s="8"/>
      <c r="L733" s="8"/>
      <c r="M733" s="8"/>
      <c r="N733" s="8"/>
      <c r="O733" s="8"/>
      <c r="P733" s="8"/>
      <c r="Q733" s="8"/>
      <c r="R733" s="8"/>
      <c r="S733" s="8"/>
      <c r="T733" s="8"/>
      <c r="U733" s="8"/>
    </row>
    <row r="734" spans="1:21" ht="30" customHeight="1" x14ac:dyDescent="0.25">
      <c r="A734" s="8"/>
      <c r="B734" s="8"/>
      <c r="C734" s="8"/>
      <c r="D734" s="8"/>
      <c r="E734" s="224"/>
      <c r="F734" s="8"/>
      <c r="G734" s="8"/>
      <c r="H734" s="8"/>
      <c r="I734" s="8"/>
      <c r="J734" s="8"/>
      <c r="K734" s="8"/>
      <c r="L734" s="8"/>
      <c r="M734" s="8"/>
      <c r="N734" s="8"/>
      <c r="O734" s="8"/>
      <c r="P734" s="8"/>
      <c r="Q734" s="8"/>
      <c r="R734" s="8"/>
      <c r="S734" s="8"/>
      <c r="T734" s="8"/>
      <c r="U734" s="8"/>
    </row>
    <row r="735" spans="1:21" ht="30" customHeight="1" x14ac:dyDescent="0.25">
      <c r="A735" s="8"/>
      <c r="B735" s="8"/>
      <c r="C735" s="8"/>
      <c r="D735" s="8"/>
      <c r="E735" s="224"/>
      <c r="F735" s="8"/>
      <c r="G735" s="8"/>
      <c r="H735" s="8"/>
      <c r="I735" s="8"/>
      <c r="J735" s="8"/>
      <c r="K735" s="8"/>
      <c r="L735" s="8"/>
      <c r="M735" s="8"/>
      <c r="N735" s="8"/>
      <c r="O735" s="8"/>
      <c r="P735" s="8"/>
      <c r="Q735" s="8"/>
      <c r="R735" s="8"/>
      <c r="S735" s="8"/>
      <c r="T735" s="8"/>
      <c r="U735" s="8"/>
    </row>
    <row r="736" spans="1:21" ht="30" customHeight="1" x14ac:dyDescent="0.25">
      <c r="A736" s="8"/>
      <c r="B736" s="8"/>
      <c r="C736" s="8"/>
      <c r="D736" s="8"/>
      <c r="E736" s="224"/>
      <c r="F736" s="8"/>
      <c r="G736" s="8"/>
      <c r="H736" s="8"/>
      <c r="I736" s="8"/>
      <c r="J736" s="8"/>
      <c r="K736" s="8"/>
      <c r="L736" s="8"/>
      <c r="M736" s="8"/>
      <c r="N736" s="8"/>
      <c r="O736" s="8"/>
      <c r="P736" s="8"/>
      <c r="Q736" s="8"/>
      <c r="R736" s="8"/>
      <c r="S736" s="8"/>
      <c r="T736" s="8"/>
      <c r="U736" s="8"/>
    </row>
    <row r="737" spans="1:21" ht="30" customHeight="1" x14ac:dyDescent="0.25">
      <c r="A737" s="8"/>
      <c r="B737" s="8"/>
      <c r="C737" s="8"/>
      <c r="D737" s="8"/>
      <c r="E737" s="224"/>
      <c r="F737" s="8"/>
      <c r="G737" s="8"/>
      <c r="H737" s="8"/>
      <c r="I737" s="8"/>
      <c r="J737" s="8"/>
      <c r="K737" s="8"/>
      <c r="L737" s="8"/>
      <c r="M737" s="8"/>
      <c r="N737" s="8"/>
      <c r="O737" s="8"/>
      <c r="P737" s="8"/>
      <c r="Q737" s="8"/>
      <c r="R737" s="8"/>
      <c r="S737" s="8"/>
      <c r="T737" s="8"/>
      <c r="U737" s="8"/>
    </row>
    <row r="738" spans="1:21" ht="30" customHeight="1" x14ac:dyDescent="0.25">
      <c r="A738" s="8"/>
      <c r="B738" s="8"/>
      <c r="C738" s="8"/>
      <c r="D738" s="8"/>
      <c r="E738" s="224"/>
      <c r="F738" s="8"/>
      <c r="G738" s="8"/>
      <c r="H738" s="8"/>
      <c r="I738" s="8"/>
      <c r="J738" s="8"/>
      <c r="K738" s="8"/>
      <c r="L738" s="8"/>
      <c r="M738" s="8"/>
      <c r="N738" s="8"/>
      <c r="O738" s="8"/>
      <c r="P738" s="8"/>
      <c r="Q738" s="8"/>
      <c r="R738" s="8"/>
      <c r="S738" s="8"/>
      <c r="T738" s="8"/>
      <c r="U738" s="8"/>
    </row>
    <row r="739" spans="1:21" ht="30" customHeight="1" x14ac:dyDescent="0.25">
      <c r="A739" s="8"/>
      <c r="B739" s="8"/>
      <c r="C739" s="8"/>
      <c r="D739" s="8"/>
      <c r="E739" s="224"/>
      <c r="F739" s="8"/>
      <c r="G739" s="8"/>
      <c r="H739" s="8"/>
      <c r="I739" s="8"/>
      <c r="J739" s="8"/>
      <c r="K739" s="8"/>
      <c r="L739" s="8"/>
      <c r="M739" s="8"/>
      <c r="N739" s="8"/>
      <c r="O739" s="8"/>
      <c r="P739" s="8"/>
      <c r="Q739" s="8"/>
      <c r="R739" s="8"/>
      <c r="S739" s="8"/>
      <c r="T739" s="8"/>
      <c r="U739" s="8"/>
    </row>
    <row r="740" spans="1:21" ht="30" customHeight="1" x14ac:dyDescent="0.25">
      <c r="A740" s="8"/>
      <c r="B740" s="8"/>
      <c r="C740" s="8"/>
      <c r="D740" s="8"/>
      <c r="E740" s="224"/>
      <c r="F740" s="8"/>
      <c r="G740" s="8"/>
      <c r="H740" s="8"/>
      <c r="I740" s="8"/>
      <c r="J740" s="8"/>
      <c r="K740" s="8"/>
      <c r="L740" s="8"/>
      <c r="M740" s="8"/>
      <c r="N740" s="8"/>
      <c r="O740" s="8"/>
      <c r="P740" s="8"/>
      <c r="Q740" s="8"/>
      <c r="R740" s="8"/>
      <c r="S740" s="8"/>
      <c r="T740" s="8"/>
      <c r="U740" s="8"/>
    </row>
    <row r="741" spans="1:21" ht="30" customHeight="1" x14ac:dyDescent="0.25">
      <c r="A741" s="8"/>
      <c r="B741" s="8"/>
      <c r="C741" s="8"/>
      <c r="D741" s="8"/>
      <c r="E741" s="224"/>
      <c r="F741" s="8"/>
      <c r="G741" s="8"/>
      <c r="H741" s="8"/>
      <c r="I741" s="8"/>
      <c r="J741" s="8"/>
      <c r="K741" s="8"/>
      <c r="L741" s="8"/>
      <c r="M741" s="8"/>
      <c r="N741" s="8"/>
      <c r="O741" s="8"/>
      <c r="P741" s="8"/>
      <c r="Q741" s="8"/>
      <c r="R741" s="8"/>
      <c r="S741" s="8"/>
      <c r="T741" s="8"/>
      <c r="U741" s="8"/>
    </row>
    <row r="742" spans="1:21" ht="30" customHeight="1" x14ac:dyDescent="0.25">
      <c r="A742" s="8"/>
      <c r="B742" s="8"/>
      <c r="C742" s="8"/>
      <c r="D742" s="8"/>
      <c r="E742" s="224"/>
      <c r="F742" s="8"/>
      <c r="G742" s="8"/>
      <c r="H742" s="8"/>
      <c r="I742" s="8"/>
      <c r="J742" s="8"/>
      <c r="K742" s="8"/>
      <c r="L742" s="8"/>
      <c r="M742" s="8"/>
      <c r="N742" s="8"/>
      <c r="O742" s="8"/>
      <c r="P742" s="8"/>
      <c r="Q742" s="8"/>
      <c r="R742" s="8"/>
      <c r="S742" s="8"/>
      <c r="T742" s="8"/>
      <c r="U742" s="8"/>
    </row>
    <row r="743" spans="1:21" ht="30" customHeight="1" x14ac:dyDescent="0.25">
      <c r="A743" s="8"/>
      <c r="B743" s="8"/>
      <c r="C743" s="8"/>
      <c r="D743" s="8"/>
      <c r="E743" s="224"/>
      <c r="F743" s="8"/>
      <c r="G743" s="8"/>
      <c r="H743" s="8"/>
      <c r="I743" s="8"/>
      <c r="J743" s="8"/>
      <c r="K743" s="8"/>
      <c r="L743" s="8"/>
      <c r="M743" s="8"/>
      <c r="N743" s="8"/>
      <c r="O743" s="8"/>
      <c r="P743" s="8"/>
      <c r="Q743" s="8"/>
      <c r="R743" s="8"/>
      <c r="S743" s="8"/>
      <c r="T743" s="8"/>
      <c r="U743" s="8"/>
    </row>
    <row r="744" spans="1:21" ht="30" customHeight="1" x14ac:dyDescent="0.25">
      <c r="A744" s="8"/>
      <c r="B744" s="8"/>
      <c r="C744" s="8"/>
      <c r="D744" s="8"/>
      <c r="E744" s="224"/>
      <c r="F744" s="8"/>
      <c r="G744" s="8"/>
      <c r="H744" s="8"/>
      <c r="I744" s="8"/>
      <c r="J744" s="8"/>
      <c r="K744" s="8"/>
      <c r="L744" s="8"/>
      <c r="M744" s="8"/>
      <c r="N744" s="8"/>
      <c r="O744" s="8"/>
      <c r="P744" s="8"/>
      <c r="Q744" s="8"/>
      <c r="R744" s="8"/>
      <c r="S744" s="8"/>
      <c r="T744" s="8"/>
      <c r="U744" s="8"/>
    </row>
    <row r="745" spans="1:21" ht="30" customHeight="1" x14ac:dyDescent="0.25">
      <c r="A745" s="8"/>
      <c r="B745" s="8"/>
      <c r="C745" s="8"/>
      <c r="D745" s="8"/>
      <c r="E745" s="224"/>
      <c r="F745" s="8"/>
      <c r="G745" s="8"/>
      <c r="H745" s="8"/>
      <c r="I745" s="8"/>
      <c r="J745" s="8"/>
      <c r="K745" s="8"/>
      <c r="L745" s="8"/>
      <c r="M745" s="8"/>
      <c r="N745" s="8"/>
      <c r="O745" s="8"/>
      <c r="P745" s="8"/>
      <c r="Q745" s="8"/>
      <c r="R745" s="8"/>
      <c r="S745" s="8"/>
      <c r="T745" s="8"/>
      <c r="U745" s="8"/>
    </row>
    <row r="746" spans="1:21" ht="30" customHeight="1" x14ac:dyDescent="0.25">
      <c r="A746" s="8"/>
      <c r="B746" s="8"/>
      <c r="C746" s="8"/>
      <c r="D746" s="8"/>
      <c r="E746" s="224"/>
      <c r="F746" s="8"/>
      <c r="G746" s="8"/>
      <c r="H746" s="8"/>
      <c r="I746" s="8"/>
      <c r="J746" s="8"/>
      <c r="K746" s="8"/>
      <c r="L746" s="8"/>
      <c r="M746" s="8"/>
      <c r="N746" s="8"/>
      <c r="O746" s="8"/>
      <c r="P746" s="8"/>
      <c r="Q746" s="8"/>
      <c r="R746" s="8"/>
      <c r="S746" s="8"/>
      <c r="T746" s="8"/>
      <c r="U746" s="8"/>
    </row>
    <row r="747" spans="1:21" ht="30" customHeight="1" x14ac:dyDescent="0.25">
      <c r="A747" s="8"/>
      <c r="B747" s="8"/>
      <c r="C747" s="8"/>
      <c r="D747" s="8"/>
      <c r="E747" s="224"/>
      <c r="F747" s="8"/>
      <c r="G747" s="8"/>
      <c r="H747" s="8"/>
      <c r="I747" s="8"/>
      <c r="J747" s="8"/>
      <c r="K747" s="8"/>
      <c r="L747" s="8"/>
      <c r="M747" s="8"/>
      <c r="N747" s="8"/>
      <c r="O747" s="8"/>
      <c r="P747" s="8"/>
      <c r="Q747" s="8"/>
      <c r="R747" s="8"/>
      <c r="S747" s="8"/>
      <c r="T747" s="8"/>
      <c r="U747" s="8"/>
    </row>
    <row r="748" spans="1:21" ht="30" customHeight="1" x14ac:dyDescent="0.25">
      <c r="A748" s="8"/>
      <c r="B748" s="8"/>
      <c r="C748" s="8"/>
      <c r="D748" s="8"/>
      <c r="E748" s="224"/>
      <c r="F748" s="8"/>
      <c r="G748" s="8"/>
      <c r="H748" s="8"/>
      <c r="I748" s="8"/>
      <c r="J748" s="8"/>
      <c r="K748" s="8"/>
      <c r="L748" s="8"/>
      <c r="M748" s="8"/>
      <c r="N748" s="8"/>
      <c r="O748" s="8"/>
      <c r="P748" s="8"/>
      <c r="Q748" s="8"/>
      <c r="R748" s="8"/>
      <c r="S748" s="8"/>
      <c r="T748" s="8"/>
      <c r="U748" s="8"/>
    </row>
    <row r="749" spans="1:21" ht="30" customHeight="1" x14ac:dyDescent="0.25">
      <c r="A749" s="8"/>
      <c r="B749" s="8"/>
      <c r="C749" s="8"/>
      <c r="D749" s="8"/>
      <c r="E749" s="224"/>
      <c r="F749" s="8"/>
      <c r="G749" s="8"/>
      <c r="H749" s="8"/>
      <c r="I749" s="8"/>
      <c r="J749" s="8"/>
      <c r="K749" s="8"/>
      <c r="L749" s="8"/>
      <c r="M749" s="8"/>
      <c r="N749" s="8"/>
      <c r="O749" s="8"/>
      <c r="P749" s="8"/>
      <c r="Q749" s="8"/>
      <c r="R749" s="8"/>
      <c r="S749" s="8"/>
      <c r="T749" s="8"/>
      <c r="U749" s="8"/>
    </row>
    <row r="750" spans="1:21" ht="30" customHeight="1" x14ac:dyDescent="0.25">
      <c r="A750" s="8"/>
      <c r="B750" s="8"/>
      <c r="C750" s="8"/>
      <c r="D750" s="8"/>
      <c r="E750" s="224"/>
      <c r="F750" s="8"/>
      <c r="G750" s="8"/>
      <c r="H750" s="8"/>
      <c r="I750" s="8"/>
      <c r="J750" s="8"/>
      <c r="K750" s="8"/>
      <c r="L750" s="8"/>
      <c r="M750" s="8"/>
      <c r="N750" s="8"/>
      <c r="O750" s="8"/>
      <c r="P750" s="8"/>
      <c r="Q750" s="8"/>
      <c r="R750" s="8"/>
      <c r="S750" s="8"/>
      <c r="T750" s="8"/>
      <c r="U750" s="8"/>
    </row>
    <row r="751" spans="1:21" ht="30" customHeight="1" x14ac:dyDescent="0.25">
      <c r="A751" s="8"/>
      <c r="B751" s="8"/>
      <c r="C751" s="8"/>
      <c r="D751" s="8"/>
      <c r="E751" s="224"/>
      <c r="F751" s="8"/>
      <c r="G751" s="8"/>
      <c r="H751" s="8"/>
      <c r="I751" s="8"/>
      <c r="J751" s="8"/>
      <c r="K751" s="8"/>
      <c r="L751" s="8"/>
      <c r="M751" s="8"/>
      <c r="N751" s="8"/>
      <c r="O751" s="8"/>
      <c r="P751" s="8"/>
      <c r="Q751" s="8"/>
      <c r="R751" s="8"/>
      <c r="S751" s="8"/>
      <c r="T751" s="8"/>
      <c r="U751" s="8"/>
    </row>
    <row r="752" spans="1:21" ht="30" customHeight="1" x14ac:dyDescent="0.25">
      <c r="A752" s="8"/>
      <c r="B752" s="8"/>
      <c r="C752" s="8"/>
      <c r="D752" s="8"/>
      <c r="E752" s="224"/>
      <c r="F752" s="8"/>
      <c r="G752" s="8"/>
      <c r="H752" s="8"/>
      <c r="I752" s="8"/>
      <c r="J752" s="8"/>
      <c r="K752" s="8"/>
      <c r="L752" s="8"/>
      <c r="M752" s="8"/>
      <c r="N752" s="8"/>
      <c r="O752" s="8"/>
      <c r="P752" s="8"/>
      <c r="Q752" s="8"/>
      <c r="R752" s="8"/>
      <c r="S752" s="8"/>
      <c r="T752" s="8"/>
      <c r="U752" s="8"/>
    </row>
    <row r="753" spans="1:21" ht="30" customHeight="1" x14ac:dyDescent="0.25">
      <c r="A753" s="8"/>
      <c r="B753" s="8"/>
      <c r="C753" s="8"/>
      <c r="D753" s="8"/>
      <c r="E753" s="224"/>
      <c r="F753" s="8"/>
      <c r="G753" s="8"/>
      <c r="H753" s="8"/>
      <c r="I753" s="8"/>
      <c r="J753" s="8"/>
      <c r="K753" s="8"/>
      <c r="L753" s="8"/>
      <c r="M753" s="8"/>
      <c r="N753" s="8"/>
      <c r="O753" s="8"/>
      <c r="P753" s="8"/>
      <c r="Q753" s="8"/>
      <c r="R753" s="8"/>
      <c r="S753" s="8"/>
      <c r="T753" s="8"/>
      <c r="U753" s="8"/>
    </row>
    <row r="754" spans="1:21" ht="30" customHeight="1" x14ac:dyDescent="0.25">
      <c r="A754" s="8"/>
      <c r="B754" s="8"/>
      <c r="C754" s="8"/>
      <c r="D754" s="8"/>
      <c r="E754" s="224"/>
      <c r="F754" s="8"/>
      <c r="G754" s="8"/>
      <c r="H754" s="8"/>
      <c r="I754" s="8"/>
      <c r="J754" s="8"/>
      <c r="K754" s="8"/>
      <c r="L754" s="8"/>
      <c r="M754" s="8"/>
      <c r="N754" s="8"/>
      <c r="O754" s="8"/>
      <c r="P754" s="8"/>
      <c r="Q754" s="8"/>
      <c r="R754" s="8"/>
      <c r="S754" s="8"/>
      <c r="T754" s="8"/>
      <c r="U754" s="8"/>
    </row>
    <row r="755" spans="1:21" ht="30" customHeight="1" x14ac:dyDescent="0.25">
      <c r="A755" s="8"/>
      <c r="B755" s="8"/>
      <c r="C755" s="8"/>
      <c r="D755" s="8"/>
      <c r="E755" s="224"/>
      <c r="F755" s="8"/>
      <c r="G755" s="8"/>
      <c r="H755" s="8"/>
      <c r="I755" s="8"/>
      <c r="J755" s="8"/>
      <c r="K755" s="8"/>
      <c r="L755" s="8"/>
      <c r="M755" s="8"/>
      <c r="N755" s="8"/>
      <c r="O755" s="8"/>
      <c r="P755" s="8"/>
      <c r="Q755" s="8"/>
      <c r="R755" s="8"/>
      <c r="S755" s="8"/>
      <c r="T755" s="8"/>
      <c r="U755" s="8"/>
    </row>
    <row r="756" spans="1:21" ht="30" customHeight="1" x14ac:dyDescent="0.25">
      <c r="A756" s="8"/>
      <c r="B756" s="8"/>
      <c r="C756" s="8"/>
      <c r="D756" s="8"/>
      <c r="E756" s="224"/>
      <c r="F756" s="8"/>
      <c r="G756" s="8"/>
      <c r="H756" s="8"/>
      <c r="I756" s="8"/>
      <c r="J756" s="8"/>
      <c r="K756" s="8"/>
      <c r="L756" s="8"/>
      <c r="M756" s="8"/>
      <c r="N756" s="8"/>
      <c r="O756" s="8"/>
      <c r="P756" s="8"/>
      <c r="Q756" s="8"/>
      <c r="R756" s="8"/>
      <c r="S756" s="8"/>
      <c r="T756" s="8"/>
      <c r="U756" s="8"/>
    </row>
    <row r="757" spans="1:21" ht="30" customHeight="1" x14ac:dyDescent="0.25">
      <c r="A757" s="8"/>
      <c r="B757" s="8"/>
      <c r="C757" s="8"/>
      <c r="D757" s="8"/>
      <c r="E757" s="224"/>
      <c r="F757" s="8"/>
      <c r="G757" s="8"/>
      <c r="H757" s="8"/>
      <c r="I757" s="8"/>
      <c r="J757" s="8"/>
      <c r="K757" s="8"/>
      <c r="L757" s="8"/>
      <c r="M757" s="8"/>
      <c r="N757" s="8"/>
      <c r="O757" s="8"/>
      <c r="P757" s="8"/>
      <c r="Q757" s="8"/>
      <c r="R757" s="8"/>
      <c r="S757" s="8"/>
      <c r="T757" s="8"/>
      <c r="U757" s="8"/>
    </row>
    <row r="758" spans="1:21" ht="30" customHeight="1" x14ac:dyDescent="0.25">
      <c r="A758" s="8"/>
      <c r="B758" s="8"/>
      <c r="C758" s="8"/>
      <c r="D758" s="8"/>
      <c r="E758" s="224"/>
      <c r="F758" s="8"/>
      <c r="G758" s="8"/>
      <c r="H758" s="8"/>
      <c r="I758" s="8"/>
      <c r="J758" s="8"/>
      <c r="K758" s="8"/>
      <c r="L758" s="8"/>
      <c r="M758" s="8"/>
      <c r="N758" s="8"/>
      <c r="O758" s="8"/>
      <c r="P758" s="8"/>
      <c r="Q758" s="8"/>
      <c r="R758" s="8"/>
      <c r="S758" s="8"/>
      <c r="T758" s="8"/>
      <c r="U758" s="8"/>
    </row>
    <row r="759" spans="1:21" ht="30" customHeight="1" x14ac:dyDescent="0.25">
      <c r="A759" s="8"/>
      <c r="B759" s="8"/>
      <c r="C759" s="8"/>
      <c r="D759" s="8"/>
      <c r="E759" s="224"/>
      <c r="F759" s="8"/>
      <c r="G759" s="8"/>
      <c r="H759" s="8"/>
      <c r="I759" s="8"/>
      <c r="J759" s="8"/>
      <c r="K759" s="8"/>
      <c r="L759" s="8"/>
      <c r="M759" s="8"/>
      <c r="N759" s="8"/>
      <c r="O759" s="8"/>
      <c r="P759" s="8"/>
      <c r="Q759" s="8"/>
      <c r="R759" s="8"/>
      <c r="S759" s="8"/>
      <c r="T759" s="8"/>
      <c r="U759" s="8"/>
    </row>
    <row r="760" spans="1:21" ht="30" customHeight="1" x14ac:dyDescent="0.25">
      <c r="A760" s="8"/>
      <c r="B760" s="8"/>
      <c r="C760" s="8"/>
      <c r="D760" s="8"/>
      <c r="E760" s="224"/>
      <c r="F760" s="8"/>
      <c r="G760" s="8"/>
      <c r="H760" s="8"/>
      <c r="I760" s="8"/>
      <c r="J760" s="8"/>
      <c r="K760" s="8"/>
      <c r="L760" s="8"/>
      <c r="M760" s="8"/>
      <c r="N760" s="8"/>
      <c r="O760" s="8"/>
      <c r="P760" s="8"/>
      <c r="Q760" s="8"/>
      <c r="R760" s="8"/>
      <c r="S760" s="8"/>
      <c r="T760" s="8"/>
      <c r="U760" s="8"/>
    </row>
    <row r="761" spans="1:21" ht="30" customHeight="1" x14ac:dyDescent="0.25">
      <c r="A761" s="8"/>
      <c r="B761" s="8"/>
      <c r="C761" s="8"/>
      <c r="D761" s="8"/>
      <c r="E761" s="224"/>
      <c r="F761" s="8"/>
      <c r="G761" s="8"/>
      <c r="H761" s="8"/>
      <c r="I761" s="8"/>
      <c r="J761" s="8"/>
      <c r="K761" s="8"/>
      <c r="L761" s="8"/>
      <c r="M761" s="8"/>
      <c r="N761" s="8"/>
      <c r="O761" s="8"/>
      <c r="P761" s="8"/>
      <c r="Q761" s="8"/>
      <c r="R761" s="8"/>
      <c r="S761" s="8"/>
      <c r="T761" s="8"/>
      <c r="U761" s="8"/>
    </row>
    <row r="762" spans="1:21" ht="30" customHeight="1" x14ac:dyDescent="0.25">
      <c r="A762" s="8"/>
      <c r="B762" s="8"/>
      <c r="C762" s="8"/>
      <c r="D762" s="8"/>
      <c r="E762" s="224"/>
      <c r="F762" s="8"/>
      <c r="G762" s="8"/>
      <c r="H762" s="8"/>
      <c r="I762" s="8"/>
      <c r="J762" s="8"/>
      <c r="K762" s="8"/>
      <c r="L762" s="8"/>
      <c r="M762" s="8"/>
      <c r="N762" s="8"/>
      <c r="O762" s="8"/>
      <c r="P762" s="8"/>
      <c r="Q762" s="8"/>
      <c r="R762" s="8"/>
      <c r="S762" s="8"/>
      <c r="T762" s="8"/>
      <c r="U762" s="8"/>
    </row>
    <row r="763" spans="1:21" ht="30" customHeight="1" x14ac:dyDescent="0.25">
      <c r="A763" s="8"/>
      <c r="B763" s="8"/>
      <c r="C763" s="8"/>
      <c r="D763" s="8"/>
      <c r="E763" s="224"/>
      <c r="F763" s="8"/>
      <c r="G763" s="8"/>
      <c r="H763" s="8"/>
      <c r="I763" s="8"/>
      <c r="J763" s="8"/>
      <c r="K763" s="8"/>
      <c r="L763" s="8"/>
      <c r="M763" s="8"/>
      <c r="N763" s="8"/>
      <c r="O763" s="8"/>
      <c r="P763" s="8"/>
      <c r="Q763" s="8"/>
      <c r="R763" s="8"/>
      <c r="S763" s="8"/>
      <c r="T763" s="8"/>
      <c r="U763" s="8"/>
    </row>
    <row r="764" spans="1:21" ht="30" customHeight="1" x14ac:dyDescent="0.25">
      <c r="A764" s="8"/>
      <c r="B764" s="8"/>
      <c r="C764" s="8"/>
      <c r="D764" s="8"/>
      <c r="E764" s="224"/>
      <c r="F764" s="8"/>
      <c r="G764" s="8"/>
      <c r="H764" s="8"/>
      <c r="I764" s="8"/>
      <c r="J764" s="8"/>
      <c r="K764" s="8"/>
      <c r="L764" s="8"/>
      <c r="M764" s="8"/>
      <c r="N764" s="8"/>
      <c r="O764" s="8"/>
      <c r="P764" s="8"/>
      <c r="Q764" s="8"/>
      <c r="R764" s="8"/>
      <c r="S764" s="8"/>
      <c r="T764" s="8"/>
      <c r="U764" s="8"/>
    </row>
    <row r="765" spans="1:21" ht="30" customHeight="1" x14ac:dyDescent="0.25">
      <c r="A765" s="8"/>
      <c r="B765" s="8"/>
      <c r="C765" s="8"/>
      <c r="D765" s="8"/>
      <c r="E765" s="224"/>
      <c r="F765" s="8"/>
      <c r="G765" s="8"/>
      <c r="H765" s="8"/>
      <c r="I765" s="8"/>
      <c r="J765" s="8"/>
      <c r="K765" s="8"/>
      <c r="L765" s="8"/>
      <c r="M765" s="8"/>
      <c r="N765" s="8"/>
      <c r="O765" s="8"/>
      <c r="P765" s="8"/>
      <c r="Q765" s="8"/>
      <c r="R765" s="8"/>
      <c r="S765" s="8"/>
      <c r="T765" s="8"/>
      <c r="U765" s="8"/>
    </row>
    <row r="766" spans="1:21" ht="30" customHeight="1" x14ac:dyDescent="0.25">
      <c r="A766" s="8"/>
      <c r="B766" s="8"/>
      <c r="C766" s="8"/>
      <c r="D766" s="8"/>
      <c r="E766" s="224"/>
      <c r="F766" s="8"/>
      <c r="G766" s="8"/>
      <c r="H766" s="8"/>
      <c r="I766" s="8"/>
      <c r="J766" s="8"/>
      <c r="K766" s="8"/>
      <c r="L766" s="8"/>
      <c r="M766" s="8"/>
      <c r="N766" s="8"/>
      <c r="O766" s="8"/>
      <c r="P766" s="8"/>
      <c r="Q766" s="8"/>
      <c r="R766" s="8"/>
      <c r="S766" s="8"/>
      <c r="T766" s="8"/>
      <c r="U766" s="8"/>
    </row>
    <row r="767" spans="1:21" ht="30" customHeight="1" x14ac:dyDescent="0.25">
      <c r="A767" s="8"/>
      <c r="B767" s="8"/>
      <c r="C767" s="8"/>
      <c r="D767" s="8"/>
      <c r="E767" s="224"/>
      <c r="F767" s="8"/>
      <c r="G767" s="8"/>
      <c r="H767" s="8"/>
      <c r="I767" s="8"/>
      <c r="J767" s="8"/>
      <c r="K767" s="8"/>
      <c r="L767" s="8"/>
      <c r="M767" s="8"/>
      <c r="N767" s="8"/>
      <c r="O767" s="8"/>
      <c r="P767" s="8"/>
      <c r="Q767" s="8"/>
      <c r="R767" s="8"/>
      <c r="S767" s="8"/>
      <c r="T767" s="8"/>
      <c r="U767" s="8"/>
    </row>
    <row r="768" spans="1:21" ht="30" customHeight="1" x14ac:dyDescent="0.25">
      <c r="A768" s="8"/>
      <c r="B768" s="8"/>
      <c r="C768" s="8"/>
      <c r="D768" s="8"/>
      <c r="E768" s="224"/>
      <c r="F768" s="8"/>
      <c r="G768" s="8"/>
      <c r="H768" s="8"/>
      <c r="I768" s="8"/>
      <c r="J768" s="8"/>
      <c r="K768" s="8"/>
      <c r="L768" s="8"/>
      <c r="M768" s="8"/>
      <c r="N768" s="8"/>
      <c r="O768" s="8"/>
      <c r="P768" s="8"/>
      <c r="Q768" s="8"/>
      <c r="R768" s="8"/>
      <c r="S768" s="8"/>
      <c r="T768" s="8"/>
      <c r="U768" s="8"/>
    </row>
    <row r="769" spans="1:21" ht="30" customHeight="1" x14ac:dyDescent="0.25">
      <c r="A769" s="8"/>
      <c r="B769" s="8"/>
      <c r="C769" s="8"/>
      <c r="D769" s="8"/>
      <c r="E769" s="224"/>
      <c r="F769" s="8"/>
      <c r="G769" s="8"/>
      <c r="H769" s="8"/>
      <c r="I769" s="8"/>
      <c r="J769" s="8"/>
      <c r="K769" s="8"/>
      <c r="L769" s="8"/>
      <c r="M769" s="8"/>
      <c r="N769" s="8"/>
      <c r="O769" s="8"/>
      <c r="P769" s="8"/>
      <c r="Q769" s="8"/>
      <c r="R769" s="8"/>
      <c r="S769" s="8"/>
      <c r="T769" s="8"/>
      <c r="U769" s="8"/>
    </row>
    <row r="770" spans="1:21" ht="30" customHeight="1" x14ac:dyDescent="0.25">
      <c r="A770" s="8"/>
      <c r="B770" s="8"/>
      <c r="C770" s="8"/>
      <c r="D770" s="8"/>
      <c r="E770" s="224"/>
      <c r="F770" s="8"/>
      <c r="G770" s="8"/>
      <c r="H770" s="8"/>
      <c r="I770" s="8"/>
      <c r="J770" s="8"/>
      <c r="K770" s="8"/>
      <c r="L770" s="8"/>
      <c r="M770" s="8"/>
      <c r="N770" s="8"/>
      <c r="O770" s="8"/>
      <c r="P770" s="8"/>
      <c r="Q770" s="8"/>
      <c r="R770" s="8"/>
      <c r="S770" s="8"/>
      <c r="T770" s="8"/>
      <c r="U770" s="8"/>
    </row>
    <row r="771" spans="1:21" ht="30" customHeight="1" x14ac:dyDescent="0.25">
      <c r="A771" s="8"/>
      <c r="B771" s="8"/>
      <c r="C771" s="8"/>
      <c r="D771" s="8"/>
      <c r="E771" s="224"/>
      <c r="F771" s="8"/>
      <c r="G771" s="8"/>
      <c r="H771" s="8"/>
      <c r="I771" s="8"/>
      <c r="J771" s="8"/>
      <c r="K771" s="8"/>
      <c r="L771" s="8"/>
      <c r="M771" s="8"/>
      <c r="N771" s="8"/>
      <c r="O771" s="8"/>
      <c r="P771" s="8"/>
      <c r="Q771" s="8"/>
      <c r="R771" s="8"/>
      <c r="S771" s="8"/>
      <c r="T771" s="8"/>
      <c r="U771" s="8"/>
    </row>
    <row r="772" spans="1:21" ht="30" customHeight="1" x14ac:dyDescent="0.25">
      <c r="A772" s="8"/>
      <c r="B772" s="8"/>
      <c r="C772" s="8"/>
      <c r="D772" s="8"/>
      <c r="E772" s="224"/>
      <c r="F772" s="8"/>
      <c r="G772" s="8"/>
      <c r="H772" s="8"/>
      <c r="I772" s="8"/>
      <c r="J772" s="8"/>
      <c r="K772" s="8"/>
      <c r="L772" s="8"/>
      <c r="M772" s="8"/>
      <c r="N772" s="8"/>
      <c r="O772" s="8"/>
      <c r="P772" s="8"/>
      <c r="Q772" s="8"/>
      <c r="R772" s="8"/>
      <c r="S772" s="8"/>
      <c r="T772" s="8"/>
      <c r="U772" s="8"/>
    </row>
    <row r="773" spans="1:21" ht="30" customHeight="1" x14ac:dyDescent="0.25">
      <c r="A773" s="8"/>
      <c r="B773" s="8"/>
      <c r="C773" s="8"/>
      <c r="D773" s="8"/>
      <c r="E773" s="224"/>
      <c r="F773" s="8"/>
      <c r="G773" s="8"/>
      <c r="H773" s="8"/>
      <c r="I773" s="8"/>
      <c r="J773" s="8"/>
      <c r="K773" s="8"/>
      <c r="L773" s="8"/>
      <c r="M773" s="8"/>
      <c r="N773" s="8"/>
      <c r="O773" s="8"/>
      <c r="P773" s="8"/>
      <c r="Q773" s="8"/>
      <c r="R773" s="8"/>
      <c r="S773" s="8"/>
      <c r="T773" s="8"/>
      <c r="U773" s="8"/>
    </row>
    <row r="774" spans="1:21" ht="30" customHeight="1" x14ac:dyDescent="0.25">
      <c r="A774" s="8"/>
      <c r="B774" s="8"/>
      <c r="C774" s="8"/>
      <c r="D774" s="8"/>
      <c r="E774" s="224"/>
      <c r="F774" s="8"/>
      <c r="G774" s="8"/>
      <c r="H774" s="8"/>
      <c r="I774" s="8"/>
      <c r="J774" s="8"/>
      <c r="K774" s="8"/>
      <c r="L774" s="8"/>
      <c r="M774" s="8"/>
      <c r="N774" s="8"/>
      <c r="O774" s="8"/>
      <c r="P774" s="8"/>
      <c r="Q774" s="8"/>
      <c r="R774" s="8"/>
      <c r="S774" s="8"/>
      <c r="T774" s="8"/>
      <c r="U774" s="8"/>
    </row>
    <row r="775" spans="1:21" ht="30" customHeight="1" x14ac:dyDescent="0.25">
      <c r="A775" s="8"/>
      <c r="B775" s="8"/>
      <c r="C775" s="8"/>
      <c r="D775" s="8"/>
      <c r="E775" s="224"/>
      <c r="F775" s="8"/>
      <c r="G775" s="8"/>
      <c r="H775" s="8"/>
      <c r="I775" s="8"/>
      <c r="J775" s="8"/>
      <c r="K775" s="8"/>
      <c r="L775" s="8"/>
      <c r="M775" s="8"/>
      <c r="N775" s="8"/>
      <c r="O775" s="8"/>
      <c r="P775" s="8"/>
      <c r="Q775" s="8"/>
      <c r="R775" s="8"/>
      <c r="S775" s="8"/>
      <c r="T775" s="8"/>
      <c r="U775" s="8"/>
    </row>
    <row r="776" spans="1:21" ht="30" customHeight="1" x14ac:dyDescent="0.25">
      <c r="A776" s="8"/>
      <c r="B776" s="8"/>
      <c r="C776" s="8"/>
      <c r="D776" s="8"/>
      <c r="E776" s="224"/>
      <c r="F776" s="8"/>
      <c r="G776" s="8"/>
      <c r="H776" s="8"/>
      <c r="I776" s="8"/>
      <c r="J776" s="8"/>
      <c r="K776" s="8"/>
      <c r="L776" s="8"/>
      <c r="M776" s="8"/>
      <c r="N776" s="8"/>
      <c r="O776" s="8"/>
      <c r="P776" s="8"/>
      <c r="Q776" s="8"/>
      <c r="R776" s="8"/>
      <c r="S776" s="8"/>
      <c r="T776" s="8"/>
      <c r="U776" s="8"/>
    </row>
    <row r="777" spans="1:21" ht="30" customHeight="1" x14ac:dyDescent="0.25">
      <c r="A777" s="8"/>
      <c r="B777" s="8"/>
      <c r="C777" s="8"/>
      <c r="D777" s="8"/>
      <c r="E777" s="224"/>
      <c r="F777" s="8"/>
      <c r="G777" s="8"/>
      <c r="H777" s="8"/>
      <c r="I777" s="8"/>
      <c r="J777" s="8"/>
      <c r="K777" s="8"/>
      <c r="L777" s="8"/>
      <c r="M777" s="8"/>
      <c r="N777" s="8"/>
      <c r="O777" s="8"/>
      <c r="P777" s="8"/>
      <c r="Q777" s="8"/>
      <c r="R777" s="8"/>
      <c r="S777" s="8"/>
      <c r="T777" s="8"/>
      <c r="U777" s="8"/>
    </row>
    <row r="778" spans="1:21" ht="30" customHeight="1" x14ac:dyDescent="0.25">
      <c r="A778" s="8"/>
      <c r="B778" s="8"/>
      <c r="C778" s="8"/>
      <c r="D778" s="8"/>
      <c r="E778" s="224"/>
      <c r="F778" s="8"/>
      <c r="G778" s="8"/>
      <c r="H778" s="8"/>
      <c r="I778" s="8"/>
      <c r="J778" s="8"/>
      <c r="K778" s="8"/>
      <c r="L778" s="8"/>
      <c r="M778" s="8"/>
      <c r="N778" s="8"/>
      <c r="O778" s="8"/>
      <c r="P778" s="8"/>
      <c r="Q778" s="8"/>
      <c r="R778" s="8"/>
      <c r="S778" s="8"/>
      <c r="T778" s="8"/>
      <c r="U778" s="8"/>
    </row>
    <row r="779" spans="1:21" ht="30" customHeight="1" x14ac:dyDescent="0.25">
      <c r="A779" s="8"/>
      <c r="B779" s="8"/>
      <c r="C779" s="8"/>
      <c r="D779" s="8"/>
      <c r="E779" s="224"/>
      <c r="F779" s="8"/>
      <c r="G779" s="8"/>
      <c r="H779" s="8"/>
      <c r="I779" s="8"/>
      <c r="J779" s="8"/>
      <c r="K779" s="8"/>
      <c r="L779" s="8"/>
      <c r="M779" s="8"/>
      <c r="N779" s="8"/>
      <c r="O779" s="8"/>
      <c r="P779" s="8"/>
      <c r="Q779" s="8"/>
      <c r="R779" s="8"/>
      <c r="S779" s="8"/>
      <c r="T779" s="8"/>
      <c r="U779" s="8"/>
    </row>
    <row r="780" spans="1:21" ht="30" customHeight="1" x14ac:dyDescent="0.25">
      <c r="A780" s="8"/>
      <c r="B780" s="8"/>
      <c r="C780" s="8"/>
      <c r="D780" s="8"/>
      <c r="E780" s="224"/>
      <c r="F780" s="8"/>
      <c r="G780" s="8"/>
      <c r="H780" s="8"/>
      <c r="I780" s="8"/>
      <c r="J780" s="8"/>
      <c r="K780" s="8"/>
      <c r="L780" s="8"/>
      <c r="M780" s="8"/>
      <c r="N780" s="8"/>
      <c r="O780" s="8"/>
      <c r="P780" s="8"/>
      <c r="Q780" s="8"/>
      <c r="R780" s="8"/>
      <c r="S780" s="8"/>
      <c r="T780" s="8"/>
      <c r="U780" s="8"/>
    </row>
    <row r="781" spans="1:21" ht="30" customHeight="1" x14ac:dyDescent="0.25">
      <c r="A781" s="8"/>
      <c r="B781" s="8"/>
      <c r="C781" s="8"/>
      <c r="D781" s="8"/>
      <c r="E781" s="224"/>
      <c r="F781" s="8"/>
      <c r="G781" s="8"/>
      <c r="H781" s="8"/>
      <c r="I781" s="8"/>
      <c r="J781" s="8"/>
      <c r="K781" s="8"/>
      <c r="L781" s="8"/>
      <c r="M781" s="8"/>
      <c r="N781" s="8"/>
      <c r="O781" s="8"/>
      <c r="P781" s="8"/>
      <c r="Q781" s="8"/>
      <c r="R781" s="8"/>
      <c r="S781" s="8"/>
      <c r="T781" s="8"/>
      <c r="U781" s="8"/>
    </row>
    <row r="782" spans="1:21" ht="30" customHeight="1" x14ac:dyDescent="0.25">
      <c r="A782" s="8"/>
      <c r="B782" s="8"/>
      <c r="C782" s="8"/>
      <c r="D782" s="8"/>
      <c r="E782" s="224"/>
      <c r="F782" s="8"/>
      <c r="G782" s="8"/>
      <c r="H782" s="8"/>
      <c r="I782" s="8"/>
      <c r="J782" s="8"/>
      <c r="K782" s="8"/>
      <c r="L782" s="8"/>
      <c r="M782" s="8"/>
      <c r="N782" s="8"/>
      <c r="O782" s="8"/>
      <c r="P782" s="8"/>
      <c r="Q782" s="8"/>
      <c r="R782" s="8"/>
      <c r="S782" s="8"/>
      <c r="T782" s="8"/>
      <c r="U782" s="8"/>
    </row>
    <row r="783" spans="1:21" ht="30" customHeight="1" x14ac:dyDescent="0.25">
      <c r="A783" s="8"/>
      <c r="B783" s="8"/>
      <c r="C783" s="8"/>
      <c r="D783" s="8"/>
      <c r="E783" s="224"/>
      <c r="F783" s="8"/>
      <c r="G783" s="8"/>
      <c r="H783" s="8"/>
      <c r="I783" s="8"/>
      <c r="J783" s="8"/>
      <c r="K783" s="8"/>
      <c r="L783" s="8"/>
      <c r="M783" s="8"/>
      <c r="N783" s="8"/>
      <c r="O783" s="8"/>
      <c r="P783" s="8"/>
      <c r="Q783" s="8"/>
      <c r="R783" s="8"/>
      <c r="S783" s="8"/>
      <c r="T783" s="8"/>
      <c r="U783" s="8"/>
    </row>
    <row r="784" spans="1:21" ht="30" customHeight="1" x14ac:dyDescent="0.25">
      <c r="A784" s="8"/>
      <c r="B784" s="8"/>
      <c r="C784" s="8"/>
      <c r="D784" s="8"/>
      <c r="E784" s="224"/>
      <c r="F784" s="8"/>
      <c r="G784" s="8"/>
      <c r="H784" s="8"/>
      <c r="I784" s="8"/>
      <c r="J784" s="8"/>
      <c r="K784" s="8"/>
      <c r="L784" s="8"/>
      <c r="M784" s="8"/>
      <c r="N784" s="8"/>
      <c r="O784" s="8"/>
      <c r="P784" s="8"/>
      <c r="Q784" s="8"/>
      <c r="R784" s="8"/>
      <c r="S784" s="8"/>
      <c r="T784" s="8"/>
      <c r="U784" s="8"/>
    </row>
    <row r="785" spans="1:21" ht="30" customHeight="1" x14ac:dyDescent="0.25">
      <c r="A785" s="8"/>
      <c r="B785" s="8"/>
      <c r="C785" s="8"/>
      <c r="D785" s="8"/>
      <c r="E785" s="224"/>
      <c r="F785" s="8"/>
      <c r="G785" s="8"/>
      <c r="H785" s="8"/>
      <c r="I785" s="8"/>
      <c r="J785" s="8"/>
      <c r="K785" s="8"/>
      <c r="L785" s="8"/>
      <c r="M785" s="8"/>
      <c r="N785" s="8"/>
      <c r="O785" s="8"/>
      <c r="P785" s="8"/>
      <c r="Q785" s="8"/>
      <c r="R785" s="8"/>
      <c r="S785" s="8"/>
      <c r="T785" s="8"/>
      <c r="U785" s="8"/>
    </row>
    <row r="786" spans="1:21" ht="30" customHeight="1" x14ac:dyDescent="0.25">
      <c r="A786" s="8"/>
      <c r="B786" s="8"/>
      <c r="C786" s="8"/>
      <c r="D786" s="8"/>
      <c r="E786" s="224"/>
      <c r="F786" s="8"/>
      <c r="G786" s="8"/>
      <c r="H786" s="8"/>
      <c r="I786" s="8"/>
      <c r="J786" s="8"/>
      <c r="K786" s="8"/>
      <c r="L786" s="8"/>
      <c r="M786" s="8"/>
      <c r="N786" s="8"/>
      <c r="O786" s="8"/>
      <c r="P786" s="8"/>
      <c r="Q786" s="8"/>
      <c r="R786" s="8"/>
      <c r="S786" s="8"/>
      <c r="T786" s="8"/>
      <c r="U786" s="8"/>
    </row>
    <row r="787" spans="1:21" ht="30" customHeight="1" x14ac:dyDescent="0.25">
      <c r="A787" s="8"/>
      <c r="B787" s="8"/>
      <c r="C787" s="8"/>
      <c r="D787" s="8"/>
      <c r="E787" s="224"/>
      <c r="F787" s="8"/>
      <c r="G787" s="8"/>
      <c r="H787" s="8"/>
      <c r="I787" s="8"/>
      <c r="J787" s="8"/>
      <c r="K787" s="8"/>
      <c r="L787" s="8"/>
      <c r="M787" s="8"/>
      <c r="N787" s="8"/>
      <c r="O787" s="8"/>
      <c r="P787" s="8"/>
      <c r="Q787" s="8"/>
      <c r="R787" s="8"/>
      <c r="S787" s="8"/>
      <c r="T787" s="8"/>
      <c r="U787" s="8"/>
    </row>
    <row r="788" spans="1:21" ht="30" customHeight="1" x14ac:dyDescent="0.25">
      <c r="A788" s="8"/>
      <c r="B788" s="8"/>
      <c r="C788" s="8"/>
      <c r="D788" s="8"/>
      <c r="E788" s="224"/>
      <c r="F788" s="8"/>
      <c r="G788" s="8"/>
      <c r="H788" s="8"/>
      <c r="I788" s="8"/>
      <c r="J788" s="8"/>
      <c r="K788" s="8"/>
      <c r="L788" s="8"/>
      <c r="M788" s="8"/>
      <c r="N788" s="8"/>
      <c r="O788" s="8"/>
      <c r="P788" s="8"/>
      <c r="Q788" s="8"/>
      <c r="R788" s="8"/>
      <c r="S788" s="8"/>
      <c r="T788" s="8"/>
      <c r="U788" s="8"/>
    </row>
    <row r="789" spans="1:21" ht="30" customHeight="1" x14ac:dyDescent="0.25">
      <c r="A789" s="8"/>
      <c r="B789" s="8"/>
      <c r="C789" s="8"/>
      <c r="D789" s="8"/>
      <c r="E789" s="224"/>
      <c r="F789" s="8"/>
      <c r="G789" s="8"/>
      <c r="H789" s="8"/>
      <c r="I789" s="8"/>
      <c r="J789" s="8"/>
      <c r="K789" s="8"/>
      <c r="L789" s="8"/>
      <c r="M789" s="8"/>
      <c r="N789" s="8"/>
      <c r="O789" s="8"/>
      <c r="P789" s="8"/>
      <c r="Q789" s="8"/>
      <c r="R789" s="8"/>
      <c r="S789" s="8"/>
      <c r="T789" s="8"/>
      <c r="U789" s="8"/>
    </row>
    <row r="790" spans="1:21" ht="30" customHeight="1" x14ac:dyDescent="0.25">
      <c r="A790" s="8"/>
      <c r="B790" s="8"/>
      <c r="C790" s="8"/>
      <c r="D790" s="8"/>
      <c r="E790" s="224"/>
      <c r="F790" s="8"/>
      <c r="G790" s="8"/>
      <c r="H790" s="8"/>
      <c r="I790" s="8"/>
      <c r="J790" s="8"/>
      <c r="K790" s="8"/>
      <c r="L790" s="8"/>
      <c r="M790" s="8"/>
      <c r="N790" s="8"/>
      <c r="O790" s="8"/>
      <c r="P790" s="8"/>
      <c r="Q790" s="8"/>
      <c r="R790" s="8"/>
      <c r="S790" s="8"/>
      <c r="T790" s="8"/>
      <c r="U790" s="8"/>
    </row>
    <row r="791" spans="1:21" ht="30" customHeight="1" x14ac:dyDescent="0.25">
      <c r="A791" s="8"/>
      <c r="B791" s="8"/>
      <c r="C791" s="8"/>
      <c r="D791" s="8"/>
      <c r="E791" s="224"/>
      <c r="F791" s="8"/>
      <c r="G791" s="8"/>
      <c r="H791" s="8"/>
      <c r="I791" s="8"/>
      <c r="J791" s="8"/>
      <c r="K791" s="8"/>
      <c r="L791" s="8"/>
      <c r="M791" s="8"/>
      <c r="N791" s="8"/>
      <c r="O791" s="8"/>
      <c r="P791" s="8"/>
      <c r="Q791" s="8"/>
      <c r="R791" s="8"/>
      <c r="S791" s="8"/>
      <c r="T791" s="8"/>
      <c r="U791" s="8"/>
    </row>
    <row r="792" spans="1:21" ht="30" customHeight="1" x14ac:dyDescent="0.25">
      <c r="A792" s="8"/>
      <c r="B792" s="8"/>
      <c r="C792" s="8"/>
      <c r="D792" s="8"/>
      <c r="E792" s="224"/>
      <c r="F792" s="8"/>
      <c r="G792" s="8"/>
      <c r="H792" s="8"/>
      <c r="I792" s="8"/>
      <c r="J792" s="8"/>
      <c r="K792" s="8"/>
      <c r="L792" s="8"/>
      <c r="M792" s="8"/>
      <c r="N792" s="8"/>
      <c r="O792" s="8"/>
      <c r="P792" s="8"/>
      <c r="Q792" s="8"/>
      <c r="R792" s="8"/>
      <c r="S792" s="8"/>
      <c r="T792" s="8"/>
      <c r="U792" s="8"/>
    </row>
    <row r="793" spans="1:21" ht="30" customHeight="1" x14ac:dyDescent="0.25">
      <c r="A793" s="8"/>
      <c r="B793" s="8"/>
      <c r="C793" s="8"/>
      <c r="D793" s="8"/>
      <c r="E793" s="224"/>
      <c r="F793" s="8"/>
      <c r="G793" s="8"/>
      <c r="H793" s="8"/>
      <c r="I793" s="8"/>
      <c r="J793" s="8"/>
      <c r="K793" s="8"/>
      <c r="L793" s="8"/>
      <c r="M793" s="8"/>
      <c r="N793" s="8"/>
      <c r="O793" s="8"/>
      <c r="P793" s="8"/>
      <c r="Q793" s="8"/>
      <c r="R793" s="8"/>
      <c r="S793" s="8"/>
      <c r="T793" s="8"/>
      <c r="U793" s="8"/>
    </row>
    <row r="794" spans="1:21" ht="30" customHeight="1" x14ac:dyDescent="0.25">
      <c r="A794" s="8"/>
      <c r="B794" s="8"/>
      <c r="C794" s="8"/>
      <c r="D794" s="8"/>
      <c r="E794" s="224"/>
      <c r="F794" s="8"/>
      <c r="G794" s="8"/>
      <c r="H794" s="8"/>
      <c r="I794" s="8"/>
      <c r="J794" s="8"/>
      <c r="K794" s="8"/>
      <c r="L794" s="8"/>
      <c r="M794" s="8"/>
      <c r="N794" s="8"/>
      <c r="O794" s="8"/>
      <c r="P794" s="8"/>
      <c r="Q794" s="8"/>
      <c r="R794" s="8"/>
      <c r="S794" s="8"/>
      <c r="T794" s="8"/>
      <c r="U794" s="8"/>
    </row>
    <row r="795" spans="1:21" ht="30" customHeight="1" x14ac:dyDescent="0.25">
      <c r="A795" s="8"/>
      <c r="B795" s="8"/>
      <c r="C795" s="8"/>
      <c r="D795" s="8"/>
      <c r="E795" s="224"/>
      <c r="F795" s="8"/>
      <c r="G795" s="8"/>
      <c r="H795" s="8"/>
      <c r="I795" s="8"/>
      <c r="J795" s="8"/>
      <c r="K795" s="8"/>
      <c r="L795" s="8"/>
      <c r="M795" s="8"/>
      <c r="N795" s="8"/>
      <c r="O795" s="8"/>
      <c r="P795" s="8"/>
      <c r="Q795" s="8"/>
      <c r="R795" s="8"/>
      <c r="S795" s="8"/>
      <c r="T795" s="8"/>
      <c r="U795" s="8"/>
    </row>
    <row r="796" spans="1:21" ht="30" customHeight="1" x14ac:dyDescent="0.25">
      <c r="A796" s="8"/>
      <c r="B796" s="8"/>
      <c r="C796" s="8"/>
      <c r="D796" s="8"/>
      <c r="E796" s="224"/>
      <c r="F796" s="8"/>
      <c r="G796" s="8"/>
      <c r="H796" s="8"/>
      <c r="I796" s="8"/>
      <c r="J796" s="8"/>
      <c r="K796" s="8"/>
      <c r="L796" s="8"/>
      <c r="M796" s="8"/>
      <c r="N796" s="8"/>
      <c r="O796" s="8"/>
      <c r="P796" s="8"/>
      <c r="Q796" s="8"/>
      <c r="R796" s="8"/>
      <c r="S796" s="8"/>
      <c r="T796" s="8"/>
      <c r="U796" s="8"/>
    </row>
    <row r="797" spans="1:21" ht="30" customHeight="1" x14ac:dyDescent="0.25">
      <c r="A797" s="8"/>
      <c r="B797" s="8"/>
      <c r="C797" s="8"/>
      <c r="D797" s="8"/>
      <c r="E797" s="224"/>
      <c r="F797" s="8"/>
      <c r="G797" s="8"/>
      <c r="H797" s="8"/>
      <c r="I797" s="8"/>
      <c r="J797" s="8"/>
      <c r="K797" s="8"/>
      <c r="L797" s="8"/>
      <c r="M797" s="8"/>
      <c r="N797" s="8"/>
      <c r="O797" s="8"/>
      <c r="P797" s="8"/>
      <c r="Q797" s="8"/>
      <c r="R797" s="8"/>
      <c r="S797" s="8"/>
      <c r="T797" s="8"/>
      <c r="U797" s="8"/>
    </row>
    <row r="798" spans="1:21" ht="30" customHeight="1" x14ac:dyDescent="0.25">
      <c r="A798" s="8"/>
      <c r="B798" s="8"/>
      <c r="C798" s="8"/>
      <c r="D798" s="8"/>
      <c r="E798" s="224"/>
      <c r="F798" s="8"/>
      <c r="G798" s="8"/>
      <c r="H798" s="8"/>
      <c r="I798" s="8"/>
      <c r="J798" s="8"/>
      <c r="K798" s="8"/>
      <c r="L798" s="8"/>
      <c r="M798" s="8"/>
      <c r="N798" s="8"/>
      <c r="O798" s="8"/>
      <c r="P798" s="8"/>
      <c r="Q798" s="8"/>
      <c r="R798" s="8"/>
      <c r="S798" s="8"/>
      <c r="T798" s="8"/>
      <c r="U798" s="8"/>
    </row>
    <row r="799" spans="1:21" ht="30" customHeight="1" x14ac:dyDescent="0.25">
      <c r="A799" s="8"/>
      <c r="B799" s="8"/>
      <c r="C799" s="8"/>
      <c r="D799" s="8"/>
      <c r="E799" s="224"/>
      <c r="F799" s="8"/>
      <c r="G799" s="8"/>
      <c r="H799" s="8"/>
      <c r="I799" s="8"/>
      <c r="J799" s="8"/>
      <c r="K799" s="8"/>
      <c r="L799" s="8"/>
      <c r="M799" s="8"/>
      <c r="N799" s="8"/>
      <c r="O799" s="8"/>
      <c r="P799" s="8"/>
      <c r="Q799" s="8"/>
      <c r="R799" s="8"/>
      <c r="S799" s="8"/>
      <c r="T799" s="8"/>
      <c r="U799" s="8"/>
    </row>
    <row r="800" spans="1:21" ht="30" customHeight="1" x14ac:dyDescent="0.25">
      <c r="A800" s="8"/>
      <c r="B800" s="8"/>
      <c r="C800" s="8"/>
      <c r="D800" s="8"/>
      <c r="E800" s="224"/>
      <c r="F800" s="8"/>
      <c r="G800" s="8"/>
      <c r="H800" s="8"/>
      <c r="I800" s="8"/>
      <c r="J800" s="8"/>
      <c r="K800" s="8"/>
      <c r="L800" s="8"/>
      <c r="M800" s="8"/>
      <c r="N800" s="8"/>
      <c r="O800" s="8"/>
      <c r="P800" s="8"/>
      <c r="Q800" s="8"/>
      <c r="R800" s="8"/>
      <c r="S800" s="8"/>
      <c r="T800" s="8"/>
      <c r="U800" s="8"/>
    </row>
    <row r="801" spans="1:21" ht="30" customHeight="1" x14ac:dyDescent="0.25">
      <c r="A801" s="8"/>
      <c r="B801" s="8"/>
      <c r="C801" s="8"/>
      <c r="D801" s="8"/>
      <c r="E801" s="224"/>
      <c r="F801" s="8"/>
      <c r="G801" s="8"/>
      <c r="H801" s="8"/>
      <c r="I801" s="8"/>
      <c r="J801" s="8"/>
      <c r="K801" s="8"/>
      <c r="L801" s="8"/>
      <c r="M801" s="8"/>
      <c r="N801" s="8"/>
      <c r="O801" s="8"/>
      <c r="P801" s="8"/>
      <c r="Q801" s="8"/>
      <c r="R801" s="8"/>
      <c r="S801" s="8"/>
      <c r="T801" s="8"/>
      <c r="U801" s="8"/>
    </row>
    <row r="802" spans="1:21" ht="30" customHeight="1" x14ac:dyDescent="0.25">
      <c r="A802" s="8"/>
      <c r="B802" s="8"/>
      <c r="C802" s="8"/>
      <c r="D802" s="8"/>
      <c r="E802" s="224"/>
      <c r="F802" s="8"/>
      <c r="G802" s="8"/>
      <c r="H802" s="8"/>
      <c r="I802" s="8"/>
      <c r="J802" s="8"/>
      <c r="K802" s="8"/>
      <c r="L802" s="8"/>
      <c r="M802" s="8"/>
      <c r="N802" s="8"/>
      <c r="O802" s="8"/>
      <c r="P802" s="8"/>
      <c r="Q802" s="8"/>
      <c r="R802" s="8"/>
      <c r="S802" s="8"/>
      <c r="T802" s="8"/>
      <c r="U802" s="8"/>
    </row>
    <row r="803" spans="1:21" ht="30" customHeight="1" x14ac:dyDescent="0.25">
      <c r="A803" s="8"/>
      <c r="B803" s="8"/>
      <c r="C803" s="8"/>
      <c r="D803" s="8"/>
      <c r="E803" s="224"/>
      <c r="F803" s="8"/>
      <c r="G803" s="8"/>
      <c r="H803" s="8"/>
      <c r="I803" s="8"/>
      <c r="J803" s="8"/>
      <c r="K803" s="8"/>
      <c r="L803" s="8"/>
      <c r="M803" s="8"/>
      <c r="N803" s="8"/>
      <c r="O803" s="8"/>
      <c r="P803" s="8"/>
      <c r="Q803" s="8"/>
      <c r="R803" s="8"/>
      <c r="S803" s="8"/>
      <c r="T803" s="8"/>
      <c r="U803" s="8"/>
    </row>
    <row r="804" spans="1:21" ht="30" customHeight="1" x14ac:dyDescent="0.25">
      <c r="A804" s="8"/>
      <c r="B804" s="8"/>
      <c r="C804" s="8"/>
      <c r="D804" s="8"/>
      <c r="E804" s="224"/>
      <c r="F804" s="8"/>
      <c r="G804" s="8"/>
      <c r="H804" s="8"/>
      <c r="I804" s="8"/>
      <c r="J804" s="8"/>
      <c r="K804" s="8"/>
      <c r="L804" s="8"/>
      <c r="M804" s="8"/>
      <c r="N804" s="8"/>
      <c r="O804" s="8"/>
      <c r="P804" s="8"/>
      <c r="Q804" s="8"/>
      <c r="R804" s="8"/>
      <c r="S804" s="8"/>
      <c r="T804" s="8"/>
      <c r="U804" s="8"/>
    </row>
    <row r="805" spans="1:21" ht="30" customHeight="1" x14ac:dyDescent="0.25">
      <c r="A805" s="8"/>
      <c r="B805" s="8"/>
      <c r="C805" s="8"/>
      <c r="D805" s="8"/>
      <c r="E805" s="224"/>
      <c r="F805" s="8"/>
      <c r="G805" s="8"/>
      <c r="H805" s="8"/>
      <c r="I805" s="8"/>
      <c r="J805" s="8"/>
      <c r="K805" s="8"/>
      <c r="L805" s="8"/>
      <c r="M805" s="8"/>
      <c r="N805" s="8"/>
      <c r="O805" s="8"/>
      <c r="P805" s="8"/>
      <c r="Q805" s="8"/>
      <c r="R805" s="8"/>
      <c r="S805" s="8"/>
      <c r="T805" s="8"/>
      <c r="U805" s="8"/>
    </row>
    <row r="806" spans="1:21" ht="30" customHeight="1" x14ac:dyDescent="0.25">
      <c r="A806" s="8"/>
      <c r="B806" s="8"/>
      <c r="C806" s="8"/>
      <c r="D806" s="8"/>
      <c r="E806" s="224"/>
      <c r="F806" s="8"/>
      <c r="G806" s="8"/>
      <c r="H806" s="8"/>
      <c r="I806" s="8"/>
      <c r="J806" s="8"/>
      <c r="K806" s="8"/>
      <c r="L806" s="8"/>
      <c r="M806" s="8"/>
      <c r="N806" s="8"/>
      <c r="O806" s="8"/>
      <c r="P806" s="8"/>
      <c r="Q806" s="8"/>
      <c r="R806" s="8"/>
      <c r="S806" s="8"/>
      <c r="T806" s="8"/>
      <c r="U806" s="8"/>
    </row>
    <row r="807" spans="1:21" ht="30" customHeight="1" x14ac:dyDescent="0.25">
      <c r="A807" s="8"/>
      <c r="B807" s="8"/>
      <c r="C807" s="8"/>
      <c r="D807" s="8"/>
      <c r="E807" s="224"/>
      <c r="F807" s="8"/>
      <c r="G807" s="8"/>
      <c r="H807" s="8"/>
      <c r="I807" s="8"/>
      <c r="J807" s="8"/>
      <c r="K807" s="8"/>
      <c r="L807" s="8"/>
      <c r="M807" s="8"/>
      <c r="N807" s="8"/>
      <c r="O807" s="8"/>
      <c r="P807" s="8"/>
      <c r="Q807" s="8"/>
      <c r="R807" s="8"/>
      <c r="S807" s="8"/>
      <c r="T807" s="8"/>
      <c r="U807" s="8"/>
    </row>
    <row r="808" spans="1:21" ht="30" customHeight="1" x14ac:dyDescent="0.25">
      <c r="A808" s="8"/>
      <c r="B808" s="8"/>
      <c r="C808" s="8"/>
      <c r="D808" s="8"/>
      <c r="E808" s="224"/>
      <c r="F808" s="8"/>
      <c r="G808" s="8"/>
      <c r="H808" s="8"/>
      <c r="I808" s="8"/>
      <c r="J808" s="8"/>
      <c r="K808" s="8"/>
      <c r="L808" s="8"/>
      <c r="M808" s="8"/>
      <c r="N808" s="8"/>
      <c r="O808" s="8"/>
      <c r="P808" s="8"/>
      <c r="Q808" s="8"/>
      <c r="R808" s="8"/>
      <c r="S808" s="8"/>
      <c r="T808" s="8"/>
      <c r="U808" s="8"/>
    </row>
    <row r="809" spans="1:21" ht="30" customHeight="1" x14ac:dyDescent="0.25">
      <c r="A809" s="8"/>
      <c r="B809" s="8"/>
      <c r="C809" s="8"/>
      <c r="D809" s="8"/>
      <c r="E809" s="224"/>
      <c r="F809" s="8"/>
      <c r="G809" s="8"/>
      <c r="H809" s="8"/>
      <c r="I809" s="8"/>
      <c r="J809" s="8"/>
      <c r="K809" s="8"/>
      <c r="L809" s="8"/>
      <c r="M809" s="8"/>
      <c r="N809" s="8"/>
      <c r="O809" s="8"/>
      <c r="P809" s="8"/>
      <c r="Q809" s="8"/>
      <c r="R809" s="8"/>
      <c r="S809" s="8"/>
      <c r="T809" s="8"/>
      <c r="U809" s="8"/>
    </row>
    <row r="810" spans="1:21" ht="30" customHeight="1" x14ac:dyDescent="0.25">
      <c r="A810" s="8"/>
      <c r="B810" s="8"/>
      <c r="C810" s="8"/>
      <c r="D810" s="8"/>
      <c r="E810" s="224"/>
      <c r="F810" s="8"/>
      <c r="G810" s="8"/>
      <c r="H810" s="8"/>
      <c r="I810" s="8"/>
      <c r="J810" s="8"/>
      <c r="K810" s="8"/>
      <c r="L810" s="8"/>
      <c r="M810" s="8"/>
      <c r="N810" s="8"/>
      <c r="O810" s="8"/>
      <c r="P810" s="8"/>
      <c r="Q810" s="8"/>
      <c r="R810" s="8"/>
      <c r="S810" s="8"/>
      <c r="T810" s="8"/>
      <c r="U810" s="8"/>
    </row>
    <row r="811" spans="1:21" ht="30" customHeight="1" x14ac:dyDescent="0.25">
      <c r="A811" s="8"/>
      <c r="B811" s="8"/>
      <c r="C811" s="8"/>
      <c r="D811" s="8"/>
      <c r="E811" s="224"/>
      <c r="F811" s="8"/>
      <c r="G811" s="8"/>
      <c r="H811" s="8"/>
      <c r="I811" s="8"/>
      <c r="J811" s="8"/>
      <c r="K811" s="8"/>
      <c r="L811" s="8"/>
      <c r="M811" s="8"/>
      <c r="N811" s="8"/>
      <c r="O811" s="8"/>
      <c r="P811" s="8"/>
      <c r="Q811" s="8"/>
      <c r="R811" s="8"/>
      <c r="S811" s="8"/>
      <c r="T811" s="8"/>
      <c r="U811" s="8"/>
    </row>
    <row r="812" spans="1:21" ht="30" customHeight="1" x14ac:dyDescent="0.25">
      <c r="A812" s="8"/>
      <c r="B812" s="8"/>
      <c r="C812" s="8"/>
      <c r="D812" s="8"/>
      <c r="E812" s="224"/>
      <c r="F812" s="8"/>
      <c r="G812" s="8"/>
      <c r="H812" s="8"/>
      <c r="I812" s="8"/>
      <c r="J812" s="8"/>
      <c r="K812" s="8"/>
      <c r="L812" s="8"/>
      <c r="M812" s="8"/>
      <c r="N812" s="8"/>
      <c r="O812" s="8"/>
      <c r="P812" s="8"/>
      <c r="Q812" s="8"/>
      <c r="R812" s="8"/>
      <c r="S812" s="8"/>
      <c r="T812" s="8"/>
      <c r="U812" s="8"/>
    </row>
    <row r="813" spans="1:21" ht="30" customHeight="1" x14ac:dyDescent="0.25">
      <c r="A813" s="8"/>
      <c r="B813" s="8"/>
      <c r="C813" s="8"/>
      <c r="D813" s="8"/>
      <c r="E813" s="224"/>
      <c r="F813" s="8"/>
      <c r="G813" s="8"/>
      <c r="H813" s="8"/>
      <c r="I813" s="8"/>
      <c r="J813" s="8"/>
      <c r="K813" s="8"/>
      <c r="L813" s="8"/>
      <c r="M813" s="8"/>
      <c r="N813" s="8"/>
      <c r="O813" s="8"/>
      <c r="P813" s="8"/>
      <c r="Q813" s="8"/>
      <c r="R813" s="8"/>
      <c r="S813" s="8"/>
      <c r="T813" s="8"/>
      <c r="U813" s="8"/>
    </row>
    <row r="814" spans="1:21" ht="30" customHeight="1" x14ac:dyDescent="0.25">
      <c r="A814" s="8"/>
      <c r="B814" s="8"/>
      <c r="C814" s="8"/>
      <c r="D814" s="8"/>
      <c r="E814" s="224"/>
      <c r="F814" s="8"/>
      <c r="G814" s="8"/>
      <c r="H814" s="8"/>
      <c r="I814" s="8"/>
      <c r="J814" s="8"/>
      <c r="K814" s="8"/>
      <c r="L814" s="8"/>
      <c r="M814" s="8"/>
      <c r="N814" s="8"/>
      <c r="O814" s="8"/>
      <c r="P814" s="8"/>
      <c r="Q814" s="8"/>
      <c r="R814" s="8"/>
      <c r="S814" s="8"/>
      <c r="T814" s="8"/>
      <c r="U814" s="8"/>
    </row>
    <row r="815" spans="1:21" ht="30" customHeight="1" x14ac:dyDescent="0.25">
      <c r="A815" s="8"/>
      <c r="B815" s="8"/>
      <c r="C815" s="8"/>
      <c r="D815" s="8"/>
      <c r="E815" s="224"/>
      <c r="F815" s="8"/>
      <c r="G815" s="8"/>
      <c r="H815" s="8"/>
      <c r="I815" s="8"/>
      <c r="J815" s="8"/>
      <c r="K815" s="8"/>
      <c r="L815" s="8"/>
      <c r="M815" s="8"/>
      <c r="N815" s="8"/>
      <c r="O815" s="8"/>
      <c r="P815" s="8"/>
      <c r="Q815" s="8"/>
      <c r="R815" s="8"/>
      <c r="S815" s="8"/>
      <c r="T815" s="8"/>
      <c r="U815" s="8"/>
    </row>
    <row r="816" spans="1:21" ht="30" customHeight="1" x14ac:dyDescent="0.25">
      <c r="A816" s="8"/>
      <c r="B816" s="8"/>
      <c r="C816" s="8"/>
      <c r="D816" s="8"/>
      <c r="E816" s="224"/>
      <c r="F816" s="8"/>
      <c r="G816" s="8"/>
      <c r="H816" s="8"/>
      <c r="I816" s="8"/>
      <c r="J816" s="8"/>
      <c r="K816" s="8"/>
      <c r="L816" s="8"/>
      <c r="M816" s="8"/>
      <c r="N816" s="8"/>
      <c r="O816" s="8"/>
      <c r="P816" s="8"/>
      <c r="Q816" s="8"/>
      <c r="R816" s="8"/>
      <c r="S816" s="8"/>
      <c r="T816" s="8"/>
      <c r="U816" s="8"/>
    </row>
    <row r="817" spans="1:21" ht="30" customHeight="1" x14ac:dyDescent="0.25">
      <c r="A817" s="8"/>
      <c r="B817" s="8"/>
      <c r="C817" s="8"/>
      <c r="D817" s="8"/>
      <c r="E817" s="224"/>
      <c r="F817" s="8"/>
      <c r="G817" s="8"/>
      <c r="H817" s="8"/>
      <c r="I817" s="8"/>
      <c r="J817" s="8"/>
      <c r="K817" s="8"/>
      <c r="L817" s="8"/>
      <c r="M817" s="8"/>
      <c r="N817" s="8"/>
      <c r="O817" s="8"/>
      <c r="P817" s="8"/>
      <c r="Q817" s="8"/>
      <c r="R817" s="8"/>
      <c r="S817" s="8"/>
      <c r="T817" s="8"/>
      <c r="U817" s="8"/>
    </row>
    <row r="818" spans="1:21" ht="30" customHeight="1" x14ac:dyDescent="0.25">
      <c r="A818" s="8"/>
      <c r="B818" s="8"/>
      <c r="C818" s="8"/>
      <c r="D818" s="8"/>
      <c r="E818" s="224"/>
      <c r="F818" s="8"/>
      <c r="G818" s="8"/>
      <c r="H818" s="8"/>
      <c r="I818" s="8"/>
      <c r="J818" s="8"/>
      <c r="K818" s="8"/>
      <c r="L818" s="8"/>
      <c r="M818" s="8"/>
      <c r="N818" s="8"/>
      <c r="O818" s="8"/>
      <c r="P818" s="8"/>
      <c r="Q818" s="8"/>
      <c r="R818" s="8"/>
      <c r="S818" s="8"/>
      <c r="T818" s="8"/>
      <c r="U818" s="8"/>
    </row>
    <row r="819" spans="1:21" ht="30" customHeight="1" x14ac:dyDescent="0.25">
      <c r="A819" s="8"/>
      <c r="B819" s="8"/>
      <c r="C819" s="8"/>
      <c r="D819" s="8"/>
      <c r="E819" s="224"/>
      <c r="F819" s="8"/>
      <c r="G819" s="8"/>
      <c r="H819" s="8"/>
      <c r="I819" s="8"/>
      <c r="J819" s="8"/>
      <c r="K819" s="8"/>
      <c r="L819" s="8"/>
      <c r="M819" s="8"/>
      <c r="N819" s="8"/>
      <c r="O819" s="8"/>
      <c r="P819" s="8"/>
      <c r="Q819" s="8"/>
      <c r="R819" s="8"/>
      <c r="S819" s="8"/>
      <c r="T819" s="8"/>
      <c r="U819" s="8"/>
    </row>
    <row r="820" spans="1:21" ht="30" customHeight="1" x14ac:dyDescent="0.25">
      <c r="A820" s="8"/>
      <c r="B820" s="8"/>
      <c r="C820" s="8"/>
      <c r="D820" s="8"/>
      <c r="E820" s="224"/>
      <c r="F820" s="8"/>
      <c r="G820" s="8"/>
      <c r="H820" s="8"/>
      <c r="I820" s="8"/>
      <c r="J820" s="8"/>
      <c r="K820" s="8"/>
      <c r="L820" s="8"/>
      <c r="M820" s="8"/>
      <c r="N820" s="8"/>
      <c r="O820" s="8"/>
      <c r="P820" s="8"/>
      <c r="Q820" s="8"/>
      <c r="R820" s="8"/>
      <c r="S820" s="8"/>
      <c r="T820" s="8"/>
      <c r="U820" s="8"/>
    </row>
    <row r="821" spans="1:21" ht="30" customHeight="1" x14ac:dyDescent="0.25">
      <c r="A821" s="8"/>
      <c r="B821" s="8"/>
      <c r="C821" s="8"/>
      <c r="D821" s="8"/>
      <c r="E821" s="224"/>
      <c r="F821" s="8"/>
      <c r="G821" s="8"/>
      <c r="H821" s="8"/>
      <c r="I821" s="8"/>
      <c r="J821" s="8"/>
      <c r="K821" s="8"/>
      <c r="L821" s="8"/>
      <c r="M821" s="8"/>
      <c r="N821" s="8"/>
      <c r="O821" s="8"/>
      <c r="P821" s="8"/>
      <c r="Q821" s="8"/>
      <c r="R821" s="8"/>
      <c r="S821" s="8"/>
      <c r="T821" s="8"/>
      <c r="U821" s="8"/>
    </row>
    <row r="822" spans="1:21" ht="30" customHeight="1" x14ac:dyDescent="0.25">
      <c r="A822" s="8"/>
      <c r="B822" s="8"/>
      <c r="C822" s="8"/>
      <c r="D822" s="8"/>
      <c r="E822" s="224"/>
      <c r="F822" s="8"/>
      <c r="G822" s="8"/>
      <c r="H822" s="8"/>
      <c r="I822" s="8"/>
      <c r="J822" s="8"/>
      <c r="K822" s="8"/>
      <c r="L822" s="8"/>
      <c r="M822" s="8"/>
      <c r="N822" s="8"/>
      <c r="O822" s="8"/>
      <c r="P822" s="8"/>
      <c r="Q822" s="8"/>
      <c r="R822" s="8"/>
      <c r="S822" s="8"/>
      <c r="T822" s="8"/>
      <c r="U822" s="8"/>
    </row>
    <row r="823" spans="1:21" ht="30" customHeight="1" x14ac:dyDescent="0.25">
      <c r="A823" s="8"/>
      <c r="B823" s="8"/>
      <c r="C823" s="8"/>
      <c r="D823" s="8"/>
      <c r="E823" s="224"/>
      <c r="F823" s="8"/>
      <c r="G823" s="8"/>
      <c r="H823" s="8"/>
      <c r="I823" s="8"/>
      <c r="J823" s="8"/>
      <c r="K823" s="8"/>
      <c r="L823" s="8"/>
      <c r="M823" s="8"/>
      <c r="N823" s="8"/>
      <c r="O823" s="8"/>
      <c r="P823" s="8"/>
      <c r="Q823" s="8"/>
      <c r="R823" s="8"/>
      <c r="S823" s="8"/>
      <c r="T823" s="8"/>
      <c r="U823" s="8"/>
    </row>
    <row r="824" spans="1:21" ht="30" customHeight="1" x14ac:dyDescent="0.25">
      <c r="A824" s="8"/>
      <c r="B824" s="8"/>
      <c r="C824" s="8"/>
      <c r="D824" s="8"/>
      <c r="E824" s="224"/>
      <c r="F824" s="8"/>
      <c r="G824" s="8"/>
      <c r="H824" s="8"/>
      <c r="I824" s="8"/>
      <c r="J824" s="8"/>
      <c r="K824" s="8"/>
      <c r="L824" s="8"/>
      <c r="M824" s="8"/>
      <c r="N824" s="8"/>
      <c r="O824" s="8"/>
      <c r="P824" s="8"/>
      <c r="Q824" s="8"/>
      <c r="R824" s="8"/>
      <c r="S824" s="8"/>
      <c r="T824" s="8"/>
      <c r="U824" s="8"/>
    </row>
    <row r="825" spans="1:21" ht="30" customHeight="1" x14ac:dyDescent="0.25">
      <c r="A825" s="8"/>
      <c r="B825" s="8"/>
      <c r="C825" s="8"/>
      <c r="D825" s="8"/>
      <c r="E825" s="224"/>
      <c r="F825" s="8"/>
      <c r="G825" s="8"/>
      <c r="H825" s="8"/>
      <c r="I825" s="8"/>
      <c r="J825" s="8"/>
      <c r="K825" s="8"/>
      <c r="L825" s="8"/>
      <c r="M825" s="8"/>
      <c r="N825" s="8"/>
      <c r="O825" s="8"/>
      <c r="P825" s="8"/>
      <c r="Q825" s="8"/>
      <c r="R825" s="8"/>
      <c r="S825" s="8"/>
      <c r="T825" s="8"/>
      <c r="U825" s="8"/>
    </row>
    <row r="826" spans="1:21" ht="30" customHeight="1" x14ac:dyDescent="0.25">
      <c r="A826" s="8"/>
      <c r="B826" s="8"/>
      <c r="C826" s="8"/>
      <c r="D826" s="8"/>
      <c r="E826" s="224"/>
      <c r="F826" s="8"/>
      <c r="G826" s="8"/>
      <c r="H826" s="8"/>
      <c r="I826" s="8"/>
      <c r="J826" s="8"/>
      <c r="K826" s="8"/>
      <c r="L826" s="8"/>
      <c r="M826" s="8"/>
      <c r="N826" s="8"/>
      <c r="O826" s="8"/>
      <c r="P826" s="8"/>
      <c r="Q826" s="8"/>
      <c r="R826" s="8"/>
      <c r="S826" s="8"/>
      <c r="T826" s="8"/>
      <c r="U826" s="8"/>
    </row>
    <row r="827" spans="1:21" ht="30" customHeight="1" x14ac:dyDescent="0.25">
      <c r="A827" s="8"/>
      <c r="B827" s="8"/>
      <c r="C827" s="8"/>
      <c r="D827" s="8"/>
      <c r="E827" s="224"/>
      <c r="F827" s="8"/>
      <c r="G827" s="8"/>
      <c r="H827" s="8"/>
      <c r="I827" s="8"/>
      <c r="J827" s="8"/>
      <c r="K827" s="8"/>
      <c r="L827" s="8"/>
      <c r="M827" s="8"/>
      <c r="N827" s="8"/>
      <c r="O827" s="8"/>
      <c r="P827" s="8"/>
      <c r="Q827" s="8"/>
      <c r="R827" s="8"/>
      <c r="S827" s="8"/>
      <c r="T827" s="8"/>
      <c r="U827" s="8"/>
    </row>
    <row r="828" spans="1:21" ht="30" customHeight="1" x14ac:dyDescent="0.25">
      <c r="A828" s="8"/>
      <c r="B828" s="8"/>
      <c r="C828" s="8"/>
      <c r="D828" s="8"/>
      <c r="E828" s="224"/>
      <c r="F828" s="8"/>
      <c r="G828" s="8"/>
      <c r="H828" s="8"/>
      <c r="I828" s="8"/>
      <c r="J828" s="8"/>
      <c r="K828" s="8"/>
      <c r="L828" s="8"/>
      <c r="M828" s="8"/>
      <c r="N828" s="8"/>
      <c r="O828" s="8"/>
      <c r="P828" s="8"/>
      <c r="Q828" s="8"/>
      <c r="R828" s="8"/>
      <c r="S828" s="8"/>
      <c r="T828" s="8"/>
      <c r="U828" s="8"/>
    </row>
    <row r="829" spans="1:21" ht="30" customHeight="1" x14ac:dyDescent="0.25">
      <c r="A829" s="8"/>
      <c r="B829" s="8"/>
      <c r="C829" s="8"/>
      <c r="D829" s="8"/>
      <c r="E829" s="224"/>
      <c r="F829" s="8"/>
      <c r="G829" s="8"/>
      <c r="H829" s="8"/>
      <c r="I829" s="8"/>
      <c r="J829" s="8"/>
      <c r="K829" s="8"/>
      <c r="L829" s="8"/>
      <c r="M829" s="8"/>
      <c r="N829" s="8"/>
      <c r="O829" s="8"/>
      <c r="P829" s="8"/>
      <c r="Q829" s="8"/>
      <c r="R829" s="8"/>
      <c r="S829" s="8"/>
      <c r="T829" s="8"/>
      <c r="U829" s="8"/>
    </row>
    <row r="830" spans="1:21" ht="30" customHeight="1" x14ac:dyDescent="0.25">
      <c r="A830" s="8"/>
      <c r="B830" s="8"/>
      <c r="C830" s="8"/>
      <c r="D830" s="8"/>
      <c r="E830" s="224"/>
      <c r="F830" s="8"/>
      <c r="G830" s="8"/>
      <c r="H830" s="8"/>
      <c r="I830" s="8"/>
      <c r="J830" s="8"/>
      <c r="K830" s="8"/>
      <c r="L830" s="8"/>
      <c r="M830" s="8"/>
      <c r="N830" s="8"/>
      <c r="O830" s="8"/>
      <c r="P830" s="8"/>
      <c r="Q830" s="8"/>
      <c r="R830" s="8"/>
      <c r="S830" s="8"/>
      <c r="T830" s="8"/>
      <c r="U830" s="8"/>
    </row>
    <row r="831" spans="1:21" ht="30" customHeight="1" x14ac:dyDescent="0.25">
      <c r="A831" s="8"/>
      <c r="B831" s="8"/>
      <c r="C831" s="8"/>
      <c r="D831" s="8"/>
      <c r="E831" s="224"/>
      <c r="F831" s="8"/>
      <c r="G831" s="8"/>
      <c r="H831" s="8"/>
      <c r="I831" s="8"/>
      <c r="J831" s="8"/>
      <c r="K831" s="8"/>
      <c r="L831" s="8"/>
      <c r="M831" s="8"/>
      <c r="N831" s="8"/>
      <c r="O831" s="8"/>
      <c r="P831" s="8"/>
      <c r="Q831" s="8"/>
      <c r="R831" s="8"/>
      <c r="S831" s="8"/>
      <c r="T831" s="8"/>
      <c r="U831" s="8"/>
    </row>
    <row r="832" spans="1:21" ht="30" customHeight="1" x14ac:dyDescent="0.25">
      <c r="A832" s="8"/>
      <c r="B832" s="8"/>
      <c r="C832" s="8"/>
      <c r="D832" s="8"/>
      <c r="E832" s="224"/>
      <c r="F832" s="8"/>
      <c r="G832" s="8"/>
      <c r="H832" s="8"/>
      <c r="I832" s="8"/>
      <c r="J832" s="8"/>
      <c r="K832" s="8"/>
      <c r="L832" s="8"/>
      <c r="M832" s="8"/>
      <c r="N832" s="8"/>
      <c r="O832" s="8"/>
      <c r="P832" s="8"/>
      <c r="Q832" s="8"/>
      <c r="R832" s="8"/>
      <c r="S832" s="8"/>
      <c r="T832" s="8"/>
      <c r="U832" s="8"/>
    </row>
    <row r="833" spans="1:21" ht="30" customHeight="1" x14ac:dyDescent="0.25">
      <c r="A833" s="8"/>
      <c r="B833" s="8"/>
      <c r="C833" s="8"/>
      <c r="D833" s="8"/>
      <c r="E833" s="224"/>
      <c r="F833" s="8"/>
      <c r="G833" s="8"/>
      <c r="H833" s="8"/>
      <c r="I833" s="8"/>
      <c r="J833" s="8"/>
      <c r="K833" s="8"/>
      <c r="L833" s="8"/>
      <c r="M833" s="8"/>
      <c r="N833" s="8"/>
      <c r="O833" s="8"/>
      <c r="P833" s="8"/>
      <c r="Q833" s="8"/>
      <c r="R833" s="8"/>
      <c r="S833" s="8"/>
      <c r="T833" s="8"/>
      <c r="U833" s="8"/>
    </row>
    <row r="834" spans="1:21" ht="30" customHeight="1" x14ac:dyDescent="0.25">
      <c r="A834" s="8"/>
      <c r="B834" s="8"/>
      <c r="C834" s="8"/>
      <c r="D834" s="8"/>
      <c r="E834" s="224"/>
      <c r="F834" s="8"/>
      <c r="G834" s="8"/>
      <c r="H834" s="8"/>
      <c r="I834" s="8"/>
      <c r="J834" s="8"/>
      <c r="K834" s="8"/>
      <c r="L834" s="8"/>
      <c r="M834" s="8"/>
      <c r="N834" s="8"/>
      <c r="O834" s="8"/>
      <c r="P834" s="8"/>
      <c r="Q834" s="8"/>
      <c r="R834" s="8"/>
      <c r="S834" s="8"/>
      <c r="T834" s="8"/>
      <c r="U834" s="8"/>
    </row>
    <row r="835" spans="1:21" ht="30" customHeight="1" x14ac:dyDescent="0.25">
      <c r="A835" s="8"/>
      <c r="B835" s="8"/>
      <c r="C835" s="8"/>
      <c r="D835" s="8"/>
      <c r="E835" s="224"/>
      <c r="F835" s="8"/>
      <c r="G835" s="8"/>
      <c r="H835" s="8"/>
      <c r="I835" s="8"/>
      <c r="J835" s="8"/>
      <c r="K835" s="8"/>
      <c r="L835" s="8"/>
      <c r="M835" s="8"/>
      <c r="N835" s="8"/>
      <c r="O835" s="8"/>
      <c r="P835" s="8"/>
      <c r="Q835" s="8"/>
      <c r="R835" s="8"/>
      <c r="S835" s="8"/>
      <c r="T835" s="8"/>
      <c r="U835" s="8"/>
    </row>
    <row r="836" spans="1:21" ht="30" customHeight="1" x14ac:dyDescent="0.25">
      <c r="A836" s="8"/>
      <c r="B836" s="8"/>
      <c r="C836" s="8"/>
      <c r="D836" s="8"/>
      <c r="E836" s="224"/>
      <c r="F836" s="8"/>
      <c r="G836" s="8"/>
      <c r="H836" s="8"/>
      <c r="I836" s="8"/>
      <c r="J836" s="8"/>
      <c r="K836" s="8"/>
      <c r="L836" s="8"/>
      <c r="M836" s="8"/>
      <c r="N836" s="8"/>
      <c r="O836" s="8"/>
      <c r="P836" s="8"/>
      <c r="Q836" s="8"/>
      <c r="R836" s="8"/>
      <c r="S836" s="8"/>
      <c r="T836" s="8"/>
      <c r="U836" s="8"/>
    </row>
    <row r="837" spans="1:21" ht="30" customHeight="1" x14ac:dyDescent="0.25">
      <c r="A837" s="8"/>
      <c r="B837" s="8"/>
      <c r="C837" s="8"/>
      <c r="D837" s="8"/>
      <c r="E837" s="224"/>
      <c r="F837" s="8"/>
      <c r="G837" s="8"/>
      <c r="H837" s="8"/>
      <c r="I837" s="8"/>
      <c r="J837" s="8"/>
      <c r="K837" s="8"/>
      <c r="L837" s="8"/>
      <c r="M837" s="8"/>
      <c r="N837" s="8"/>
      <c r="O837" s="8"/>
      <c r="P837" s="8"/>
      <c r="Q837" s="8"/>
      <c r="R837" s="8"/>
      <c r="S837" s="8"/>
      <c r="T837" s="8"/>
      <c r="U837" s="8"/>
    </row>
    <row r="838" spans="1:21" ht="30" customHeight="1" x14ac:dyDescent="0.25">
      <c r="A838" s="8"/>
      <c r="B838" s="8"/>
      <c r="C838" s="8"/>
      <c r="D838" s="8"/>
      <c r="E838" s="224"/>
      <c r="F838" s="8"/>
      <c r="G838" s="8"/>
      <c r="H838" s="8"/>
      <c r="I838" s="8"/>
      <c r="J838" s="8"/>
      <c r="K838" s="8"/>
      <c r="L838" s="8"/>
      <c r="M838" s="8"/>
      <c r="N838" s="8"/>
      <c r="O838" s="8"/>
      <c r="P838" s="8"/>
      <c r="Q838" s="8"/>
      <c r="R838" s="8"/>
      <c r="S838" s="8"/>
      <c r="T838" s="8"/>
      <c r="U838" s="8"/>
    </row>
    <row r="839" spans="1:21" ht="30" customHeight="1" x14ac:dyDescent="0.25">
      <c r="A839" s="8"/>
      <c r="B839" s="8"/>
      <c r="C839" s="8"/>
      <c r="D839" s="8"/>
      <c r="E839" s="224"/>
      <c r="F839" s="8"/>
      <c r="G839" s="8"/>
      <c r="H839" s="8"/>
      <c r="I839" s="8"/>
      <c r="J839" s="8"/>
      <c r="K839" s="8"/>
      <c r="L839" s="8"/>
      <c r="M839" s="8"/>
      <c r="N839" s="8"/>
      <c r="O839" s="8"/>
      <c r="P839" s="8"/>
      <c r="Q839" s="8"/>
      <c r="R839" s="8"/>
      <c r="S839" s="8"/>
      <c r="T839" s="8"/>
      <c r="U839" s="8"/>
    </row>
    <row r="840" spans="1:21" ht="30" customHeight="1" x14ac:dyDescent="0.25">
      <c r="A840" s="8"/>
      <c r="B840" s="8"/>
      <c r="C840" s="8"/>
      <c r="D840" s="8"/>
      <c r="E840" s="224"/>
      <c r="F840" s="8"/>
      <c r="G840" s="8"/>
      <c r="H840" s="8"/>
      <c r="I840" s="8"/>
      <c r="J840" s="8"/>
      <c r="K840" s="8"/>
      <c r="L840" s="8"/>
      <c r="M840" s="8"/>
      <c r="N840" s="8"/>
      <c r="O840" s="8"/>
      <c r="P840" s="8"/>
      <c r="Q840" s="8"/>
      <c r="R840" s="8"/>
      <c r="S840" s="8"/>
      <c r="T840" s="8"/>
      <c r="U840" s="8"/>
    </row>
    <row r="841" spans="1:21" ht="30" customHeight="1" x14ac:dyDescent="0.25">
      <c r="A841" s="8"/>
      <c r="B841" s="8"/>
      <c r="C841" s="8"/>
      <c r="D841" s="8"/>
      <c r="E841" s="224"/>
      <c r="F841" s="8"/>
      <c r="G841" s="8"/>
      <c r="H841" s="8"/>
      <c r="I841" s="8"/>
      <c r="J841" s="8"/>
      <c r="K841" s="8"/>
      <c r="L841" s="8"/>
      <c r="M841" s="8"/>
      <c r="N841" s="8"/>
      <c r="O841" s="8"/>
      <c r="P841" s="8"/>
      <c r="Q841" s="8"/>
      <c r="R841" s="8"/>
      <c r="S841" s="8"/>
      <c r="T841" s="8"/>
      <c r="U841" s="8"/>
    </row>
    <row r="842" spans="1:21" ht="30" customHeight="1" x14ac:dyDescent="0.25">
      <c r="A842" s="8"/>
      <c r="B842" s="8"/>
      <c r="C842" s="8"/>
      <c r="D842" s="8"/>
      <c r="E842" s="224"/>
      <c r="F842" s="8"/>
      <c r="G842" s="8"/>
      <c r="H842" s="8"/>
      <c r="I842" s="8"/>
      <c r="J842" s="8"/>
      <c r="K842" s="8"/>
      <c r="L842" s="8"/>
      <c r="M842" s="8"/>
      <c r="N842" s="8"/>
      <c r="O842" s="8"/>
      <c r="P842" s="8"/>
      <c r="Q842" s="8"/>
      <c r="R842" s="8"/>
      <c r="S842" s="8"/>
      <c r="T842" s="8"/>
      <c r="U842" s="8"/>
    </row>
    <row r="843" spans="1:21" ht="30" customHeight="1" x14ac:dyDescent="0.25">
      <c r="A843" s="8"/>
      <c r="B843" s="8"/>
      <c r="C843" s="8"/>
      <c r="D843" s="8"/>
      <c r="E843" s="224"/>
      <c r="F843" s="8"/>
      <c r="G843" s="8"/>
      <c r="H843" s="8"/>
      <c r="I843" s="8"/>
      <c r="J843" s="8"/>
      <c r="K843" s="8"/>
      <c r="L843" s="8"/>
      <c r="M843" s="8"/>
      <c r="N843" s="8"/>
      <c r="O843" s="8"/>
      <c r="P843" s="8"/>
      <c r="Q843" s="8"/>
      <c r="R843" s="8"/>
      <c r="S843" s="8"/>
      <c r="T843" s="8"/>
      <c r="U843" s="8"/>
    </row>
    <row r="844" spans="1:21" ht="30" customHeight="1" x14ac:dyDescent="0.25">
      <c r="A844" s="8"/>
      <c r="B844" s="8"/>
      <c r="C844" s="8"/>
      <c r="D844" s="8"/>
      <c r="E844" s="224"/>
      <c r="F844" s="8"/>
      <c r="G844" s="8"/>
      <c r="H844" s="8"/>
      <c r="I844" s="8"/>
      <c r="J844" s="8"/>
      <c r="K844" s="8"/>
      <c r="L844" s="8"/>
      <c r="M844" s="8"/>
      <c r="N844" s="8"/>
      <c r="O844" s="8"/>
      <c r="P844" s="8"/>
      <c r="Q844" s="8"/>
      <c r="R844" s="8"/>
      <c r="S844" s="8"/>
      <c r="T844" s="8"/>
      <c r="U844" s="8"/>
    </row>
    <row r="845" spans="1:21" ht="30" customHeight="1" x14ac:dyDescent="0.25">
      <c r="A845" s="8"/>
      <c r="B845" s="8"/>
      <c r="C845" s="8"/>
      <c r="D845" s="8"/>
      <c r="E845" s="224"/>
      <c r="F845" s="8"/>
      <c r="G845" s="8"/>
      <c r="H845" s="8"/>
      <c r="I845" s="8"/>
      <c r="J845" s="8"/>
      <c r="K845" s="8"/>
      <c r="L845" s="8"/>
      <c r="M845" s="8"/>
      <c r="N845" s="8"/>
      <c r="O845" s="8"/>
      <c r="P845" s="8"/>
      <c r="Q845" s="8"/>
      <c r="R845" s="8"/>
      <c r="S845" s="8"/>
      <c r="T845" s="8"/>
      <c r="U845" s="8"/>
    </row>
    <row r="846" spans="1:21" ht="30" customHeight="1" x14ac:dyDescent="0.25">
      <c r="A846" s="8"/>
      <c r="B846" s="8"/>
      <c r="C846" s="8"/>
      <c r="D846" s="8"/>
      <c r="E846" s="224"/>
      <c r="F846" s="8"/>
      <c r="G846" s="8"/>
      <c r="H846" s="8"/>
      <c r="I846" s="8"/>
      <c r="J846" s="8"/>
      <c r="K846" s="8"/>
      <c r="L846" s="8"/>
      <c r="M846" s="8"/>
      <c r="N846" s="8"/>
      <c r="O846" s="8"/>
      <c r="P846" s="8"/>
      <c r="Q846" s="8"/>
      <c r="R846" s="8"/>
      <c r="S846" s="8"/>
      <c r="T846" s="8"/>
      <c r="U846" s="8"/>
    </row>
    <row r="847" spans="1:21" ht="30" customHeight="1" x14ac:dyDescent="0.25">
      <c r="A847" s="8"/>
      <c r="B847" s="8"/>
      <c r="C847" s="8"/>
      <c r="D847" s="8"/>
      <c r="E847" s="224"/>
      <c r="F847" s="8"/>
      <c r="G847" s="8"/>
      <c r="H847" s="8"/>
      <c r="I847" s="8"/>
      <c r="J847" s="8"/>
      <c r="K847" s="8"/>
      <c r="L847" s="8"/>
      <c r="M847" s="8"/>
      <c r="N847" s="8"/>
      <c r="O847" s="8"/>
      <c r="P847" s="8"/>
      <c r="Q847" s="8"/>
      <c r="R847" s="8"/>
      <c r="S847" s="8"/>
      <c r="T847" s="8"/>
      <c r="U847" s="8"/>
    </row>
    <row r="848" spans="1:21" ht="30" customHeight="1" x14ac:dyDescent="0.25">
      <c r="A848" s="8"/>
      <c r="B848" s="8"/>
      <c r="C848" s="8"/>
      <c r="D848" s="8"/>
      <c r="E848" s="224"/>
      <c r="F848" s="8"/>
      <c r="G848" s="8"/>
      <c r="H848" s="8"/>
      <c r="I848" s="8"/>
      <c r="J848" s="8"/>
      <c r="K848" s="8"/>
      <c r="L848" s="8"/>
      <c r="M848" s="8"/>
      <c r="N848" s="8"/>
      <c r="O848" s="8"/>
      <c r="P848" s="8"/>
      <c r="Q848" s="8"/>
      <c r="R848" s="8"/>
      <c r="S848" s="8"/>
      <c r="T848" s="8"/>
      <c r="U848" s="8"/>
    </row>
    <row r="849" spans="1:21" ht="30" customHeight="1" x14ac:dyDescent="0.25">
      <c r="A849" s="8"/>
      <c r="B849" s="8"/>
      <c r="C849" s="8"/>
      <c r="D849" s="8"/>
      <c r="E849" s="224"/>
      <c r="F849" s="8"/>
      <c r="G849" s="8"/>
      <c r="H849" s="8"/>
      <c r="I849" s="8"/>
      <c r="J849" s="8"/>
      <c r="K849" s="8"/>
      <c r="L849" s="8"/>
      <c r="M849" s="8"/>
      <c r="N849" s="8"/>
      <c r="O849" s="8"/>
      <c r="P849" s="8"/>
      <c r="Q849" s="8"/>
      <c r="R849" s="8"/>
      <c r="S849" s="8"/>
      <c r="T849" s="8"/>
      <c r="U849" s="8"/>
    </row>
    <row r="850" spans="1:21" ht="30" customHeight="1" x14ac:dyDescent="0.25">
      <c r="A850" s="8"/>
      <c r="B850" s="8"/>
      <c r="C850" s="8"/>
      <c r="D850" s="8"/>
      <c r="E850" s="224"/>
      <c r="F850" s="8"/>
      <c r="G850" s="8"/>
      <c r="H850" s="8"/>
      <c r="I850" s="8"/>
      <c r="J850" s="8"/>
      <c r="K850" s="8"/>
      <c r="L850" s="8"/>
      <c r="M850" s="8"/>
      <c r="N850" s="8"/>
      <c r="O850" s="8"/>
      <c r="P850" s="8"/>
      <c r="Q850" s="8"/>
      <c r="R850" s="8"/>
      <c r="S850" s="8"/>
      <c r="T850" s="8"/>
      <c r="U850" s="8"/>
    </row>
    <row r="851" spans="1:21" ht="30" customHeight="1" x14ac:dyDescent="0.25">
      <c r="A851" s="8"/>
      <c r="B851" s="8"/>
      <c r="C851" s="8"/>
      <c r="D851" s="8"/>
      <c r="E851" s="224"/>
      <c r="F851" s="8"/>
      <c r="G851" s="8"/>
      <c r="H851" s="8"/>
      <c r="I851" s="8"/>
      <c r="J851" s="8"/>
      <c r="K851" s="8"/>
      <c r="L851" s="8"/>
      <c r="M851" s="8"/>
      <c r="N851" s="8"/>
      <c r="O851" s="8"/>
      <c r="P851" s="8"/>
      <c r="Q851" s="8"/>
      <c r="R851" s="8"/>
      <c r="S851" s="8"/>
      <c r="T851" s="8"/>
      <c r="U851" s="8"/>
    </row>
    <row r="852" spans="1:21" ht="30" customHeight="1" x14ac:dyDescent="0.25">
      <c r="A852" s="8"/>
      <c r="B852" s="8"/>
      <c r="C852" s="8"/>
      <c r="D852" s="8"/>
      <c r="E852" s="224"/>
      <c r="F852" s="8"/>
      <c r="G852" s="8"/>
      <c r="H852" s="8"/>
      <c r="I852" s="8"/>
      <c r="J852" s="8"/>
      <c r="K852" s="8"/>
      <c r="L852" s="8"/>
      <c r="M852" s="8"/>
      <c r="N852" s="8"/>
      <c r="O852" s="8"/>
      <c r="P852" s="8"/>
      <c r="Q852" s="8"/>
      <c r="R852" s="8"/>
      <c r="S852" s="8"/>
      <c r="T852" s="8"/>
      <c r="U852" s="8"/>
    </row>
    <row r="853" spans="1:21" ht="30" customHeight="1" x14ac:dyDescent="0.25">
      <c r="A853" s="8"/>
      <c r="B853" s="8"/>
      <c r="C853" s="8"/>
      <c r="D853" s="8"/>
      <c r="E853" s="224"/>
      <c r="F853" s="8"/>
      <c r="G853" s="8"/>
      <c r="H853" s="8"/>
      <c r="I853" s="8"/>
      <c r="J853" s="8"/>
      <c r="K853" s="8"/>
      <c r="L853" s="8"/>
      <c r="M853" s="8"/>
      <c r="N853" s="8"/>
      <c r="O853" s="8"/>
      <c r="P853" s="8"/>
      <c r="Q853" s="8"/>
      <c r="R853" s="8"/>
      <c r="S853" s="8"/>
      <c r="T853" s="8"/>
      <c r="U853" s="8"/>
    </row>
    <row r="854" spans="1:21" ht="30" customHeight="1" x14ac:dyDescent="0.25">
      <c r="A854" s="8"/>
      <c r="B854" s="8"/>
      <c r="C854" s="8"/>
      <c r="D854" s="8"/>
      <c r="E854" s="224"/>
      <c r="F854" s="8"/>
      <c r="G854" s="8"/>
      <c r="H854" s="8"/>
      <c r="I854" s="8"/>
      <c r="J854" s="8"/>
      <c r="K854" s="8"/>
      <c r="L854" s="8"/>
      <c r="M854" s="8"/>
      <c r="N854" s="8"/>
      <c r="O854" s="8"/>
      <c r="P854" s="8"/>
      <c r="Q854" s="8"/>
      <c r="R854" s="8"/>
      <c r="S854" s="8"/>
      <c r="T854" s="8"/>
      <c r="U854" s="8"/>
    </row>
    <row r="855" spans="1:21" ht="30" customHeight="1" x14ac:dyDescent="0.25">
      <c r="A855" s="8"/>
      <c r="B855" s="8"/>
      <c r="C855" s="8"/>
      <c r="D855" s="8"/>
      <c r="E855" s="224"/>
      <c r="F855" s="8"/>
      <c r="G855" s="8"/>
      <c r="H855" s="8"/>
      <c r="I855" s="8"/>
      <c r="J855" s="8"/>
      <c r="K855" s="8"/>
      <c r="L855" s="8"/>
      <c r="M855" s="8"/>
      <c r="N855" s="8"/>
      <c r="O855" s="8"/>
      <c r="P855" s="8"/>
      <c r="Q855" s="8"/>
      <c r="R855" s="8"/>
      <c r="S855" s="8"/>
      <c r="T855" s="8"/>
      <c r="U855" s="8"/>
    </row>
    <row r="856" spans="1:21" ht="30" customHeight="1" x14ac:dyDescent="0.25">
      <c r="A856" s="8"/>
      <c r="B856" s="8"/>
      <c r="C856" s="8"/>
      <c r="D856" s="8"/>
      <c r="E856" s="224"/>
      <c r="F856" s="8"/>
      <c r="G856" s="8"/>
      <c r="H856" s="8"/>
      <c r="I856" s="8"/>
      <c r="J856" s="8"/>
      <c r="K856" s="8"/>
      <c r="L856" s="8"/>
      <c r="M856" s="8"/>
      <c r="N856" s="8"/>
      <c r="O856" s="8"/>
      <c r="P856" s="8"/>
      <c r="Q856" s="8"/>
      <c r="R856" s="8"/>
      <c r="S856" s="8"/>
      <c r="T856" s="8"/>
      <c r="U856" s="8"/>
    </row>
    <row r="857" spans="1:21" ht="30" customHeight="1" x14ac:dyDescent="0.25">
      <c r="A857" s="8"/>
      <c r="B857" s="8"/>
      <c r="C857" s="8"/>
      <c r="D857" s="8"/>
      <c r="E857" s="224"/>
      <c r="F857" s="8"/>
      <c r="G857" s="8"/>
      <c r="H857" s="8"/>
      <c r="I857" s="8"/>
      <c r="J857" s="8"/>
      <c r="K857" s="8"/>
      <c r="L857" s="8"/>
      <c r="M857" s="8"/>
      <c r="N857" s="8"/>
      <c r="O857" s="8"/>
      <c r="P857" s="8"/>
      <c r="Q857" s="8"/>
      <c r="R857" s="8"/>
      <c r="S857" s="8"/>
      <c r="T857" s="8"/>
      <c r="U857" s="8"/>
    </row>
    <row r="858" spans="1:21" ht="30" customHeight="1" x14ac:dyDescent="0.25">
      <c r="A858" s="8"/>
      <c r="B858" s="8"/>
      <c r="C858" s="8"/>
      <c r="D858" s="8"/>
      <c r="E858" s="224"/>
      <c r="F858" s="8"/>
      <c r="G858" s="8"/>
      <c r="H858" s="8"/>
      <c r="I858" s="8"/>
      <c r="J858" s="8"/>
      <c r="K858" s="8"/>
      <c r="L858" s="8"/>
      <c r="M858" s="8"/>
      <c r="N858" s="8"/>
      <c r="O858" s="8"/>
      <c r="P858" s="8"/>
      <c r="Q858" s="8"/>
      <c r="R858" s="8"/>
      <c r="S858" s="8"/>
      <c r="T858" s="8"/>
      <c r="U858" s="8"/>
    </row>
    <row r="859" spans="1:21" ht="30" customHeight="1" x14ac:dyDescent="0.25">
      <c r="A859" s="8"/>
      <c r="B859" s="8"/>
      <c r="C859" s="8"/>
      <c r="D859" s="8"/>
      <c r="E859" s="224"/>
      <c r="F859" s="8"/>
      <c r="G859" s="8"/>
      <c r="H859" s="8"/>
      <c r="I859" s="8"/>
      <c r="J859" s="8"/>
      <c r="K859" s="8"/>
      <c r="L859" s="8"/>
      <c r="M859" s="8"/>
      <c r="N859" s="8"/>
      <c r="O859" s="8"/>
      <c r="P859" s="8"/>
      <c r="Q859" s="8"/>
      <c r="R859" s="8"/>
      <c r="S859" s="8"/>
      <c r="T859" s="8"/>
      <c r="U859" s="8"/>
    </row>
    <row r="860" spans="1:21" ht="30" customHeight="1" x14ac:dyDescent="0.25">
      <c r="A860" s="8"/>
      <c r="B860" s="8"/>
      <c r="C860" s="8"/>
      <c r="D860" s="8"/>
      <c r="E860" s="224"/>
      <c r="F860" s="8"/>
      <c r="G860" s="8"/>
      <c r="H860" s="8"/>
      <c r="I860" s="8"/>
      <c r="J860" s="8"/>
      <c r="K860" s="8"/>
      <c r="L860" s="8"/>
      <c r="M860" s="8"/>
      <c r="N860" s="8"/>
      <c r="O860" s="8"/>
      <c r="P860" s="8"/>
      <c r="Q860" s="8"/>
      <c r="R860" s="8"/>
      <c r="S860" s="8"/>
      <c r="T860" s="8"/>
      <c r="U860" s="8"/>
    </row>
    <row r="861" spans="1:21" ht="30" customHeight="1" x14ac:dyDescent="0.25">
      <c r="A861" s="8"/>
      <c r="B861" s="8"/>
      <c r="C861" s="8"/>
      <c r="D861" s="8"/>
      <c r="E861" s="224"/>
      <c r="F861" s="8"/>
      <c r="G861" s="8"/>
      <c r="H861" s="8"/>
      <c r="I861" s="8"/>
      <c r="J861" s="8"/>
      <c r="K861" s="8"/>
      <c r="L861" s="8"/>
      <c r="M861" s="8"/>
      <c r="N861" s="8"/>
      <c r="O861" s="8"/>
      <c r="P861" s="8"/>
      <c r="Q861" s="8"/>
      <c r="R861" s="8"/>
      <c r="S861" s="8"/>
      <c r="T861" s="8"/>
      <c r="U861" s="8"/>
    </row>
    <row r="862" spans="1:21" ht="30" customHeight="1" x14ac:dyDescent="0.25">
      <c r="A862" s="8"/>
      <c r="B862" s="8"/>
      <c r="C862" s="8"/>
      <c r="D862" s="8"/>
      <c r="E862" s="224"/>
      <c r="F862" s="8"/>
      <c r="G862" s="8"/>
      <c r="H862" s="8"/>
      <c r="I862" s="8"/>
      <c r="J862" s="8"/>
      <c r="K862" s="8"/>
      <c r="L862" s="8"/>
      <c r="M862" s="8"/>
      <c r="N862" s="8"/>
      <c r="O862" s="8"/>
      <c r="P862" s="8"/>
      <c r="Q862" s="8"/>
      <c r="R862" s="8"/>
      <c r="S862" s="8"/>
      <c r="T862" s="8"/>
      <c r="U862" s="8"/>
    </row>
    <row r="863" spans="1:21" ht="30" customHeight="1" x14ac:dyDescent="0.25">
      <c r="A863" s="8"/>
      <c r="B863" s="8"/>
      <c r="C863" s="8"/>
      <c r="D863" s="8"/>
      <c r="E863" s="224"/>
      <c r="F863" s="8"/>
      <c r="G863" s="8"/>
      <c r="H863" s="8"/>
      <c r="I863" s="8"/>
      <c r="J863" s="8"/>
      <c r="K863" s="8"/>
      <c r="L863" s="8"/>
      <c r="M863" s="8"/>
      <c r="N863" s="8"/>
      <c r="O863" s="8"/>
      <c r="P863" s="8"/>
      <c r="Q863" s="8"/>
      <c r="R863" s="8"/>
      <c r="S863" s="8"/>
      <c r="T863" s="8"/>
      <c r="U863" s="8"/>
    </row>
    <row r="864" spans="1:21" ht="30" customHeight="1" x14ac:dyDescent="0.25">
      <c r="A864" s="8"/>
      <c r="B864" s="8"/>
      <c r="C864" s="8"/>
      <c r="D864" s="8"/>
      <c r="E864" s="224"/>
      <c r="F864" s="8"/>
      <c r="G864" s="8"/>
      <c r="H864" s="8"/>
      <c r="I864" s="8"/>
      <c r="J864" s="8"/>
      <c r="K864" s="8"/>
      <c r="L864" s="8"/>
      <c r="M864" s="8"/>
      <c r="N864" s="8"/>
      <c r="O864" s="8"/>
      <c r="P864" s="8"/>
      <c r="Q864" s="8"/>
      <c r="R864" s="8"/>
      <c r="S864" s="8"/>
      <c r="T864" s="8"/>
      <c r="U864" s="8"/>
    </row>
    <row r="865" spans="1:21" ht="30" customHeight="1" x14ac:dyDescent="0.25">
      <c r="A865" s="8"/>
      <c r="B865" s="8"/>
      <c r="C865" s="8"/>
      <c r="D865" s="8"/>
      <c r="E865" s="224"/>
      <c r="F865" s="8"/>
      <c r="G865" s="8"/>
      <c r="H865" s="8"/>
      <c r="I865" s="8"/>
      <c r="J865" s="8"/>
      <c r="K865" s="8"/>
      <c r="L865" s="8"/>
      <c r="M865" s="8"/>
      <c r="N865" s="8"/>
      <c r="O865" s="8"/>
      <c r="P865" s="8"/>
      <c r="Q865" s="8"/>
      <c r="R865" s="8"/>
      <c r="S865" s="8"/>
      <c r="T865" s="8"/>
      <c r="U865" s="8"/>
    </row>
    <row r="866" spans="1:21" ht="30" customHeight="1" x14ac:dyDescent="0.25">
      <c r="A866" s="8"/>
      <c r="B866" s="8"/>
      <c r="C866" s="8"/>
      <c r="D866" s="8"/>
      <c r="E866" s="224"/>
      <c r="F866" s="8"/>
      <c r="G866" s="8"/>
      <c r="H866" s="8"/>
      <c r="I866" s="8"/>
      <c r="J866" s="8"/>
      <c r="K866" s="8"/>
      <c r="L866" s="8"/>
      <c r="M866" s="8"/>
      <c r="N866" s="8"/>
      <c r="O866" s="8"/>
      <c r="P866" s="8"/>
      <c r="Q866" s="8"/>
      <c r="R866" s="8"/>
      <c r="S866" s="8"/>
      <c r="T866" s="8"/>
      <c r="U866" s="8"/>
    </row>
    <row r="867" spans="1:21" ht="30" customHeight="1" x14ac:dyDescent="0.25">
      <c r="A867" s="8"/>
      <c r="B867" s="8"/>
      <c r="C867" s="8"/>
      <c r="D867" s="8"/>
      <c r="E867" s="224"/>
      <c r="F867" s="8"/>
      <c r="G867" s="8"/>
      <c r="H867" s="8"/>
      <c r="I867" s="8"/>
      <c r="J867" s="8"/>
      <c r="K867" s="8"/>
      <c r="L867" s="8"/>
      <c r="M867" s="8"/>
      <c r="N867" s="8"/>
      <c r="O867" s="8"/>
      <c r="P867" s="8"/>
      <c r="Q867" s="8"/>
      <c r="R867" s="8"/>
      <c r="S867" s="8"/>
      <c r="T867" s="8"/>
      <c r="U867" s="8"/>
    </row>
    <row r="868" spans="1:21" ht="30" customHeight="1" x14ac:dyDescent="0.25">
      <c r="A868" s="8"/>
      <c r="B868" s="8"/>
      <c r="C868" s="8"/>
      <c r="D868" s="8"/>
      <c r="E868" s="224"/>
      <c r="F868" s="8"/>
      <c r="G868" s="8"/>
      <c r="H868" s="8"/>
      <c r="I868" s="8"/>
      <c r="J868" s="8"/>
      <c r="K868" s="8"/>
      <c r="L868" s="8"/>
      <c r="M868" s="8"/>
      <c r="N868" s="8"/>
      <c r="O868" s="8"/>
      <c r="P868" s="8"/>
      <c r="Q868" s="8"/>
      <c r="R868" s="8"/>
      <c r="S868" s="8"/>
      <c r="T868" s="8"/>
      <c r="U868" s="8"/>
    </row>
    <row r="869" spans="1:21" ht="30" customHeight="1" x14ac:dyDescent="0.25">
      <c r="A869" s="8"/>
      <c r="B869" s="8"/>
      <c r="C869" s="8"/>
      <c r="D869" s="8"/>
      <c r="E869" s="224"/>
      <c r="F869" s="8"/>
      <c r="G869" s="8"/>
      <c r="H869" s="8"/>
      <c r="I869" s="8"/>
      <c r="J869" s="8"/>
      <c r="K869" s="8"/>
      <c r="L869" s="8"/>
      <c r="M869" s="8"/>
      <c r="N869" s="8"/>
      <c r="O869" s="8"/>
      <c r="P869" s="8"/>
      <c r="Q869" s="8"/>
      <c r="R869" s="8"/>
      <c r="S869" s="8"/>
      <c r="T869" s="8"/>
      <c r="U869" s="8"/>
    </row>
    <row r="870" spans="1:21" ht="30" customHeight="1" x14ac:dyDescent="0.25">
      <c r="A870" s="8"/>
      <c r="B870" s="8"/>
      <c r="C870" s="8"/>
      <c r="D870" s="8"/>
      <c r="E870" s="224"/>
      <c r="F870" s="8"/>
      <c r="G870" s="8"/>
      <c r="H870" s="8"/>
      <c r="I870" s="8"/>
      <c r="J870" s="8"/>
      <c r="K870" s="8"/>
      <c r="L870" s="8"/>
      <c r="M870" s="8"/>
      <c r="N870" s="8"/>
      <c r="O870" s="8"/>
      <c r="P870" s="8"/>
      <c r="Q870" s="8"/>
      <c r="R870" s="8"/>
      <c r="S870" s="8"/>
      <c r="T870" s="8"/>
      <c r="U870" s="8"/>
    </row>
    <row r="871" spans="1:21" ht="30" customHeight="1" x14ac:dyDescent="0.25">
      <c r="A871" s="8"/>
      <c r="B871" s="8"/>
      <c r="C871" s="8"/>
      <c r="D871" s="8"/>
      <c r="E871" s="224"/>
      <c r="F871" s="8"/>
      <c r="G871" s="8"/>
      <c r="H871" s="8"/>
      <c r="I871" s="8"/>
      <c r="J871" s="8"/>
      <c r="K871" s="8"/>
      <c r="L871" s="8"/>
      <c r="M871" s="8"/>
      <c r="N871" s="8"/>
      <c r="O871" s="8"/>
      <c r="P871" s="8"/>
      <c r="Q871" s="8"/>
      <c r="R871" s="8"/>
      <c r="S871" s="8"/>
      <c r="T871" s="8"/>
      <c r="U871" s="8"/>
    </row>
    <row r="872" spans="1:21" ht="30" customHeight="1" x14ac:dyDescent="0.25">
      <c r="A872" s="8"/>
      <c r="B872" s="8"/>
      <c r="C872" s="8"/>
      <c r="D872" s="8"/>
      <c r="E872" s="224"/>
      <c r="F872" s="8"/>
      <c r="G872" s="8"/>
      <c r="H872" s="8"/>
      <c r="I872" s="8"/>
      <c r="J872" s="8"/>
      <c r="K872" s="8"/>
      <c r="L872" s="8"/>
      <c r="M872" s="8"/>
      <c r="N872" s="8"/>
      <c r="O872" s="8"/>
      <c r="P872" s="8"/>
      <c r="Q872" s="8"/>
      <c r="R872" s="8"/>
      <c r="S872" s="8"/>
      <c r="T872" s="8"/>
      <c r="U872" s="8"/>
    </row>
    <row r="873" spans="1:21" ht="30" customHeight="1" x14ac:dyDescent="0.25">
      <c r="A873" s="8"/>
      <c r="B873" s="8"/>
      <c r="C873" s="8"/>
      <c r="D873" s="8"/>
      <c r="E873" s="224"/>
      <c r="F873" s="8"/>
      <c r="G873" s="8"/>
      <c r="H873" s="8"/>
      <c r="I873" s="8"/>
      <c r="J873" s="8"/>
      <c r="K873" s="8"/>
      <c r="L873" s="8"/>
      <c r="M873" s="8"/>
      <c r="N873" s="8"/>
      <c r="O873" s="8"/>
      <c r="P873" s="8"/>
      <c r="Q873" s="8"/>
      <c r="R873" s="8"/>
      <c r="S873" s="8"/>
      <c r="T873" s="8"/>
      <c r="U873" s="8"/>
    </row>
    <row r="874" spans="1:21" ht="30" customHeight="1" x14ac:dyDescent="0.25">
      <c r="A874" s="8"/>
      <c r="B874" s="8"/>
      <c r="C874" s="8"/>
      <c r="D874" s="8"/>
      <c r="E874" s="224"/>
      <c r="F874" s="8"/>
      <c r="G874" s="8"/>
      <c r="H874" s="8"/>
      <c r="I874" s="8"/>
      <c r="J874" s="8"/>
      <c r="K874" s="8"/>
      <c r="L874" s="8"/>
      <c r="M874" s="8"/>
      <c r="N874" s="8"/>
      <c r="O874" s="8"/>
      <c r="P874" s="8"/>
      <c r="Q874" s="8"/>
      <c r="R874" s="8"/>
      <c r="S874" s="8"/>
      <c r="T874" s="8"/>
      <c r="U874" s="8"/>
    </row>
    <row r="875" spans="1:21" ht="30" customHeight="1" x14ac:dyDescent="0.25">
      <c r="A875" s="8"/>
      <c r="B875" s="8"/>
      <c r="C875" s="8"/>
      <c r="D875" s="8"/>
      <c r="E875" s="224"/>
      <c r="F875" s="8"/>
      <c r="G875" s="8"/>
      <c r="H875" s="8"/>
      <c r="I875" s="8"/>
      <c r="J875" s="8"/>
      <c r="K875" s="8"/>
      <c r="L875" s="8"/>
      <c r="M875" s="8"/>
      <c r="N875" s="8"/>
      <c r="O875" s="8"/>
      <c r="P875" s="8"/>
      <c r="Q875" s="8"/>
      <c r="R875" s="8"/>
      <c r="S875" s="8"/>
      <c r="T875" s="8"/>
      <c r="U875" s="8"/>
    </row>
    <row r="876" spans="1:21" ht="30" customHeight="1" x14ac:dyDescent="0.25">
      <c r="A876" s="8"/>
      <c r="B876" s="8"/>
      <c r="C876" s="8"/>
      <c r="D876" s="8"/>
      <c r="E876" s="224"/>
      <c r="F876" s="8"/>
      <c r="G876" s="8"/>
      <c r="H876" s="8"/>
      <c r="I876" s="8"/>
      <c r="J876" s="8"/>
      <c r="K876" s="8"/>
      <c r="L876" s="8"/>
      <c r="M876" s="8"/>
      <c r="N876" s="8"/>
      <c r="O876" s="8"/>
      <c r="P876" s="8"/>
      <c r="Q876" s="8"/>
      <c r="R876" s="8"/>
      <c r="S876" s="8"/>
      <c r="T876" s="8"/>
      <c r="U876" s="8"/>
    </row>
    <row r="877" spans="1:21" ht="30" customHeight="1" x14ac:dyDescent="0.25">
      <c r="A877" s="8"/>
      <c r="B877" s="8"/>
      <c r="C877" s="8"/>
      <c r="D877" s="8"/>
      <c r="E877" s="224"/>
      <c r="F877" s="8"/>
      <c r="G877" s="8"/>
      <c r="H877" s="8"/>
      <c r="I877" s="8"/>
      <c r="J877" s="8"/>
      <c r="K877" s="8"/>
      <c r="L877" s="8"/>
      <c r="M877" s="8"/>
      <c r="N877" s="8"/>
      <c r="O877" s="8"/>
      <c r="P877" s="8"/>
      <c r="Q877" s="8"/>
      <c r="R877" s="8"/>
      <c r="S877" s="8"/>
      <c r="T877" s="8"/>
      <c r="U877" s="8"/>
    </row>
    <row r="878" spans="1:21" ht="30" customHeight="1" x14ac:dyDescent="0.25">
      <c r="A878" s="8"/>
      <c r="B878" s="8"/>
      <c r="C878" s="8"/>
      <c r="D878" s="8"/>
      <c r="E878" s="224"/>
      <c r="F878" s="8"/>
      <c r="G878" s="8"/>
      <c r="H878" s="8"/>
      <c r="I878" s="8"/>
      <c r="J878" s="8"/>
      <c r="K878" s="8"/>
      <c r="L878" s="8"/>
      <c r="M878" s="8"/>
      <c r="N878" s="8"/>
      <c r="O878" s="8"/>
      <c r="P878" s="8"/>
      <c r="Q878" s="8"/>
      <c r="R878" s="8"/>
      <c r="S878" s="8"/>
      <c r="T878" s="8"/>
      <c r="U878" s="8"/>
    </row>
    <row r="879" spans="1:21" ht="30" customHeight="1" x14ac:dyDescent="0.25">
      <c r="A879" s="8"/>
      <c r="B879" s="8"/>
      <c r="C879" s="8"/>
      <c r="D879" s="8"/>
      <c r="E879" s="224"/>
      <c r="F879" s="8"/>
      <c r="G879" s="8"/>
      <c r="H879" s="8"/>
      <c r="I879" s="8"/>
      <c r="J879" s="8"/>
      <c r="K879" s="8"/>
      <c r="L879" s="8"/>
      <c r="M879" s="8"/>
      <c r="N879" s="8"/>
      <c r="O879" s="8"/>
      <c r="P879" s="8"/>
      <c r="Q879" s="8"/>
      <c r="R879" s="8"/>
      <c r="S879" s="8"/>
      <c r="T879" s="8"/>
      <c r="U879" s="8"/>
    </row>
    <row r="880" spans="1:21" ht="30" customHeight="1" x14ac:dyDescent="0.25">
      <c r="A880" s="8"/>
      <c r="B880" s="8"/>
      <c r="C880" s="8"/>
      <c r="D880" s="8"/>
      <c r="E880" s="224"/>
      <c r="F880" s="8"/>
      <c r="G880" s="8"/>
      <c r="H880" s="8"/>
      <c r="I880" s="8"/>
      <c r="J880" s="8"/>
      <c r="K880" s="8"/>
      <c r="L880" s="8"/>
      <c r="M880" s="8"/>
      <c r="N880" s="8"/>
      <c r="O880" s="8"/>
      <c r="P880" s="8"/>
      <c r="Q880" s="8"/>
      <c r="R880" s="8"/>
      <c r="S880" s="8"/>
      <c r="T880" s="8"/>
      <c r="U880" s="8"/>
    </row>
    <row r="881" spans="1:21" ht="30" customHeight="1" x14ac:dyDescent="0.25">
      <c r="A881" s="8"/>
      <c r="B881" s="8"/>
      <c r="C881" s="8"/>
      <c r="D881" s="8"/>
      <c r="E881" s="224"/>
      <c r="F881" s="8"/>
      <c r="G881" s="8"/>
      <c r="H881" s="8"/>
      <c r="I881" s="8"/>
      <c r="J881" s="8"/>
      <c r="K881" s="8"/>
      <c r="L881" s="8"/>
      <c r="M881" s="8"/>
      <c r="N881" s="8"/>
      <c r="O881" s="8"/>
      <c r="P881" s="8"/>
      <c r="Q881" s="8"/>
      <c r="R881" s="8"/>
      <c r="S881" s="8"/>
      <c r="T881" s="8"/>
      <c r="U881" s="8"/>
    </row>
    <row r="882" spans="1:21" ht="30" customHeight="1" x14ac:dyDescent="0.25">
      <c r="A882" s="8"/>
      <c r="B882" s="8"/>
      <c r="C882" s="8"/>
      <c r="D882" s="8"/>
      <c r="E882" s="224"/>
      <c r="F882" s="8"/>
      <c r="G882" s="8"/>
      <c r="H882" s="8"/>
      <c r="I882" s="8"/>
      <c r="J882" s="8"/>
      <c r="K882" s="8"/>
      <c r="L882" s="8"/>
      <c r="M882" s="8"/>
      <c r="N882" s="8"/>
      <c r="O882" s="8"/>
      <c r="P882" s="8"/>
      <c r="Q882" s="8"/>
      <c r="R882" s="8"/>
      <c r="S882" s="8"/>
      <c r="T882" s="8"/>
      <c r="U882" s="8"/>
    </row>
    <row r="883" spans="1:21" ht="30" customHeight="1" x14ac:dyDescent="0.25">
      <c r="A883" s="8"/>
      <c r="B883" s="8"/>
      <c r="C883" s="8"/>
      <c r="D883" s="8"/>
      <c r="E883" s="224"/>
      <c r="F883" s="8"/>
      <c r="G883" s="8"/>
      <c r="H883" s="8"/>
      <c r="I883" s="8"/>
      <c r="J883" s="8"/>
      <c r="K883" s="8"/>
      <c r="L883" s="8"/>
      <c r="M883" s="8"/>
      <c r="N883" s="8"/>
      <c r="O883" s="8"/>
      <c r="P883" s="8"/>
      <c r="Q883" s="8"/>
      <c r="R883" s="8"/>
      <c r="S883" s="8"/>
      <c r="T883" s="8"/>
      <c r="U883" s="8"/>
    </row>
    <row r="884" spans="1:21" ht="30" customHeight="1" x14ac:dyDescent="0.25">
      <c r="A884" s="8"/>
      <c r="B884" s="8"/>
      <c r="C884" s="8"/>
      <c r="D884" s="8"/>
      <c r="E884" s="224"/>
      <c r="F884" s="8"/>
      <c r="G884" s="8"/>
      <c r="H884" s="8"/>
      <c r="I884" s="8"/>
      <c r="J884" s="8"/>
      <c r="K884" s="8"/>
      <c r="L884" s="8"/>
      <c r="M884" s="8"/>
      <c r="N884" s="8"/>
      <c r="O884" s="8"/>
      <c r="P884" s="8"/>
      <c r="Q884" s="8"/>
      <c r="R884" s="8"/>
      <c r="S884" s="8"/>
      <c r="T884" s="8"/>
      <c r="U884" s="8"/>
    </row>
    <row r="885" spans="1:21" ht="30" customHeight="1" x14ac:dyDescent="0.25">
      <c r="A885" s="8"/>
      <c r="B885" s="8"/>
      <c r="C885" s="8"/>
      <c r="D885" s="8"/>
      <c r="E885" s="224"/>
      <c r="F885" s="8"/>
      <c r="G885" s="8"/>
      <c r="H885" s="8"/>
      <c r="I885" s="8"/>
      <c r="J885" s="8"/>
      <c r="K885" s="8"/>
      <c r="L885" s="8"/>
      <c r="M885" s="8"/>
      <c r="N885" s="8"/>
      <c r="O885" s="8"/>
      <c r="P885" s="8"/>
      <c r="Q885" s="8"/>
      <c r="R885" s="8"/>
      <c r="S885" s="8"/>
      <c r="T885" s="8"/>
      <c r="U885" s="8"/>
    </row>
    <row r="886" spans="1:21" ht="30" customHeight="1" x14ac:dyDescent="0.25">
      <c r="A886" s="8"/>
      <c r="B886" s="8"/>
      <c r="C886" s="8"/>
      <c r="D886" s="8"/>
      <c r="E886" s="224"/>
      <c r="F886" s="8"/>
      <c r="G886" s="8"/>
      <c r="H886" s="8"/>
      <c r="I886" s="8"/>
      <c r="J886" s="8"/>
      <c r="K886" s="8"/>
      <c r="L886" s="8"/>
      <c r="M886" s="8"/>
      <c r="N886" s="8"/>
      <c r="O886" s="8"/>
      <c r="P886" s="8"/>
      <c r="Q886" s="8"/>
      <c r="R886" s="8"/>
      <c r="S886" s="8"/>
      <c r="T886" s="8"/>
      <c r="U886" s="8"/>
    </row>
    <row r="887" spans="1:21" ht="30" customHeight="1" x14ac:dyDescent="0.25">
      <c r="A887" s="8"/>
      <c r="B887" s="8"/>
      <c r="C887" s="8"/>
      <c r="D887" s="8"/>
      <c r="E887" s="224"/>
      <c r="F887" s="8"/>
      <c r="G887" s="8"/>
      <c r="H887" s="8"/>
      <c r="I887" s="8"/>
      <c r="J887" s="8"/>
      <c r="K887" s="8"/>
      <c r="L887" s="8"/>
      <c r="M887" s="8"/>
      <c r="N887" s="8"/>
      <c r="O887" s="8"/>
      <c r="P887" s="8"/>
      <c r="Q887" s="8"/>
      <c r="R887" s="8"/>
      <c r="S887" s="8"/>
      <c r="T887" s="8"/>
      <c r="U887" s="8"/>
    </row>
    <row r="888" spans="1:21" ht="30" customHeight="1" x14ac:dyDescent="0.25">
      <c r="A888" s="8"/>
      <c r="B888" s="8"/>
      <c r="C888" s="8"/>
      <c r="D888" s="8"/>
      <c r="E888" s="224"/>
      <c r="F888" s="8"/>
      <c r="G888" s="8"/>
      <c r="H888" s="8"/>
      <c r="I888" s="8"/>
      <c r="J888" s="8"/>
      <c r="K888" s="8"/>
      <c r="L888" s="8"/>
      <c r="M888" s="8"/>
      <c r="N888" s="8"/>
      <c r="O888" s="8"/>
      <c r="P888" s="8"/>
      <c r="Q888" s="8"/>
      <c r="R888" s="8"/>
      <c r="S888" s="8"/>
      <c r="T888" s="8"/>
      <c r="U888" s="8"/>
    </row>
    <row r="889" spans="1:21" ht="30" customHeight="1" x14ac:dyDescent="0.25">
      <c r="A889" s="8"/>
      <c r="B889" s="8"/>
      <c r="C889" s="8"/>
      <c r="D889" s="8"/>
      <c r="E889" s="224"/>
      <c r="F889" s="8"/>
      <c r="G889" s="8"/>
      <c r="H889" s="8"/>
      <c r="I889" s="8"/>
      <c r="J889" s="8"/>
      <c r="K889" s="8"/>
      <c r="L889" s="8"/>
      <c r="M889" s="8"/>
      <c r="N889" s="8"/>
      <c r="O889" s="8"/>
      <c r="P889" s="8"/>
      <c r="Q889" s="8"/>
      <c r="R889" s="8"/>
      <c r="S889" s="8"/>
      <c r="T889" s="8"/>
      <c r="U889" s="8"/>
    </row>
    <row r="890" spans="1:21" ht="30" customHeight="1" x14ac:dyDescent="0.25">
      <c r="A890" s="8"/>
      <c r="B890" s="8"/>
      <c r="C890" s="8"/>
      <c r="D890" s="8"/>
      <c r="E890" s="224"/>
      <c r="F890" s="8"/>
      <c r="G890" s="8"/>
      <c r="H890" s="8"/>
      <c r="I890" s="8"/>
      <c r="J890" s="8"/>
      <c r="K890" s="8"/>
      <c r="L890" s="8"/>
      <c r="M890" s="8"/>
      <c r="N890" s="8"/>
      <c r="O890" s="8"/>
      <c r="P890" s="8"/>
      <c r="Q890" s="8"/>
      <c r="R890" s="8"/>
      <c r="S890" s="8"/>
      <c r="T890" s="8"/>
      <c r="U890" s="8"/>
    </row>
    <row r="891" spans="1:21" ht="30" customHeight="1" x14ac:dyDescent="0.25">
      <c r="A891" s="8"/>
      <c r="B891" s="8"/>
      <c r="C891" s="8"/>
      <c r="D891" s="8"/>
      <c r="E891" s="224"/>
      <c r="F891" s="8"/>
      <c r="G891" s="8"/>
      <c r="H891" s="8"/>
      <c r="I891" s="8"/>
      <c r="J891" s="8"/>
      <c r="K891" s="8"/>
      <c r="L891" s="8"/>
      <c r="M891" s="8"/>
      <c r="N891" s="8"/>
      <c r="O891" s="8"/>
      <c r="P891" s="8"/>
      <c r="Q891" s="8"/>
      <c r="R891" s="8"/>
      <c r="S891" s="8"/>
      <c r="T891" s="8"/>
      <c r="U891" s="8"/>
    </row>
    <row r="892" spans="1:21" ht="30" customHeight="1" x14ac:dyDescent="0.25">
      <c r="A892" s="8"/>
      <c r="B892" s="8"/>
      <c r="C892" s="8"/>
      <c r="D892" s="8"/>
      <c r="E892" s="224"/>
      <c r="F892" s="8"/>
      <c r="G892" s="8"/>
      <c r="H892" s="8"/>
      <c r="I892" s="8"/>
      <c r="J892" s="8"/>
      <c r="K892" s="8"/>
      <c r="L892" s="8"/>
      <c r="M892" s="8"/>
      <c r="N892" s="8"/>
      <c r="O892" s="8"/>
      <c r="P892" s="8"/>
      <c r="Q892" s="8"/>
      <c r="R892" s="8"/>
      <c r="S892" s="8"/>
      <c r="T892" s="8"/>
      <c r="U892" s="8"/>
    </row>
    <row r="893" spans="1:21" ht="30" customHeight="1" x14ac:dyDescent="0.25">
      <c r="A893" s="8"/>
      <c r="B893" s="8"/>
      <c r="C893" s="8"/>
      <c r="D893" s="8"/>
      <c r="E893" s="224"/>
      <c r="F893" s="8"/>
      <c r="G893" s="8"/>
      <c r="H893" s="8"/>
      <c r="I893" s="8"/>
      <c r="J893" s="8"/>
      <c r="K893" s="8"/>
      <c r="L893" s="8"/>
      <c r="M893" s="8"/>
      <c r="N893" s="8"/>
      <c r="O893" s="8"/>
      <c r="P893" s="8"/>
      <c r="Q893" s="8"/>
      <c r="R893" s="8"/>
      <c r="S893" s="8"/>
      <c r="T893" s="8"/>
      <c r="U893" s="8"/>
    </row>
    <row r="894" spans="1:21" ht="30" customHeight="1" x14ac:dyDescent="0.25">
      <c r="A894" s="8"/>
      <c r="B894" s="8"/>
      <c r="C894" s="8"/>
      <c r="D894" s="8"/>
      <c r="E894" s="224"/>
      <c r="F894" s="8"/>
      <c r="G894" s="8"/>
      <c r="H894" s="8"/>
      <c r="I894" s="8"/>
      <c r="J894" s="8"/>
      <c r="K894" s="8"/>
      <c r="L894" s="8"/>
      <c r="M894" s="8"/>
      <c r="N894" s="8"/>
      <c r="O894" s="8"/>
      <c r="P894" s="8"/>
      <c r="Q894" s="8"/>
      <c r="R894" s="8"/>
      <c r="S894" s="8"/>
      <c r="T894" s="8"/>
      <c r="U894" s="8"/>
    </row>
    <row r="895" spans="1:21" ht="30" customHeight="1" x14ac:dyDescent="0.25">
      <c r="A895" s="8"/>
      <c r="B895" s="8"/>
      <c r="C895" s="8"/>
      <c r="D895" s="8"/>
      <c r="E895" s="224"/>
      <c r="F895" s="8"/>
      <c r="G895" s="8"/>
      <c r="H895" s="8"/>
      <c r="I895" s="8"/>
      <c r="J895" s="8"/>
      <c r="K895" s="8"/>
      <c r="L895" s="8"/>
      <c r="M895" s="8"/>
      <c r="N895" s="8"/>
      <c r="O895" s="8"/>
      <c r="P895" s="8"/>
      <c r="Q895" s="8"/>
      <c r="R895" s="8"/>
      <c r="S895" s="8"/>
      <c r="T895" s="8"/>
      <c r="U895" s="8"/>
    </row>
    <row r="896" spans="1:21" ht="30" customHeight="1" x14ac:dyDescent="0.25">
      <c r="A896" s="8"/>
      <c r="B896" s="8"/>
      <c r="C896" s="8"/>
      <c r="D896" s="8"/>
      <c r="E896" s="224"/>
      <c r="F896" s="8"/>
      <c r="G896" s="8"/>
      <c r="H896" s="8"/>
      <c r="I896" s="8"/>
      <c r="J896" s="8"/>
      <c r="K896" s="8"/>
      <c r="L896" s="8"/>
      <c r="M896" s="8"/>
      <c r="N896" s="8"/>
      <c r="O896" s="8"/>
      <c r="P896" s="8"/>
      <c r="Q896" s="8"/>
      <c r="R896" s="8"/>
      <c r="S896" s="8"/>
      <c r="T896" s="8"/>
      <c r="U896" s="8"/>
    </row>
    <row r="897" spans="1:21" ht="30" customHeight="1" x14ac:dyDescent="0.25">
      <c r="A897" s="8"/>
      <c r="B897" s="8"/>
      <c r="C897" s="8"/>
      <c r="D897" s="8"/>
      <c r="E897" s="224"/>
      <c r="F897" s="8"/>
      <c r="G897" s="8"/>
      <c r="H897" s="8"/>
      <c r="I897" s="8"/>
      <c r="J897" s="8"/>
      <c r="K897" s="8"/>
      <c r="L897" s="8"/>
      <c r="M897" s="8"/>
      <c r="N897" s="8"/>
      <c r="O897" s="8"/>
      <c r="P897" s="8"/>
      <c r="Q897" s="8"/>
      <c r="R897" s="8"/>
      <c r="S897" s="8"/>
      <c r="T897" s="8"/>
      <c r="U897" s="8"/>
    </row>
    <row r="898" spans="1:21" ht="30" customHeight="1" x14ac:dyDescent="0.25">
      <c r="A898" s="8"/>
      <c r="B898" s="8"/>
      <c r="C898" s="8"/>
      <c r="D898" s="8"/>
      <c r="E898" s="224"/>
      <c r="F898" s="8"/>
      <c r="G898" s="8"/>
      <c r="H898" s="8"/>
      <c r="I898" s="8"/>
      <c r="J898" s="8"/>
      <c r="K898" s="8"/>
      <c r="L898" s="8"/>
      <c r="M898" s="8"/>
      <c r="N898" s="8"/>
      <c r="O898" s="8"/>
      <c r="P898" s="8"/>
      <c r="Q898" s="8"/>
      <c r="R898" s="8"/>
      <c r="S898" s="8"/>
      <c r="T898" s="8"/>
      <c r="U898" s="8"/>
    </row>
    <row r="899" spans="1:21" ht="30" customHeight="1" x14ac:dyDescent="0.25">
      <c r="A899" s="8"/>
      <c r="B899" s="8"/>
      <c r="C899" s="8"/>
      <c r="D899" s="8"/>
      <c r="E899" s="224"/>
      <c r="F899" s="8"/>
      <c r="G899" s="8"/>
      <c r="H899" s="8"/>
      <c r="I899" s="8"/>
      <c r="J899" s="8"/>
      <c r="K899" s="8"/>
      <c r="L899" s="8"/>
      <c r="M899" s="8"/>
      <c r="N899" s="8"/>
      <c r="O899" s="8"/>
      <c r="P899" s="8"/>
      <c r="Q899" s="8"/>
      <c r="R899" s="8"/>
      <c r="S899" s="8"/>
      <c r="T899" s="8"/>
      <c r="U899" s="8"/>
    </row>
    <row r="900" spans="1:21" ht="30" customHeight="1" x14ac:dyDescent="0.25">
      <c r="A900" s="8"/>
      <c r="B900" s="8"/>
      <c r="C900" s="8"/>
      <c r="D900" s="8"/>
      <c r="E900" s="224"/>
      <c r="F900" s="8"/>
      <c r="G900" s="8"/>
      <c r="H900" s="8"/>
      <c r="I900" s="8"/>
      <c r="J900" s="8"/>
      <c r="K900" s="8"/>
      <c r="L900" s="8"/>
      <c r="M900" s="8"/>
      <c r="N900" s="8"/>
      <c r="O900" s="8"/>
      <c r="P900" s="8"/>
      <c r="Q900" s="8"/>
      <c r="R900" s="8"/>
      <c r="S900" s="8"/>
      <c r="T900" s="8"/>
      <c r="U900" s="8"/>
    </row>
    <row r="901" spans="1:21" ht="30" customHeight="1" x14ac:dyDescent="0.25">
      <c r="A901" s="8"/>
      <c r="B901" s="8"/>
      <c r="C901" s="8"/>
      <c r="D901" s="8"/>
      <c r="E901" s="224"/>
      <c r="F901" s="8"/>
      <c r="G901" s="8"/>
      <c r="H901" s="8"/>
      <c r="I901" s="8"/>
      <c r="J901" s="8"/>
      <c r="K901" s="8"/>
      <c r="L901" s="8"/>
      <c r="M901" s="8"/>
      <c r="N901" s="8"/>
      <c r="O901" s="8"/>
      <c r="P901" s="8"/>
      <c r="Q901" s="8"/>
      <c r="R901" s="8"/>
      <c r="S901" s="8"/>
      <c r="T901" s="8"/>
      <c r="U901" s="8"/>
    </row>
    <row r="902" spans="1:21" ht="30" customHeight="1" x14ac:dyDescent="0.25">
      <c r="A902" s="8"/>
      <c r="B902" s="8"/>
      <c r="C902" s="8"/>
      <c r="D902" s="8"/>
      <c r="E902" s="224"/>
      <c r="F902" s="8"/>
      <c r="G902" s="8"/>
      <c r="H902" s="8"/>
      <c r="I902" s="8"/>
      <c r="J902" s="8"/>
      <c r="K902" s="8"/>
      <c r="L902" s="8"/>
      <c r="M902" s="8"/>
      <c r="N902" s="8"/>
      <c r="O902" s="8"/>
      <c r="P902" s="8"/>
      <c r="Q902" s="8"/>
      <c r="R902" s="8"/>
      <c r="S902" s="8"/>
      <c r="T902" s="8"/>
      <c r="U902" s="8"/>
    </row>
    <row r="903" spans="1:21" ht="30" customHeight="1" x14ac:dyDescent="0.25">
      <c r="A903" s="8"/>
      <c r="B903" s="8"/>
      <c r="C903" s="8"/>
      <c r="D903" s="8"/>
      <c r="E903" s="224"/>
      <c r="F903" s="8"/>
      <c r="G903" s="8"/>
      <c r="H903" s="8"/>
      <c r="I903" s="8"/>
      <c r="J903" s="8"/>
      <c r="K903" s="8"/>
      <c r="L903" s="8"/>
      <c r="M903" s="8"/>
      <c r="N903" s="8"/>
      <c r="O903" s="8"/>
      <c r="P903" s="8"/>
      <c r="Q903" s="8"/>
      <c r="R903" s="8"/>
      <c r="S903" s="8"/>
      <c r="T903" s="8"/>
      <c r="U903" s="8"/>
    </row>
    <row r="904" spans="1:21" ht="30" customHeight="1" x14ac:dyDescent="0.25">
      <c r="A904" s="8"/>
      <c r="B904" s="8"/>
      <c r="C904" s="8"/>
      <c r="D904" s="8"/>
      <c r="E904" s="224"/>
      <c r="F904" s="8"/>
      <c r="G904" s="8"/>
      <c r="H904" s="8"/>
      <c r="I904" s="8"/>
      <c r="J904" s="8"/>
      <c r="K904" s="8"/>
      <c r="L904" s="8"/>
      <c r="M904" s="8"/>
      <c r="N904" s="8"/>
      <c r="O904" s="8"/>
      <c r="P904" s="8"/>
      <c r="Q904" s="8"/>
      <c r="R904" s="8"/>
      <c r="S904" s="8"/>
      <c r="T904" s="8"/>
      <c r="U904" s="8"/>
    </row>
    <row r="905" spans="1:21" ht="30" customHeight="1" x14ac:dyDescent="0.25">
      <c r="A905" s="8"/>
      <c r="B905" s="8"/>
      <c r="C905" s="8"/>
      <c r="D905" s="8"/>
      <c r="E905" s="224"/>
      <c r="F905" s="8"/>
      <c r="G905" s="8"/>
      <c r="H905" s="8"/>
      <c r="I905" s="8"/>
      <c r="J905" s="8"/>
      <c r="K905" s="8"/>
      <c r="L905" s="8"/>
      <c r="M905" s="8"/>
      <c r="N905" s="8"/>
      <c r="O905" s="8"/>
      <c r="P905" s="8"/>
      <c r="Q905" s="8"/>
      <c r="R905" s="8"/>
      <c r="S905" s="8"/>
      <c r="T905" s="8"/>
      <c r="U905" s="8"/>
    </row>
    <row r="906" spans="1:21" ht="30" customHeight="1" x14ac:dyDescent="0.25">
      <c r="A906" s="8"/>
      <c r="B906" s="8"/>
      <c r="C906" s="8"/>
      <c r="D906" s="8"/>
      <c r="E906" s="224"/>
      <c r="F906" s="8"/>
      <c r="G906" s="8"/>
      <c r="H906" s="8"/>
      <c r="I906" s="8"/>
      <c r="J906" s="8"/>
      <c r="K906" s="8"/>
      <c r="L906" s="8"/>
      <c r="M906" s="8"/>
      <c r="N906" s="8"/>
      <c r="O906" s="8"/>
      <c r="P906" s="8"/>
      <c r="Q906" s="8"/>
      <c r="R906" s="8"/>
      <c r="S906" s="8"/>
      <c r="T906" s="8"/>
      <c r="U906" s="8"/>
    </row>
    <row r="907" spans="1:21" ht="30" customHeight="1" x14ac:dyDescent="0.25">
      <c r="A907" s="8"/>
      <c r="B907" s="8"/>
      <c r="C907" s="8"/>
      <c r="D907" s="8"/>
      <c r="E907" s="224"/>
      <c r="F907" s="8"/>
      <c r="G907" s="8"/>
      <c r="H907" s="8"/>
      <c r="I907" s="8"/>
      <c r="J907" s="8"/>
      <c r="K907" s="8"/>
      <c r="L907" s="8"/>
      <c r="M907" s="8"/>
      <c r="N907" s="8"/>
      <c r="O907" s="8"/>
      <c r="P907" s="8"/>
      <c r="Q907" s="8"/>
      <c r="R907" s="8"/>
      <c r="S907" s="8"/>
      <c r="T907" s="8"/>
      <c r="U907" s="8"/>
    </row>
    <row r="908" spans="1:21" ht="30" customHeight="1" x14ac:dyDescent="0.25">
      <c r="A908" s="8"/>
      <c r="B908" s="8"/>
      <c r="C908" s="8"/>
      <c r="D908" s="8"/>
      <c r="E908" s="224"/>
      <c r="F908" s="8"/>
      <c r="G908" s="8"/>
      <c r="H908" s="8"/>
      <c r="I908" s="8"/>
      <c r="J908" s="8"/>
      <c r="K908" s="8"/>
      <c r="L908" s="8"/>
      <c r="M908" s="8"/>
      <c r="N908" s="8"/>
      <c r="O908" s="8"/>
      <c r="P908" s="8"/>
      <c r="Q908" s="8"/>
      <c r="R908" s="8"/>
      <c r="S908" s="8"/>
      <c r="T908" s="8"/>
      <c r="U908" s="8"/>
    </row>
    <row r="909" spans="1:21" ht="30" customHeight="1" x14ac:dyDescent="0.25">
      <c r="A909" s="8"/>
      <c r="B909" s="8"/>
      <c r="C909" s="8"/>
      <c r="D909" s="8"/>
      <c r="E909" s="224"/>
      <c r="F909" s="8"/>
      <c r="G909" s="8"/>
      <c r="H909" s="8"/>
      <c r="I909" s="8"/>
      <c r="J909" s="8"/>
      <c r="K909" s="8"/>
      <c r="L909" s="8"/>
      <c r="M909" s="8"/>
      <c r="N909" s="8"/>
      <c r="O909" s="8"/>
      <c r="P909" s="8"/>
      <c r="Q909" s="8"/>
      <c r="R909" s="8"/>
      <c r="S909" s="8"/>
      <c r="T909" s="8"/>
      <c r="U909" s="8"/>
    </row>
    <row r="910" spans="1:21" ht="30" customHeight="1" x14ac:dyDescent="0.25">
      <c r="A910" s="8"/>
      <c r="B910" s="8"/>
      <c r="C910" s="8"/>
      <c r="D910" s="8"/>
      <c r="E910" s="224"/>
      <c r="F910" s="8"/>
      <c r="G910" s="8"/>
      <c r="H910" s="8"/>
      <c r="I910" s="8"/>
      <c r="J910" s="8"/>
      <c r="K910" s="8"/>
      <c r="L910" s="8"/>
      <c r="M910" s="8"/>
      <c r="N910" s="8"/>
      <c r="O910" s="8"/>
      <c r="P910" s="8"/>
      <c r="Q910" s="8"/>
      <c r="R910" s="8"/>
      <c r="S910" s="8"/>
      <c r="T910" s="8"/>
      <c r="U910" s="8"/>
    </row>
    <row r="911" spans="1:21" ht="30" customHeight="1" x14ac:dyDescent="0.25">
      <c r="A911" s="8"/>
      <c r="B911" s="8"/>
      <c r="C911" s="8"/>
      <c r="D911" s="8"/>
      <c r="E911" s="224"/>
      <c r="F911" s="8"/>
      <c r="G911" s="8"/>
      <c r="H911" s="8"/>
      <c r="I911" s="8"/>
      <c r="J911" s="8"/>
      <c r="K911" s="8"/>
      <c r="L911" s="8"/>
      <c r="M911" s="8"/>
      <c r="N911" s="8"/>
      <c r="O911" s="8"/>
      <c r="P911" s="8"/>
      <c r="Q911" s="8"/>
      <c r="R911" s="8"/>
      <c r="S911" s="8"/>
      <c r="T911" s="8"/>
      <c r="U911" s="8"/>
    </row>
    <row r="912" spans="1:21" ht="30" customHeight="1" x14ac:dyDescent="0.25">
      <c r="A912" s="8"/>
      <c r="B912" s="8"/>
      <c r="C912" s="8"/>
      <c r="D912" s="8"/>
      <c r="E912" s="224"/>
      <c r="F912" s="8"/>
      <c r="G912" s="8"/>
      <c r="H912" s="8"/>
      <c r="I912" s="8"/>
      <c r="J912" s="8"/>
      <c r="K912" s="8"/>
      <c r="L912" s="8"/>
      <c r="M912" s="8"/>
      <c r="N912" s="8"/>
      <c r="O912" s="8"/>
      <c r="P912" s="8"/>
      <c r="Q912" s="8"/>
      <c r="R912" s="8"/>
      <c r="S912" s="8"/>
      <c r="T912" s="8"/>
      <c r="U912" s="8"/>
    </row>
    <row r="913" spans="1:21" ht="30" customHeight="1" x14ac:dyDescent="0.25">
      <c r="A913" s="8"/>
      <c r="B913" s="8"/>
      <c r="C913" s="8"/>
      <c r="D913" s="8"/>
      <c r="E913" s="224"/>
      <c r="F913" s="8"/>
      <c r="G913" s="8"/>
      <c r="H913" s="8"/>
      <c r="I913" s="8"/>
      <c r="J913" s="8"/>
      <c r="K913" s="8"/>
      <c r="L913" s="8"/>
      <c r="M913" s="8"/>
      <c r="N913" s="8"/>
      <c r="O913" s="8"/>
      <c r="P913" s="8"/>
      <c r="Q913" s="8"/>
      <c r="R913" s="8"/>
      <c r="S913" s="8"/>
      <c r="T913" s="8"/>
      <c r="U913" s="8"/>
    </row>
    <row r="914" spans="1:21" ht="30" customHeight="1" x14ac:dyDescent="0.25">
      <c r="A914" s="8"/>
      <c r="B914" s="8"/>
      <c r="C914" s="8"/>
      <c r="D914" s="8"/>
      <c r="E914" s="224"/>
      <c r="F914" s="8"/>
      <c r="G914" s="8"/>
      <c r="H914" s="8"/>
      <c r="I914" s="8"/>
      <c r="J914" s="8"/>
      <c r="K914" s="8"/>
      <c r="L914" s="8"/>
      <c r="M914" s="8"/>
      <c r="N914" s="8"/>
      <c r="O914" s="8"/>
      <c r="P914" s="8"/>
      <c r="Q914" s="8"/>
      <c r="R914" s="8"/>
      <c r="S914" s="8"/>
      <c r="T914" s="8"/>
      <c r="U914" s="8"/>
    </row>
    <row r="915" spans="1:21" ht="30" customHeight="1" x14ac:dyDescent="0.25">
      <c r="A915" s="8"/>
      <c r="B915" s="8"/>
      <c r="C915" s="8"/>
      <c r="D915" s="8"/>
      <c r="E915" s="224"/>
      <c r="F915" s="8"/>
      <c r="G915" s="8"/>
      <c r="H915" s="8"/>
      <c r="I915" s="8"/>
      <c r="J915" s="8"/>
      <c r="K915" s="8"/>
      <c r="L915" s="8"/>
      <c r="M915" s="8"/>
      <c r="N915" s="8"/>
      <c r="O915" s="8"/>
      <c r="P915" s="8"/>
      <c r="Q915" s="8"/>
      <c r="R915" s="8"/>
      <c r="S915" s="8"/>
      <c r="T915" s="8"/>
      <c r="U915" s="8"/>
    </row>
    <row r="916" spans="1:21" ht="30" customHeight="1" x14ac:dyDescent="0.25">
      <c r="A916" s="8"/>
      <c r="B916" s="8"/>
      <c r="C916" s="8"/>
      <c r="D916" s="8"/>
      <c r="E916" s="224"/>
      <c r="F916" s="8"/>
      <c r="G916" s="8"/>
      <c r="H916" s="8"/>
      <c r="I916" s="8"/>
      <c r="J916" s="8"/>
      <c r="K916" s="8"/>
      <c r="L916" s="8"/>
      <c r="M916" s="8"/>
      <c r="N916" s="8"/>
      <c r="O916" s="8"/>
      <c r="P916" s="8"/>
      <c r="Q916" s="8"/>
      <c r="R916" s="8"/>
      <c r="S916" s="8"/>
      <c r="T916" s="8"/>
      <c r="U916" s="8"/>
    </row>
    <row r="917" spans="1:21" ht="30" customHeight="1" x14ac:dyDescent="0.25">
      <c r="A917" s="8"/>
      <c r="B917" s="8"/>
      <c r="C917" s="8"/>
      <c r="D917" s="8"/>
      <c r="E917" s="224"/>
      <c r="F917" s="8"/>
      <c r="G917" s="8"/>
      <c r="H917" s="8"/>
      <c r="I917" s="8"/>
      <c r="J917" s="8"/>
      <c r="K917" s="8"/>
      <c r="L917" s="8"/>
      <c r="M917" s="8"/>
      <c r="N917" s="8"/>
      <c r="O917" s="8"/>
      <c r="P917" s="8"/>
      <c r="Q917" s="8"/>
      <c r="R917" s="8"/>
      <c r="S917" s="8"/>
      <c r="T917" s="8"/>
      <c r="U917" s="8"/>
    </row>
    <row r="918" spans="1:21" ht="30" customHeight="1" x14ac:dyDescent="0.25">
      <c r="A918" s="8"/>
      <c r="B918" s="8"/>
      <c r="C918" s="8"/>
      <c r="D918" s="8"/>
      <c r="E918" s="224"/>
      <c r="F918" s="8"/>
      <c r="G918" s="8"/>
      <c r="H918" s="8"/>
      <c r="I918" s="8"/>
      <c r="J918" s="8"/>
      <c r="K918" s="8"/>
      <c r="L918" s="8"/>
      <c r="M918" s="8"/>
      <c r="N918" s="8"/>
      <c r="O918" s="8"/>
      <c r="P918" s="8"/>
      <c r="Q918" s="8"/>
      <c r="R918" s="8"/>
      <c r="S918" s="8"/>
      <c r="T918" s="8"/>
      <c r="U918" s="8"/>
    </row>
    <row r="919" spans="1:21" ht="30" customHeight="1" x14ac:dyDescent="0.25">
      <c r="A919" s="8"/>
      <c r="B919" s="8"/>
      <c r="C919" s="8"/>
      <c r="D919" s="8"/>
      <c r="E919" s="224"/>
      <c r="F919" s="8"/>
      <c r="G919" s="8"/>
      <c r="H919" s="8"/>
      <c r="I919" s="8"/>
      <c r="J919" s="8"/>
      <c r="K919" s="8"/>
      <c r="L919" s="8"/>
      <c r="M919" s="8"/>
      <c r="N919" s="8"/>
      <c r="O919" s="8"/>
      <c r="P919" s="8"/>
      <c r="Q919" s="8"/>
      <c r="R919" s="8"/>
      <c r="S919" s="8"/>
      <c r="T919" s="8"/>
      <c r="U919" s="8"/>
    </row>
    <row r="920" spans="1:21" ht="30" customHeight="1" x14ac:dyDescent="0.25">
      <c r="A920" s="8"/>
      <c r="B920" s="8"/>
      <c r="C920" s="8"/>
      <c r="D920" s="8"/>
      <c r="E920" s="224"/>
      <c r="F920" s="8"/>
      <c r="G920" s="8"/>
      <c r="H920" s="8"/>
      <c r="I920" s="8"/>
      <c r="J920" s="8"/>
      <c r="K920" s="8"/>
      <c r="L920" s="8"/>
      <c r="M920" s="8"/>
      <c r="N920" s="8"/>
      <c r="O920" s="8"/>
      <c r="P920" s="8"/>
      <c r="Q920" s="8"/>
      <c r="R920" s="8"/>
      <c r="S920" s="8"/>
      <c r="T920" s="8"/>
      <c r="U920" s="8"/>
    </row>
    <row r="921" spans="1:21" ht="30" customHeight="1" x14ac:dyDescent="0.25">
      <c r="A921" s="8"/>
      <c r="B921" s="8"/>
      <c r="C921" s="8"/>
      <c r="D921" s="8"/>
      <c r="E921" s="224"/>
      <c r="F921" s="8"/>
      <c r="G921" s="8"/>
      <c r="H921" s="8"/>
      <c r="I921" s="8"/>
      <c r="J921" s="8"/>
      <c r="K921" s="8"/>
      <c r="L921" s="8"/>
      <c r="M921" s="8"/>
      <c r="N921" s="8"/>
      <c r="O921" s="8"/>
      <c r="P921" s="8"/>
      <c r="Q921" s="8"/>
      <c r="R921" s="8"/>
      <c r="S921" s="8"/>
      <c r="T921" s="8"/>
      <c r="U921" s="8"/>
    </row>
    <row r="922" spans="1:21" ht="30" customHeight="1" x14ac:dyDescent="0.25">
      <c r="A922" s="8"/>
      <c r="B922" s="8"/>
      <c r="C922" s="8"/>
      <c r="D922" s="8"/>
      <c r="E922" s="224"/>
      <c r="F922" s="8"/>
      <c r="G922" s="8"/>
      <c r="H922" s="8"/>
      <c r="I922" s="8"/>
      <c r="J922" s="8"/>
      <c r="K922" s="8"/>
      <c r="L922" s="8"/>
      <c r="M922" s="8"/>
      <c r="N922" s="8"/>
      <c r="O922" s="8"/>
      <c r="P922" s="8"/>
      <c r="Q922" s="8"/>
      <c r="R922" s="8"/>
      <c r="S922" s="8"/>
      <c r="T922" s="8"/>
      <c r="U922" s="8"/>
    </row>
    <row r="923" spans="1:21" ht="30" customHeight="1" x14ac:dyDescent="0.25">
      <c r="A923" s="8"/>
      <c r="B923" s="8"/>
      <c r="C923" s="8"/>
      <c r="D923" s="8"/>
      <c r="E923" s="224"/>
      <c r="F923" s="8"/>
      <c r="G923" s="8"/>
      <c r="H923" s="8"/>
      <c r="I923" s="8"/>
      <c r="J923" s="8"/>
      <c r="K923" s="8"/>
      <c r="L923" s="8"/>
      <c r="M923" s="8"/>
      <c r="N923" s="8"/>
      <c r="O923" s="8"/>
      <c r="P923" s="8"/>
      <c r="Q923" s="8"/>
      <c r="R923" s="8"/>
      <c r="S923" s="8"/>
      <c r="T923" s="8"/>
      <c r="U923" s="8"/>
    </row>
    <row r="924" spans="1:21" ht="30" customHeight="1" x14ac:dyDescent="0.25">
      <c r="A924" s="8"/>
      <c r="B924" s="8"/>
      <c r="C924" s="8"/>
      <c r="D924" s="8"/>
      <c r="E924" s="224"/>
      <c r="F924" s="8"/>
      <c r="G924" s="8"/>
      <c r="H924" s="8"/>
      <c r="I924" s="8"/>
      <c r="J924" s="8"/>
      <c r="K924" s="8"/>
      <c r="L924" s="8"/>
      <c r="M924" s="8"/>
      <c r="N924" s="8"/>
      <c r="O924" s="8"/>
      <c r="P924" s="8"/>
      <c r="Q924" s="8"/>
      <c r="R924" s="8"/>
      <c r="S924" s="8"/>
      <c r="T924" s="8"/>
      <c r="U924" s="8"/>
    </row>
    <row r="925" spans="1:21" ht="30" customHeight="1" x14ac:dyDescent="0.25">
      <c r="A925" s="8"/>
      <c r="B925" s="8"/>
      <c r="C925" s="8"/>
      <c r="D925" s="8"/>
      <c r="E925" s="224"/>
      <c r="F925" s="8"/>
      <c r="G925" s="8"/>
      <c r="H925" s="8"/>
      <c r="I925" s="8"/>
      <c r="J925" s="8"/>
      <c r="K925" s="8"/>
      <c r="L925" s="8"/>
      <c r="M925" s="8"/>
      <c r="N925" s="8"/>
      <c r="O925" s="8"/>
      <c r="P925" s="8"/>
      <c r="Q925" s="8"/>
      <c r="R925" s="8"/>
      <c r="S925" s="8"/>
      <c r="T925" s="8"/>
      <c r="U925" s="8"/>
    </row>
    <row r="926" spans="1:21" ht="30" customHeight="1" x14ac:dyDescent="0.25">
      <c r="A926" s="8"/>
      <c r="B926" s="8"/>
      <c r="C926" s="8"/>
      <c r="D926" s="8"/>
      <c r="E926" s="224"/>
      <c r="F926" s="8"/>
      <c r="G926" s="8"/>
      <c r="H926" s="8"/>
      <c r="I926" s="8"/>
      <c r="J926" s="8"/>
      <c r="K926" s="8"/>
      <c r="L926" s="8"/>
      <c r="M926" s="8"/>
      <c r="N926" s="8"/>
      <c r="O926" s="8"/>
      <c r="P926" s="8"/>
      <c r="Q926" s="8"/>
      <c r="R926" s="8"/>
      <c r="S926" s="8"/>
      <c r="T926" s="8"/>
      <c r="U926" s="8"/>
    </row>
    <row r="927" spans="1:21" ht="30" customHeight="1" x14ac:dyDescent="0.25">
      <c r="A927" s="8"/>
      <c r="B927" s="8"/>
      <c r="C927" s="8"/>
      <c r="D927" s="8"/>
      <c r="E927" s="224"/>
      <c r="F927" s="8"/>
      <c r="G927" s="8"/>
      <c r="H927" s="8"/>
      <c r="I927" s="8"/>
      <c r="J927" s="8"/>
      <c r="K927" s="8"/>
      <c r="L927" s="8"/>
      <c r="M927" s="8"/>
      <c r="N927" s="8"/>
      <c r="O927" s="8"/>
      <c r="P927" s="8"/>
      <c r="Q927" s="8"/>
      <c r="R927" s="8"/>
      <c r="S927" s="8"/>
      <c r="T927" s="8"/>
      <c r="U927" s="8"/>
    </row>
    <row r="928" spans="1:21" ht="30" customHeight="1" x14ac:dyDescent="0.25">
      <c r="A928" s="8"/>
      <c r="B928" s="8"/>
      <c r="C928" s="8"/>
      <c r="D928" s="8"/>
      <c r="E928" s="224"/>
      <c r="F928" s="8"/>
      <c r="G928" s="8"/>
      <c r="H928" s="8"/>
      <c r="I928" s="8"/>
      <c r="J928" s="8"/>
      <c r="K928" s="8"/>
      <c r="L928" s="8"/>
      <c r="M928" s="8"/>
      <c r="N928" s="8"/>
      <c r="O928" s="8"/>
      <c r="P928" s="8"/>
      <c r="Q928" s="8"/>
      <c r="R928" s="8"/>
      <c r="S928" s="8"/>
      <c r="T928" s="8"/>
      <c r="U928" s="8"/>
    </row>
    <row r="929" spans="1:21" ht="30" customHeight="1" x14ac:dyDescent="0.25">
      <c r="A929" s="8"/>
      <c r="B929" s="8"/>
      <c r="C929" s="8"/>
      <c r="D929" s="8"/>
      <c r="E929" s="224"/>
      <c r="F929" s="8"/>
      <c r="G929" s="8"/>
      <c r="H929" s="8"/>
      <c r="I929" s="8"/>
      <c r="J929" s="8"/>
      <c r="K929" s="8"/>
      <c r="L929" s="8"/>
      <c r="M929" s="8"/>
      <c r="N929" s="8"/>
      <c r="O929" s="8"/>
      <c r="P929" s="8"/>
      <c r="Q929" s="8"/>
      <c r="R929" s="8"/>
      <c r="S929" s="8"/>
      <c r="T929" s="8"/>
      <c r="U929" s="8"/>
    </row>
    <row r="930" spans="1:21" ht="30" customHeight="1" x14ac:dyDescent="0.25">
      <c r="A930" s="8"/>
      <c r="B930" s="8"/>
      <c r="C930" s="8"/>
      <c r="D930" s="8"/>
      <c r="E930" s="224"/>
      <c r="F930" s="8"/>
      <c r="G930" s="8"/>
      <c r="H930" s="8"/>
      <c r="I930" s="8"/>
      <c r="J930" s="8"/>
      <c r="K930" s="8"/>
      <c r="L930" s="8"/>
      <c r="M930" s="8"/>
      <c r="N930" s="8"/>
      <c r="O930" s="8"/>
      <c r="P930" s="8"/>
      <c r="Q930" s="8"/>
      <c r="R930" s="8"/>
      <c r="S930" s="8"/>
      <c r="T930" s="8"/>
      <c r="U930" s="8"/>
    </row>
    <row r="931" spans="1:21" ht="30" customHeight="1" x14ac:dyDescent="0.25">
      <c r="A931" s="8"/>
      <c r="B931" s="8"/>
      <c r="C931" s="8"/>
      <c r="D931" s="8"/>
      <c r="E931" s="224"/>
      <c r="F931" s="8"/>
      <c r="G931" s="8"/>
      <c r="H931" s="8"/>
      <c r="I931" s="8"/>
      <c r="J931" s="8"/>
      <c r="K931" s="8"/>
      <c r="L931" s="8"/>
      <c r="M931" s="8"/>
      <c r="N931" s="8"/>
      <c r="O931" s="8"/>
      <c r="P931" s="8"/>
      <c r="Q931" s="8"/>
      <c r="R931" s="8"/>
      <c r="S931" s="8"/>
      <c r="T931" s="8"/>
      <c r="U931" s="8"/>
    </row>
    <row r="932" spans="1:21" ht="30" customHeight="1" x14ac:dyDescent="0.25">
      <c r="A932" s="8"/>
      <c r="B932" s="8"/>
      <c r="C932" s="8"/>
      <c r="D932" s="8"/>
      <c r="E932" s="224"/>
      <c r="F932" s="8"/>
      <c r="G932" s="8"/>
      <c r="H932" s="8"/>
      <c r="I932" s="8"/>
      <c r="J932" s="8"/>
      <c r="K932" s="8"/>
      <c r="L932" s="8"/>
      <c r="M932" s="8"/>
      <c r="N932" s="8"/>
      <c r="O932" s="8"/>
      <c r="P932" s="8"/>
      <c r="Q932" s="8"/>
      <c r="R932" s="8"/>
      <c r="S932" s="8"/>
      <c r="T932" s="8"/>
      <c r="U932" s="8"/>
    </row>
    <row r="933" spans="1:21" ht="30" customHeight="1" x14ac:dyDescent="0.25">
      <c r="A933" s="8"/>
      <c r="B933" s="8"/>
      <c r="C933" s="8"/>
      <c r="D933" s="8"/>
      <c r="E933" s="224"/>
      <c r="F933" s="8"/>
      <c r="G933" s="8"/>
      <c r="H933" s="8"/>
      <c r="I933" s="8"/>
      <c r="J933" s="8"/>
      <c r="K933" s="8"/>
      <c r="L933" s="8"/>
      <c r="M933" s="8"/>
      <c r="N933" s="8"/>
      <c r="O933" s="8"/>
      <c r="P933" s="8"/>
      <c r="Q933" s="8"/>
      <c r="R933" s="8"/>
      <c r="S933" s="8"/>
      <c r="T933" s="8"/>
      <c r="U933" s="8"/>
    </row>
    <row r="934" spans="1:21" ht="30" customHeight="1" x14ac:dyDescent="0.25">
      <c r="A934" s="8"/>
      <c r="B934" s="8"/>
      <c r="C934" s="8"/>
      <c r="D934" s="8"/>
      <c r="E934" s="224"/>
      <c r="F934" s="8"/>
      <c r="G934" s="8"/>
      <c r="H934" s="8"/>
      <c r="I934" s="8"/>
      <c r="J934" s="8"/>
      <c r="K934" s="8"/>
      <c r="L934" s="8"/>
      <c r="M934" s="8"/>
      <c r="N934" s="8"/>
      <c r="O934" s="8"/>
      <c r="P934" s="8"/>
      <c r="Q934" s="8"/>
      <c r="R934" s="8"/>
      <c r="S934" s="8"/>
      <c r="T934" s="8"/>
      <c r="U934" s="8"/>
    </row>
    <row r="935" spans="1:21" ht="30" customHeight="1" x14ac:dyDescent="0.25">
      <c r="A935" s="8"/>
      <c r="B935" s="8"/>
      <c r="C935" s="8"/>
      <c r="D935" s="8"/>
      <c r="E935" s="224"/>
      <c r="F935" s="8"/>
      <c r="G935" s="8"/>
      <c r="H935" s="8"/>
      <c r="I935" s="8"/>
      <c r="J935" s="8"/>
      <c r="K935" s="8"/>
      <c r="L935" s="8"/>
      <c r="M935" s="8"/>
      <c r="N935" s="8"/>
      <c r="O935" s="8"/>
      <c r="P935" s="8"/>
      <c r="Q935" s="8"/>
      <c r="R935" s="8"/>
      <c r="S935" s="8"/>
      <c r="T935" s="8"/>
      <c r="U935" s="8"/>
    </row>
    <row r="936" spans="1:21" ht="30" customHeight="1" x14ac:dyDescent="0.25">
      <c r="A936" s="8"/>
      <c r="B936" s="8"/>
      <c r="C936" s="8"/>
      <c r="D936" s="8"/>
      <c r="E936" s="224"/>
      <c r="F936" s="8"/>
      <c r="G936" s="8"/>
      <c r="H936" s="8"/>
      <c r="I936" s="8"/>
      <c r="J936" s="8"/>
      <c r="K936" s="8"/>
      <c r="L936" s="8"/>
      <c r="M936" s="8"/>
      <c r="N936" s="8"/>
      <c r="O936" s="8"/>
      <c r="P936" s="8"/>
      <c r="Q936" s="8"/>
      <c r="R936" s="8"/>
      <c r="S936" s="8"/>
      <c r="T936" s="8"/>
      <c r="U936" s="8"/>
    </row>
    <row r="937" spans="1:21" ht="30" customHeight="1" x14ac:dyDescent="0.25">
      <c r="A937" s="8"/>
      <c r="B937" s="8"/>
      <c r="C937" s="8"/>
      <c r="D937" s="8"/>
      <c r="E937" s="224"/>
      <c r="F937" s="8"/>
      <c r="G937" s="8"/>
      <c r="H937" s="8"/>
      <c r="I937" s="8"/>
      <c r="J937" s="8"/>
      <c r="K937" s="8"/>
      <c r="L937" s="8"/>
      <c r="M937" s="8"/>
      <c r="N937" s="8"/>
      <c r="O937" s="8"/>
      <c r="P937" s="8"/>
      <c r="Q937" s="8"/>
      <c r="R937" s="8"/>
      <c r="S937" s="8"/>
      <c r="T937" s="8"/>
      <c r="U937" s="8"/>
    </row>
    <row r="938" spans="1:21" ht="30" customHeight="1" x14ac:dyDescent="0.25">
      <c r="A938" s="8"/>
      <c r="B938" s="8"/>
      <c r="C938" s="8"/>
      <c r="D938" s="8"/>
      <c r="E938" s="224"/>
      <c r="F938" s="8"/>
      <c r="G938" s="8"/>
      <c r="H938" s="8"/>
      <c r="I938" s="8"/>
      <c r="J938" s="8"/>
      <c r="K938" s="8"/>
      <c r="L938" s="8"/>
      <c r="M938" s="8"/>
      <c r="N938" s="8"/>
      <c r="O938" s="8"/>
      <c r="P938" s="8"/>
      <c r="Q938" s="8"/>
      <c r="R938" s="8"/>
      <c r="S938" s="8"/>
      <c r="T938" s="8"/>
      <c r="U938" s="8"/>
    </row>
    <row r="939" spans="1:21" ht="30" customHeight="1" x14ac:dyDescent="0.25">
      <c r="A939" s="8"/>
      <c r="B939" s="8"/>
      <c r="C939" s="8"/>
      <c r="D939" s="8"/>
      <c r="E939" s="224"/>
      <c r="F939" s="8"/>
      <c r="G939" s="8"/>
      <c r="H939" s="8"/>
      <c r="I939" s="8"/>
      <c r="J939" s="8"/>
      <c r="K939" s="8"/>
      <c r="L939" s="8"/>
      <c r="M939" s="8"/>
      <c r="N939" s="8"/>
      <c r="O939" s="8"/>
      <c r="P939" s="8"/>
      <c r="Q939" s="8"/>
      <c r="R939" s="8"/>
      <c r="S939" s="8"/>
      <c r="T939" s="8"/>
      <c r="U939" s="8"/>
    </row>
    <row r="940" spans="1:21" ht="30" customHeight="1" x14ac:dyDescent="0.25">
      <c r="A940" s="8"/>
      <c r="B940" s="8"/>
      <c r="C940" s="8"/>
      <c r="D940" s="8"/>
      <c r="E940" s="224"/>
      <c r="F940" s="8"/>
      <c r="G940" s="8"/>
      <c r="H940" s="8"/>
      <c r="I940" s="8"/>
      <c r="J940" s="8"/>
      <c r="K940" s="8"/>
      <c r="L940" s="8"/>
      <c r="M940" s="8"/>
      <c r="N940" s="8"/>
      <c r="O940" s="8"/>
      <c r="P940" s="8"/>
      <c r="Q940" s="8"/>
      <c r="R940" s="8"/>
      <c r="S940" s="8"/>
      <c r="T940" s="8"/>
      <c r="U940" s="8"/>
    </row>
    <row r="941" spans="1:21" ht="30" customHeight="1" x14ac:dyDescent="0.25">
      <c r="A941" s="8"/>
      <c r="B941" s="8"/>
      <c r="C941" s="8"/>
      <c r="D941" s="8"/>
      <c r="E941" s="224"/>
      <c r="F941" s="8"/>
      <c r="G941" s="8"/>
      <c r="H941" s="8"/>
      <c r="I941" s="8"/>
      <c r="J941" s="8"/>
      <c r="K941" s="8"/>
      <c r="L941" s="8"/>
      <c r="M941" s="8"/>
      <c r="N941" s="8"/>
      <c r="O941" s="8"/>
      <c r="P941" s="8"/>
      <c r="Q941" s="8"/>
      <c r="R941" s="8"/>
      <c r="S941" s="8"/>
      <c r="T941" s="8"/>
      <c r="U941" s="8"/>
    </row>
    <row r="942" spans="1:21" ht="30" customHeight="1" x14ac:dyDescent="0.25">
      <c r="A942" s="8"/>
      <c r="B942" s="8"/>
      <c r="C942" s="8"/>
      <c r="D942" s="8"/>
      <c r="E942" s="224"/>
      <c r="F942" s="8"/>
      <c r="G942" s="8"/>
      <c r="H942" s="8"/>
      <c r="I942" s="8"/>
      <c r="J942" s="8"/>
      <c r="K942" s="8"/>
      <c r="L942" s="8"/>
      <c r="M942" s="8"/>
      <c r="N942" s="8"/>
      <c r="O942" s="8"/>
      <c r="P942" s="8"/>
      <c r="Q942" s="8"/>
      <c r="R942" s="8"/>
      <c r="S942" s="8"/>
      <c r="T942" s="8"/>
      <c r="U942" s="8"/>
    </row>
    <row r="943" spans="1:21" ht="30" customHeight="1" x14ac:dyDescent="0.25">
      <c r="A943" s="8"/>
      <c r="B943" s="8"/>
      <c r="C943" s="8"/>
      <c r="D943" s="8"/>
      <c r="E943" s="224"/>
      <c r="F943" s="8"/>
      <c r="G943" s="8"/>
      <c r="H943" s="8"/>
      <c r="I943" s="8"/>
      <c r="J943" s="8"/>
      <c r="K943" s="8"/>
      <c r="L943" s="8"/>
      <c r="M943" s="8"/>
      <c r="N943" s="8"/>
      <c r="O943" s="8"/>
      <c r="P943" s="8"/>
      <c r="Q943" s="8"/>
      <c r="R943" s="8"/>
      <c r="S943" s="8"/>
      <c r="T943" s="8"/>
      <c r="U943" s="8"/>
    </row>
    <row r="944" spans="1:21" ht="30" customHeight="1" x14ac:dyDescent="0.25">
      <c r="A944" s="8"/>
      <c r="B944" s="8"/>
      <c r="C944" s="8"/>
      <c r="D944" s="8"/>
      <c r="E944" s="224"/>
      <c r="F944" s="8"/>
      <c r="G944" s="8"/>
      <c r="H944" s="8"/>
      <c r="I944" s="8"/>
      <c r="J944" s="8"/>
      <c r="K944" s="8"/>
      <c r="L944" s="8"/>
      <c r="M944" s="8"/>
      <c r="N944" s="8"/>
      <c r="O944" s="8"/>
      <c r="P944" s="8"/>
      <c r="Q944" s="8"/>
      <c r="R944" s="8"/>
      <c r="S944" s="8"/>
      <c r="T944" s="8"/>
      <c r="U944" s="8"/>
    </row>
    <row r="945" spans="1:21" ht="30" customHeight="1" x14ac:dyDescent="0.25">
      <c r="A945" s="8"/>
      <c r="B945" s="8"/>
      <c r="C945" s="8"/>
      <c r="D945" s="8"/>
      <c r="E945" s="224"/>
      <c r="F945" s="8"/>
      <c r="G945" s="8"/>
      <c r="H945" s="8"/>
      <c r="I945" s="8"/>
      <c r="J945" s="8"/>
      <c r="K945" s="8"/>
      <c r="L945" s="8"/>
      <c r="M945" s="8"/>
      <c r="N945" s="8"/>
      <c r="O945" s="8"/>
      <c r="P945" s="8"/>
      <c r="Q945" s="8"/>
      <c r="R945" s="8"/>
      <c r="S945" s="8"/>
      <c r="T945" s="8"/>
      <c r="U945" s="8"/>
    </row>
    <row r="946" spans="1:21" ht="30" customHeight="1" x14ac:dyDescent="0.25">
      <c r="A946" s="8"/>
      <c r="B946" s="8"/>
      <c r="C946" s="8"/>
      <c r="D946" s="8"/>
      <c r="E946" s="224"/>
      <c r="F946" s="8"/>
      <c r="G946" s="8"/>
      <c r="H946" s="8"/>
      <c r="I946" s="8"/>
      <c r="J946" s="8"/>
      <c r="K946" s="8"/>
      <c r="L946" s="8"/>
      <c r="M946" s="8"/>
      <c r="N946" s="8"/>
      <c r="O946" s="8"/>
      <c r="P946" s="8"/>
      <c r="Q946" s="8"/>
      <c r="R946" s="8"/>
      <c r="S946" s="8"/>
      <c r="T946" s="8"/>
      <c r="U946" s="8"/>
    </row>
    <row r="947" spans="1:21" ht="30" customHeight="1" x14ac:dyDescent="0.25">
      <c r="A947" s="8"/>
      <c r="B947" s="8"/>
      <c r="C947" s="8"/>
      <c r="D947" s="8"/>
      <c r="E947" s="224"/>
      <c r="F947" s="8"/>
      <c r="G947" s="8"/>
      <c r="H947" s="8"/>
      <c r="I947" s="8"/>
      <c r="J947" s="8"/>
      <c r="K947" s="8"/>
      <c r="L947" s="8"/>
      <c r="M947" s="8"/>
      <c r="N947" s="8"/>
      <c r="O947" s="8"/>
      <c r="P947" s="8"/>
      <c r="Q947" s="8"/>
      <c r="R947" s="8"/>
      <c r="S947" s="8"/>
      <c r="T947" s="8"/>
      <c r="U947" s="8"/>
    </row>
    <row r="948" spans="1:21" ht="30" customHeight="1" x14ac:dyDescent="0.25">
      <c r="A948" s="8"/>
      <c r="B948" s="8"/>
      <c r="C948" s="8"/>
      <c r="D948" s="8"/>
      <c r="E948" s="224"/>
      <c r="F948" s="8"/>
      <c r="G948" s="8"/>
      <c r="H948" s="8"/>
      <c r="I948" s="8"/>
      <c r="J948" s="8"/>
      <c r="K948" s="8"/>
      <c r="L948" s="8"/>
      <c r="M948" s="8"/>
      <c r="N948" s="8"/>
      <c r="O948" s="8"/>
      <c r="P948" s="8"/>
      <c r="Q948" s="8"/>
      <c r="R948" s="8"/>
      <c r="S948" s="8"/>
      <c r="T948" s="8"/>
      <c r="U948" s="8"/>
    </row>
    <row r="949" spans="1:21" ht="30" customHeight="1" x14ac:dyDescent="0.25">
      <c r="A949" s="8"/>
      <c r="B949" s="8"/>
      <c r="C949" s="8"/>
      <c r="D949" s="8"/>
      <c r="E949" s="224"/>
      <c r="F949" s="8"/>
      <c r="G949" s="8"/>
      <c r="H949" s="8"/>
      <c r="I949" s="8"/>
      <c r="J949" s="8"/>
      <c r="K949" s="8"/>
      <c r="L949" s="8"/>
      <c r="M949" s="8"/>
      <c r="N949" s="8"/>
      <c r="O949" s="8"/>
      <c r="P949" s="8"/>
      <c r="Q949" s="8"/>
      <c r="R949" s="8"/>
      <c r="S949" s="8"/>
      <c r="T949" s="8"/>
      <c r="U949" s="8"/>
    </row>
    <row r="950" spans="1:21" ht="30" customHeight="1" x14ac:dyDescent="0.25">
      <c r="A950" s="8"/>
      <c r="B950" s="8"/>
      <c r="C950" s="8"/>
      <c r="D950" s="8"/>
      <c r="E950" s="224"/>
      <c r="F950" s="8"/>
      <c r="G950" s="8"/>
      <c r="H950" s="8"/>
      <c r="I950" s="8"/>
      <c r="J950" s="8"/>
      <c r="K950" s="8"/>
      <c r="L950" s="8"/>
      <c r="M950" s="8"/>
      <c r="N950" s="8"/>
      <c r="O950" s="8"/>
      <c r="P950" s="8"/>
      <c r="Q950" s="8"/>
      <c r="R950" s="8"/>
      <c r="S950" s="8"/>
      <c r="T950" s="8"/>
      <c r="U950" s="8"/>
    </row>
    <row r="951" spans="1:21" ht="30" customHeight="1" x14ac:dyDescent="0.25">
      <c r="A951" s="8"/>
      <c r="B951" s="8"/>
      <c r="C951" s="8"/>
      <c r="D951" s="8"/>
      <c r="E951" s="224"/>
      <c r="F951" s="8"/>
      <c r="G951" s="8"/>
      <c r="H951" s="8"/>
      <c r="I951" s="8"/>
      <c r="J951" s="8"/>
      <c r="K951" s="8"/>
      <c r="L951" s="8"/>
      <c r="M951" s="8"/>
      <c r="N951" s="8"/>
      <c r="O951" s="8"/>
      <c r="P951" s="8"/>
      <c r="Q951" s="8"/>
      <c r="R951" s="8"/>
      <c r="S951" s="8"/>
      <c r="T951" s="8"/>
      <c r="U951" s="8"/>
    </row>
    <row r="952" spans="1:21" ht="30" customHeight="1" x14ac:dyDescent="0.25">
      <c r="A952" s="8"/>
      <c r="B952" s="8"/>
      <c r="C952" s="8"/>
      <c r="D952" s="8"/>
      <c r="E952" s="224"/>
      <c r="F952" s="8"/>
      <c r="G952" s="8"/>
      <c r="H952" s="8"/>
      <c r="I952" s="8"/>
      <c r="J952" s="8"/>
      <c r="K952" s="8"/>
      <c r="L952" s="8"/>
      <c r="M952" s="8"/>
      <c r="N952" s="8"/>
      <c r="O952" s="8"/>
      <c r="P952" s="8"/>
      <c r="Q952" s="8"/>
      <c r="R952" s="8"/>
      <c r="S952" s="8"/>
      <c r="T952" s="8"/>
      <c r="U952" s="8"/>
    </row>
    <row r="953" spans="1:21" ht="30" customHeight="1" x14ac:dyDescent="0.25">
      <c r="A953" s="8"/>
      <c r="B953" s="8"/>
      <c r="C953" s="8"/>
      <c r="D953" s="8"/>
      <c r="E953" s="224"/>
      <c r="F953" s="8"/>
      <c r="G953" s="8"/>
      <c r="H953" s="8"/>
      <c r="I953" s="8"/>
      <c r="J953" s="8"/>
      <c r="K953" s="8"/>
      <c r="L953" s="8"/>
      <c r="M953" s="8"/>
      <c r="N953" s="8"/>
      <c r="O953" s="8"/>
      <c r="P953" s="8"/>
      <c r="Q953" s="8"/>
      <c r="R953" s="8"/>
      <c r="S953" s="8"/>
      <c r="T953" s="8"/>
      <c r="U953" s="8"/>
    </row>
    <row r="954" spans="1:21" ht="30" customHeight="1" x14ac:dyDescent="0.25">
      <c r="A954" s="8"/>
      <c r="B954" s="8"/>
      <c r="C954" s="8"/>
      <c r="D954" s="8"/>
      <c r="E954" s="224"/>
      <c r="F954" s="8"/>
      <c r="G954" s="8"/>
      <c r="H954" s="8"/>
      <c r="I954" s="8"/>
      <c r="J954" s="8"/>
      <c r="K954" s="8"/>
      <c r="L954" s="8"/>
      <c r="M954" s="8"/>
      <c r="N954" s="8"/>
      <c r="O954" s="8"/>
      <c r="P954" s="8"/>
      <c r="Q954" s="8"/>
      <c r="R954" s="8"/>
      <c r="S954" s="8"/>
      <c r="T954" s="8"/>
      <c r="U954" s="8"/>
    </row>
    <row r="955" spans="1:21" ht="30" customHeight="1" x14ac:dyDescent="0.25">
      <c r="A955" s="8"/>
      <c r="B955" s="8"/>
      <c r="C955" s="8"/>
      <c r="D955" s="8"/>
      <c r="E955" s="224"/>
      <c r="F955" s="8"/>
      <c r="G955" s="8"/>
      <c r="H955" s="8"/>
      <c r="I955" s="8"/>
      <c r="J955" s="8"/>
      <c r="K955" s="8"/>
      <c r="L955" s="8"/>
      <c r="M955" s="8"/>
      <c r="N955" s="8"/>
      <c r="O955" s="8"/>
      <c r="P955" s="8"/>
      <c r="Q955" s="8"/>
      <c r="R955" s="8"/>
      <c r="S955" s="8"/>
      <c r="T955" s="8"/>
      <c r="U955" s="8"/>
    </row>
    <row r="956" spans="1:21" ht="30" customHeight="1" x14ac:dyDescent="0.25">
      <c r="A956" s="8"/>
      <c r="B956" s="8"/>
      <c r="C956" s="8"/>
      <c r="D956" s="8"/>
      <c r="E956" s="224"/>
      <c r="F956" s="8"/>
      <c r="G956" s="8"/>
      <c r="H956" s="8"/>
      <c r="I956" s="8"/>
      <c r="J956" s="8"/>
      <c r="K956" s="8"/>
      <c r="L956" s="8"/>
      <c r="M956" s="8"/>
      <c r="N956" s="8"/>
      <c r="O956" s="8"/>
      <c r="P956" s="8"/>
      <c r="Q956" s="8"/>
      <c r="R956" s="8"/>
      <c r="S956" s="8"/>
      <c r="T956" s="8"/>
      <c r="U956" s="8"/>
    </row>
    <row r="957" spans="1:21" ht="30" customHeight="1" x14ac:dyDescent="0.25">
      <c r="A957" s="8"/>
      <c r="B957" s="8"/>
      <c r="C957" s="8"/>
      <c r="D957" s="8"/>
      <c r="E957" s="224"/>
      <c r="F957" s="8"/>
      <c r="G957" s="8"/>
      <c r="H957" s="8"/>
      <c r="I957" s="8"/>
      <c r="J957" s="8"/>
      <c r="K957" s="8"/>
      <c r="L957" s="8"/>
      <c r="M957" s="8"/>
      <c r="N957" s="8"/>
      <c r="O957" s="8"/>
      <c r="P957" s="8"/>
      <c r="Q957" s="8"/>
      <c r="R957" s="8"/>
      <c r="S957" s="8"/>
      <c r="T957" s="8"/>
      <c r="U957" s="8"/>
    </row>
    <row r="958" spans="1:21" ht="30" customHeight="1" x14ac:dyDescent="0.25">
      <c r="A958" s="8"/>
      <c r="B958" s="8"/>
      <c r="C958" s="8"/>
      <c r="D958" s="8"/>
      <c r="E958" s="224"/>
      <c r="F958" s="8"/>
      <c r="G958" s="8"/>
      <c r="H958" s="8"/>
      <c r="I958" s="8"/>
      <c r="J958" s="8"/>
      <c r="K958" s="8"/>
      <c r="L958" s="8"/>
      <c r="M958" s="8"/>
      <c r="N958" s="8"/>
      <c r="O958" s="8"/>
      <c r="P958" s="8"/>
      <c r="Q958" s="8"/>
      <c r="R958" s="8"/>
      <c r="S958" s="8"/>
      <c r="T958" s="8"/>
      <c r="U958" s="8"/>
    </row>
    <row r="959" spans="1:21" ht="30" customHeight="1" x14ac:dyDescent="0.25">
      <c r="A959" s="8"/>
      <c r="B959" s="8"/>
      <c r="C959" s="8"/>
      <c r="D959" s="8"/>
      <c r="E959" s="224"/>
      <c r="F959" s="8"/>
      <c r="G959" s="8"/>
      <c r="H959" s="8"/>
      <c r="I959" s="8"/>
      <c r="J959" s="8"/>
      <c r="K959" s="8"/>
      <c r="L959" s="8"/>
      <c r="M959" s="8"/>
      <c r="N959" s="8"/>
      <c r="O959" s="8"/>
      <c r="P959" s="8"/>
      <c r="Q959" s="8"/>
      <c r="R959" s="8"/>
      <c r="S959" s="8"/>
      <c r="T959" s="8"/>
      <c r="U959" s="8"/>
    </row>
    <row r="960" spans="1:21" ht="30" customHeight="1" x14ac:dyDescent="0.25">
      <c r="A960" s="8"/>
      <c r="B960" s="8"/>
      <c r="C960" s="8"/>
      <c r="D960" s="8"/>
      <c r="E960" s="224"/>
      <c r="F960" s="8"/>
      <c r="G960" s="8"/>
      <c r="H960" s="8"/>
      <c r="I960" s="8"/>
      <c r="J960" s="8"/>
      <c r="K960" s="8"/>
      <c r="L960" s="8"/>
      <c r="M960" s="8"/>
      <c r="N960" s="8"/>
      <c r="O960" s="8"/>
      <c r="P960" s="8"/>
      <c r="Q960" s="8"/>
      <c r="R960" s="8"/>
      <c r="S960" s="8"/>
      <c r="T960" s="8"/>
      <c r="U960" s="8"/>
    </row>
    <row r="961" spans="1:21" ht="30" customHeight="1" x14ac:dyDescent="0.25">
      <c r="A961" s="8"/>
      <c r="B961" s="8"/>
      <c r="C961" s="8"/>
      <c r="D961" s="8"/>
      <c r="E961" s="224"/>
      <c r="F961" s="8"/>
      <c r="G961" s="8"/>
      <c r="H961" s="8"/>
      <c r="I961" s="8"/>
      <c r="J961" s="8"/>
      <c r="K961" s="8"/>
      <c r="L961" s="8"/>
      <c r="M961" s="8"/>
      <c r="N961" s="8"/>
      <c r="O961" s="8"/>
      <c r="P961" s="8"/>
      <c r="Q961" s="8"/>
      <c r="R961" s="8"/>
      <c r="S961" s="8"/>
      <c r="T961" s="8"/>
      <c r="U961" s="8"/>
    </row>
    <row r="962" spans="1:21" ht="30" customHeight="1" x14ac:dyDescent="0.25">
      <c r="A962" s="8"/>
      <c r="B962" s="8"/>
      <c r="C962" s="8"/>
      <c r="D962" s="8"/>
      <c r="E962" s="224"/>
      <c r="F962" s="8"/>
      <c r="G962" s="8"/>
      <c r="H962" s="8"/>
      <c r="I962" s="8"/>
      <c r="J962" s="8"/>
      <c r="K962" s="8"/>
      <c r="L962" s="8"/>
      <c r="M962" s="8"/>
      <c r="N962" s="8"/>
      <c r="O962" s="8"/>
      <c r="P962" s="8"/>
      <c r="Q962" s="8"/>
      <c r="R962" s="8"/>
      <c r="S962" s="8"/>
      <c r="T962" s="8"/>
      <c r="U962" s="8"/>
    </row>
    <row r="963" spans="1:21" ht="30" customHeight="1" x14ac:dyDescent="0.25">
      <c r="A963" s="8"/>
      <c r="B963" s="8"/>
      <c r="C963" s="8"/>
      <c r="D963" s="8"/>
      <c r="E963" s="224"/>
      <c r="F963" s="8"/>
      <c r="G963" s="8"/>
      <c r="H963" s="8"/>
      <c r="I963" s="8"/>
      <c r="J963" s="8"/>
      <c r="K963" s="8"/>
      <c r="L963" s="8"/>
      <c r="M963" s="8"/>
      <c r="N963" s="8"/>
      <c r="O963" s="8"/>
      <c r="P963" s="8"/>
      <c r="Q963" s="8"/>
      <c r="R963" s="8"/>
      <c r="S963" s="8"/>
      <c r="T963" s="8"/>
      <c r="U963" s="8"/>
    </row>
    <row r="964" spans="1:21" ht="30" customHeight="1" x14ac:dyDescent="0.25">
      <c r="A964" s="8"/>
      <c r="B964" s="8"/>
      <c r="C964" s="8"/>
      <c r="D964" s="8"/>
      <c r="E964" s="224"/>
      <c r="F964" s="8"/>
      <c r="G964" s="8"/>
      <c r="H964" s="8"/>
      <c r="I964" s="8"/>
      <c r="J964" s="8"/>
      <c r="K964" s="8"/>
      <c r="L964" s="8"/>
      <c r="M964" s="8"/>
      <c r="N964" s="8"/>
      <c r="O964" s="8"/>
      <c r="P964" s="8"/>
      <c r="Q964" s="8"/>
      <c r="R964" s="8"/>
      <c r="S964" s="8"/>
      <c r="T964" s="8"/>
      <c r="U964" s="8"/>
    </row>
    <row r="965" spans="1:21" ht="30" customHeight="1" x14ac:dyDescent="0.25">
      <c r="A965" s="8"/>
      <c r="B965" s="8"/>
      <c r="C965" s="8"/>
      <c r="D965" s="8"/>
      <c r="E965" s="224"/>
      <c r="F965" s="8"/>
      <c r="G965" s="8"/>
      <c r="H965" s="8"/>
      <c r="I965" s="8"/>
      <c r="J965" s="8"/>
      <c r="K965" s="8"/>
      <c r="L965" s="8"/>
      <c r="M965" s="8"/>
      <c r="N965" s="8"/>
      <c r="O965" s="8"/>
      <c r="P965" s="8"/>
      <c r="Q965" s="8"/>
      <c r="R965" s="8"/>
      <c r="S965" s="8"/>
      <c r="T965" s="8"/>
      <c r="U965" s="8"/>
    </row>
    <row r="966" spans="1:21" ht="30" customHeight="1" x14ac:dyDescent="0.25">
      <c r="A966" s="8"/>
      <c r="B966" s="8"/>
      <c r="C966" s="8"/>
      <c r="D966" s="8"/>
      <c r="E966" s="224"/>
      <c r="F966" s="8"/>
      <c r="G966" s="8"/>
      <c r="H966" s="8"/>
      <c r="I966" s="8"/>
      <c r="J966" s="8"/>
      <c r="K966" s="8"/>
      <c r="L966" s="8"/>
      <c r="M966" s="8"/>
      <c r="N966" s="8"/>
      <c r="O966" s="8"/>
      <c r="P966" s="8"/>
      <c r="Q966" s="8"/>
      <c r="R966" s="8"/>
      <c r="S966" s="8"/>
      <c r="T966" s="8"/>
      <c r="U966" s="8"/>
    </row>
    <row r="967" spans="1:21" ht="30" customHeight="1" x14ac:dyDescent="0.25">
      <c r="A967" s="8"/>
      <c r="B967" s="8"/>
      <c r="C967" s="8"/>
      <c r="D967" s="8"/>
      <c r="E967" s="224"/>
      <c r="F967" s="8"/>
      <c r="G967" s="8"/>
      <c r="H967" s="8"/>
      <c r="I967" s="8"/>
      <c r="J967" s="8"/>
      <c r="K967" s="8"/>
      <c r="L967" s="8"/>
      <c r="M967" s="8"/>
      <c r="N967" s="8"/>
      <c r="O967" s="8"/>
      <c r="P967" s="8"/>
      <c r="Q967" s="8"/>
      <c r="R967" s="8"/>
      <c r="S967" s="8"/>
      <c r="T967" s="8"/>
      <c r="U967" s="8"/>
    </row>
    <row r="968" spans="1:21" ht="30" customHeight="1" x14ac:dyDescent="0.25">
      <c r="A968" s="8"/>
      <c r="B968" s="8"/>
      <c r="C968" s="8"/>
      <c r="D968" s="8"/>
      <c r="E968" s="224"/>
      <c r="F968" s="8"/>
      <c r="G968" s="8"/>
      <c r="H968" s="8"/>
      <c r="I968" s="8"/>
      <c r="J968" s="8"/>
      <c r="K968" s="8"/>
      <c r="L968" s="8"/>
      <c r="M968" s="8"/>
      <c r="N968" s="8"/>
      <c r="O968" s="8"/>
      <c r="P968" s="8"/>
      <c r="Q968" s="8"/>
      <c r="R968" s="8"/>
      <c r="S968" s="8"/>
      <c r="T968" s="8"/>
      <c r="U968" s="8"/>
    </row>
    <row r="969" spans="1:21" ht="30" customHeight="1" x14ac:dyDescent="0.25">
      <c r="A969" s="8"/>
      <c r="B969" s="8"/>
      <c r="C969" s="8"/>
      <c r="D969" s="8"/>
      <c r="E969" s="224"/>
      <c r="F969" s="8"/>
      <c r="G969" s="8"/>
      <c r="H969" s="8"/>
      <c r="I969" s="8"/>
      <c r="J969" s="8"/>
      <c r="K969" s="8"/>
      <c r="L969" s="8"/>
      <c r="M969" s="8"/>
      <c r="N969" s="8"/>
      <c r="O969" s="8"/>
      <c r="P969" s="8"/>
      <c r="Q969" s="8"/>
      <c r="R969" s="8"/>
      <c r="S969" s="8"/>
      <c r="T969" s="8"/>
      <c r="U969" s="8"/>
    </row>
    <row r="970" spans="1:21" ht="30" customHeight="1" x14ac:dyDescent="0.25">
      <c r="A970" s="8"/>
      <c r="B970" s="8"/>
      <c r="C970" s="8"/>
      <c r="D970" s="8"/>
      <c r="E970" s="224"/>
      <c r="F970" s="8"/>
      <c r="G970" s="8"/>
      <c r="H970" s="8"/>
      <c r="I970" s="8"/>
      <c r="J970" s="8"/>
      <c r="K970" s="8"/>
      <c r="L970" s="8"/>
      <c r="M970" s="8"/>
      <c r="N970" s="8"/>
      <c r="O970" s="8"/>
      <c r="P970" s="8"/>
      <c r="Q970" s="8"/>
      <c r="R970" s="8"/>
      <c r="S970" s="8"/>
      <c r="T970" s="8"/>
      <c r="U970" s="8"/>
    </row>
    <row r="971" spans="1:21" ht="30" customHeight="1" x14ac:dyDescent="0.25">
      <c r="A971" s="8"/>
      <c r="B971" s="8"/>
      <c r="C971" s="8"/>
      <c r="D971" s="8"/>
      <c r="E971" s="224"/>
      <c r="F971" s="8"/>
      <c r="G971" s="8"/>
      <c r="H971" s="8"/>
      <c r="I971" s="8"/>
      <c r="J971" s="8"/>
      <c r="K971" s="8"/>
      <c r="L971" s="8"/>
      <c r="M971" s="8"/>
      <c r="N971" s="8"/>
      <c r="O971" s="8"/>
      <c r="P971" s="8"/>
      <c r="Q971" s="8"/>
      <c r="R971" s="8"/>
      <c r="S971" s="8"/>
      <c r="T971" s="8"/>
      <c r="U971" s="8"/>
    </row>
    <row r="972" spans="1:21" ht="30" customHeight="1" x14ac:dyDescent="0.25">
      <c r="A972" s="8"/>
      <c r="B972" s="8"/>
      <c r="C972" s="8"/>
      <c r="D972" s="8"/>
      <c r="E972" s="224"/>
      <c r="F972" s="8"/>
      <c r="G972" s="8"/>
      <c r="H972" s="8"/>
      <c r="I972" s="8"/>
      <c r="J972" s="8"/>
      <c r="K972" s="8"/>
      <c r="L972" s="8"/>
      <c r="M972" s="8"/>
      <c r="N972" s="8"/>
      <c r="O972" s="8"/>
      <c r="P972" s="8"/>
      <c r="Q972" s="8"/>
      <c r="R972" s="8"/>
      <c r="S972" s="8"/>
      <c r="T972" s="8"/>
      <c r="U972" s="8"/>
    </row>
    <row r="973" spans="1:21" ht="30" customHeight="1" x14ac:dyDescent="0.25">
      <c r="A973" s="8"/>
      <c r="B973" s="8"/>
      <c r="C973" s="8"/>
      <c r="D973" s="8"/>
      <c r="E973" s="224"/>
      <c r="F973" s="8"/>
      <c r="G973" s="8"/>
      <c r="H973" s="8"/>
      <c r="I973" s="8"/>
      <c r="J973" s="8"/>
      <c r="K973" s="8"/>
      <c r="L973" s="8"/>
      <c r="M973" s="8"/>
      <c r="N973" s="8"/>
      <c r="O973" s="8"/>
      <c r="P973" s="8"/>
      <c r="Q973" s="8"/>
      <c r="R973" s="8"/>
      <c r="S973" s="8"/>
      <c r="T973" s="8"/>
      <c r="U973" s="8"/>
    </row>
    <row r="974" spans="1:21" ht="30" customHeight="1" x14ac:dyDescent="0.25">
      <c r="A974" s="8"/>
      <c r="B974" s="8"/>
      <c r="C974" s="8"/>
      <c r="D974" s="8"/>
      <c r="E974" s="224"/>
      <c r="F974" s="8"/>
      <c r="G974" s="8"/>
      <c r="H974" s="8"/>
      <c r="I974" s="8"/>
      <c r="J974" s="8"/>
      <c r="K974" s="8"/>
      <c r="L974" s="8"/>
      <c r="M974" s="8"/>
      <c r="N974" s="8"/>
      <c r="O974" s="8"/>
      <c r="P974" s="8"/>
      <c r="Q974" s="8"/>
      <c r="R974" s="8"/>
      <c r="S974" s="8"/>
      <c r="T974" s="8"/>
      <c r="U974" s="8"/>
    </row>
    <row r="975" spans="1:21" ht="30" customHeight="1" x14ac:dyDescent="0.25">
      <c r="A975" s="8"/>
      <c r="B975" s="8"/>
      <c r="C975" s="8"/>
      <c r="D975" s="8"/>
      <c r="E975" s="224"/>
      <c r="F975" s="8"/>
      <c r="G975" s="8"/>
      <c r="H975" s="8"/>
      <c r="I975" s="8"/>
      <c r="J975" s="8"/>
      <c r="K975" s="8"/>
      <c r="L975" s="8"/>
      <c r="M975" s="8"/>
      <c r="N975" s="8"/>
      <c r="O975" s="8"/>
      <c r="P975" s="8"/>
      <c r="Q975" s="8"/>
      <c r="R975" s="8"/>
      <c r="S975" s="8"/>
      <c r="T975" s="8"/>
      <c r="U975" s="8"/>
    </row>
    <row r="976" spans="1:21" ht="30" customHeight="1" x14ac:dyDescent="0.25">
      <c r="A976" s="8"/>
      <c r="B976" s="8"/>
      <c r="C976" s="8"/>
      <c r="D976" s="8"/>
      <c r="E976" s="224"/>
      <c r="F976" s="8"/>
      <c r="G976" s="8"/>
      <c r="H976" s="8"/>
      <c r="I976" s="8"/>
      <c r="J976" s="8"/>
      <c r="K976" s="8"/>
      <c r="L976" s="8"/>
      <c r="M976" s="8"/>
      <c r="N976" s="8"/>
      <c r="O976" s="8"/>
      <c r="P976" s="8"/>
      <c r="Q976" s="8"/>
      <c r="R976" s="8"/>
      <c r="S976" s="8"/>
      <c r="T976" s="8"/>
      <c r="U976" s="8"/>
    </row>
    <row r="977" spans="1:21" ht="30" customHeight="1" x14ac:dyDescent="0.25">
      <c r="A977" s="8"/>
      <c r="B977" s="8"/>
      <c r="C977" s="8"/>
      <c r="D977" s="8"/>
      <c r="E977" s="224"/>
      <c r="F977" s="8"/>
      <c r="G977" s="8"/>
      <c r="H977" s="8"/>
      <c r="I977" s="8"/>
      <c r="J977" s="8"/>
      <c r="K977" s="8"/>
      <c r="L977" s="8"/>
      <c r="M977" s="8"/>
      <c r="N977" s="8"/>
      <c r="O977" s="8"/>
      <c r="P977" s="8"/>
      <c r="Q977" s="8"/>
      <c r="R977" s="8"/>
      <c r="S977" s="8"/>
      <c r="T977" s="8"/>
      <c r="U977" s="8"/>
    </row>
    <row r="978" spans="1:21" ht="30" customHeight="1" x14ac:dyDescent="0.25">
      <c r="A978" s="8"/>
      <c r="B978" s="8"/>
      <c r="C978" s="8"/>
      <c r="D978" s="8"/>
      <c r="E978" s="224"/>
      <c r="F978" s="8"/>
      <c r="G978" s="8"/>
      <c r="H978" s="8"/>
      <c r="I978" s="8"/>
      <c r="J978" s="8"/>
      <c r="K978" s="8"/>
      <c r="L978" s="8"/>
      <c r="M978" s="8"/>
      <c r="N978" s="8"/>
      <c r="O978" s="8"/>
      <c r="P978" s="8"/>
      <c r="Q978" s="8"/>
      <c r="R978" s="8"/>
      <c r="S978" s="8"/>
      <c r="T978" s="8"/>
      <c r="U978" s="8"/>
    </row>
    <row r="979" spans="1:21" ht="30" customHeight="1" x14ac:dyDescent="0.25">
      <c r="A979" s="8"/>
      <c r="B979" s="8"/>
      <c r="C979" s="8"/>
      <c r="D979" s="8"/>
      <c r="E979" s="224"/>
      <c r="F979" s="8"/>
      <c r="G979" s="8"/>
      <c r="H979" s="8"/>
      <c r="I979" s="8"/>
      <c r="J979" s="8"/>
      <c r="K979" s="8"/>
      <c r="L979" s="8"/>
      <c r="M979" s="8"/>
      <c r="N979" s="8"/>
      <c r="O979" s="8"/>
      <c r="P979" s="8"/>
      <c r="Q979" s="8"/>
      <c r="R979" s="8"/>
      <c r="S979" s="8"/>
      <c r="T979" s="8"/>
      <c r="U979" s="8"/>
    </row>
    <row r="980" spans="1:21" ht="30" customHeight="1" x14ac:dyDescent="0.25">
      <c r="A980" s="8"/>
      <c r="B980" s="8"/>
      <c r="C980" s="8"/>
      <c r="D980" s="8"/>
      <c r="E980" s="224"/>
      <c r="F980" s="8"/>
      <c r="G980" s="8"/>
      <c r="H980" s="8"/>
      <c r="I980" s="8"/>
      <c r="J980" s="8"/>
      <c r="K980" s="8"/>
      <c r="L980" s="8"/>
      <c r="M980" s="8"/>
      <c r="N980" s="8"/>
      <c r="O980" s="8"/>
      <c r="P980" s="8"/>
      <c r="Q980" s="8"/>
      <c r="R980" s="8"/>
      <c r="S980" s="8"/>
      <c r="T980" s="8"/>
      <c r="U980" s="8"/>
    </row>
    <row r="981" spans="1:21" ht="30" customHeight="1" x14ac:dyDescent="0.25">
      <c r="A981" s="8"/>
      <c r="B981" s="8"/>
      <c r="C981" s="8"/>
      <c r="D981" s="8"/>
      <c r="E981" s="224"/>
      <c r="F981" s="8"/>
      <c r="G981" s="8"/>
      <c r="H981" s="8"/>
      <c r="I981" s="8"/>
      <c r="J981" s="8"/>
      <c r="K981" s="8"/>
      <c r="L981" s="8"/>
      <c r="M981" s="8"/>
      <c r="N981" s="8"/>
      <c r="O981" s="8"/>
      <c r="P981" s="8"/>
      <c r="Q981" s="8"/>
      <c r="R981" s="8"/>
      <c r="S981" s="8"/>
      <c r="T981" s="8"/>
      <c r="U981" s="8"/>
    </row>
    <row r="982" spans="1:21" ht="30" customHeight="1" x14ac:dyDescent="0.25">
      <c r="A982" s="8"/>
      <c r="B982" s="8"/>
      <c r="C982" s="8"/>
      <c r="D982" s="8"/>
      <c r="E982" s="224"/>
      <c r="F982" s="8"/>
      <c r="G982" s="8"/>
      <c r="H982" s="8"/>
      <c r="I982" s="8"/>
      <c r="J982" s="8"/>
      <c r="K982" s="8"/>
      <c r="L982" s="8"/>
      <c r="M982" s="8"/>
      <c r="N982" s="8"/>
      <c r="O982" s="8"/>
      <c r="P982" s="8"/>
      <c r="Q982" s="8"/>
      <c r="R982" s="8"/>
      <c r="S982" s="8"/>
      <c r="T982" s="8"/>
      <c r="U982" s="8"/>
    </row>
    <row r="983" spans="1:21" ht="30" customHeight="1" x14ac:dyDescent="0.25">
      <c r="A983" s="8"/>
      <c r="B983" s="8"/>
      <c r="C983" s="8"/>
      <c r="D983" s="8"/>
      <c r="E983" s="224"/>
      <c r="F983" s="8"/>
      <c r="G983" s="8"/>
      <c r="H983" s="8"/>
      <c r="I983" s="8"/>
      <c r="J983" s="8"/>
      <c r="K983" s="8"/>
      <c r="L983" s="8"/>
      <c r="M983" s="8"/>
      <c r="N983" s="8"/>
      <c r="O983" s="8"/>
      <c r="P983" s="8"/>
      <c r="Q983" s="8"/>
      <c r="R983" s="8"/>
      <c r="S983" s="8"/>
      <c r="T983" s="8"/>
      <c r="U983" s="8"/>
    </row>
    <row r="984" spans="1:21" ht="30" customHeight="1" x14ac:dyDescent="0.25">
      <c r="A984" s="8"/>
      <c r="B984" s="8"/>
      <c r="C984" s="8"/>
      <c r="D984" s="8"/>
      <c r="E984" s="224"/>
      <c r="F984" s="8"/>
      <c r="G984" s="8"/>
      <c r="H984" s="8"/>
      <c r="I984" s="8"/>
      <c r="J984" s="8"/>
      <c r="K984" s="8"/>
      <c r="L984" s="8"/>
      <c r="M984" s="8"/>
      <c r="N984" s="8"/>
      <c r="O984" s="8"/>
      <c r="P984" s="8"/>
      <c r="Q984" s="8"/>
      <c r="R984" s="8"/>
      <c r="S984" s="8"/>
      <c r="T984" s="8"/>
      <c r="U984" s="8"/>
    </row>
    <row r="985" spans="1:21" ht="30" customHeight="1" x14ac:dyDescent="0.25">
      <c r="A985" s="8"/>
      <c r="B985" s="8"/>
      <c r="C985" s="8"/>
      <c r="D985" s="8"/>
      <c r="E985" s="224"/>
      <c r="F985" s="8"/>
      <c r="G985" s="8"/>
      <c r="H985" s="8"/>
      <c r="I985" s="8"/>
      <c r="J985" s="8"/>
      <c r="K985" s="8"/>
      <c r="L985" s="8"/>
      <c r="M985" s="8"/>
      <c r="N985" s="8"/>
      <c r="O985" s="8"/>
      <c r="P985" s="8"/>
      <c r="Q985" s="8"/>
      <c r="R985" s="8"/>
      <c r="S985" s="8"/>
      <c r="T985" s="8"/>
      <c r="U985" s="8"/>
    </row>
    <row r="986" spans="1:21" ht="30" customHeight="1" x14ac:dyDescent="0.25">
      <c r="A986" s="8"/>
      <c r="B986" s="8"/>
      <c r="C986" s="8"/>
      <c r="D986" s="8"/>
      <c r="E986" s="224"/>
      <c r="F986" s="8"/>
      <c r="G986" s="8"/>
      <c r="H986" s="8"/>
      <c r="I986" s="8"/>
      <c r="J986" s="8"/>
      <c r="K986" s="8"/>
      <c r="L986" s="8"/>
      <c r="M986" s="8"/>
      <c r="N986" s="8"/>
      <c r="O986" s="8"/>
      <c r="P986" s="8"/>
      <c r="Q986" s="8"/>
      <c r="R986" s="8"/>
      <c r="S986" s="8"/>
      <c r="T986" s="8"/>
      <c r="U986" s="8"/>
    </row>
    <row r="987" spans="1:21" ht="30" customHeight="1" x14ac:dyDescent="0.25">
      <c r="A987" s="8"/>
      <c r="B987" s="8"/>
      <c r="C987" s="8"/>
      <c r="D987" s="8"/>
      <c r="E987" s="224"/>
      <c r="F987" s="8"/>
      <c r="G987" s="8"/>
      <c r="H987" s="8"/>
      <c r="I987" s="8"/>
      <c r="J987" s="8"/>
      <c r="K987" s="8"/>
      <c r="L987" s="8"/>
      <c r="M987" s="8"/>
      <c r="N987" s="8"/>
      <c r="O987" s="8"/>
      <c r="P987" s="8"/>
      <c r="Q987" s="8"/>
      <c r="R987" s="8"/>
      <c r="S987" s="8"/>
      <c r="T987" s="8"/>
      <c r="U987" s="8"/>
    </row>
    <row r="988" spans="1:21" ht="30" customHeight="1" x14ac:dyDescent="0.25">
      <c r="A988" s="8"/>
      <c r="B988" s="8"/>
      <c r="C988" s="8"/>
      <c r="D988" s="8"/>
      <c r="E988" s="224"/>
      <c r="F988" s="8"/>
      <c r="G988" s="8"/>
      <c r="H988" s="8"/>
      <c r="I988" s="8"/>
      <c r="J988" s="8"/>
      <c r="K988" s="8"/>
      <c r="L988" s="8"/>
      <c r="M988" s="8"/>
      <c r="N988" s="8"/>
      <c r="O988" s="8"/>
      <c r="P988" s="8"/>
      <c r="Q988" s="8"/>
      <c r="R988" s="8"/>
      <c r="S988" s="8"/>
      <c r="T988" s="8"/>
      <c r="U988" s="8"/>
    </row>
    <row r="989" spans="1:21" ht="30" customHeight="1" x14ac:dyDescent="0.25">
      <c r="A989" s="8"/>
      <c r="B989" s="8"/>
      <c r="C989" s="8"/>
      <c r="D989" s="8"/>
      <c r="E989" s="224"/>
      <c r="F989" s="8"/>
      <c r="G989" s="8"/>
      <c r="H989" s="8"/>
      <c r="I989" s="8"/>
      <c r="J989" s="8"/>
      <c r="K989" s="8"/>
      <c r="L989" s="8"/>
      <c r="M989" s="8"/>
      <c r="N989" s="8"/>
      <c r="O989" s="8"/>
      <c r="P989" s="8"/>
      <c r="Q989" s="8"/>
      <c r="R989" s="8"/>
      <c r="S989" s="8"/>
      <c r="T989" s="8"/>
      <c r="U989" s="8"/>
    </row>
    <row r="990" spans="1:21" ht="30" customHeight="1" x14ac:dyDescent="0.25">
      <c r="A990" s="8"/>
      <c r="B990" s="8"/>
      <c r="C990" s="8"/>
      <c r="D990" s="8"/>
      <c r="E990" s="224"/>
      <c r="F990" s="8"/>
      <c r="G990" s="8"/>
      <c r="H990" s="8"/>
      <c r="I990" s="8"/>
      <c r="J990" s="8"/>
      <c r="K990" s="8"/>
      <c r="L990" s="8"/>
      <c r="M990" s="8"/>
      <c r="N990" s="8"/>
      <c r="O990" s="8"/>
      <c r="P990" s="8"/>
      <c r="Q990" s="8"/>
      <c r="R990" s="8"/>
      <c r="S990" s="8"/>
      <c r="T990" s="8"/>
      <c r="U990" s="8"/>
    </row>
    <row r="991" spans="1:21" ht="30" customHeight="1" x14ac:dyDescent="0.25">
      <c r="A991" s="8"/>
      <c r="B991" s="8"/>
      <c r="C991" s="8"/>
      <c r="D991" s="8"/>
      <c r="E991" s="224"/>
      <c r="F991" s="8"/>
      <c r="G991" s="8"/>
      <c r="H991" s="8"/>
      <c r="I991" s="8"/>
      <c r="J991" s="8"/>
      <c r="K991" s="8"/>
      <c r="L991" s="8"/>
      <c r="M991" s="8"/>
      <c r="N991" s="8"/>
      <c r="O991" s="8"/>
      <c r="P991" s="8"/>
      <c r="Q991" s="8"/>
      <c r="R991" s="8"/>
      <c r="S991" s="8"/>
      <c r="T991" s="8"/>
      <c r="U991" s="8"/>
    </row>
    <row r="992" spans="1:21" ht="30" customHeight="1" x14ac:dyDescent="0.25">
      <c r="A992" s="8"/>
      <c r="B992" s="8"/>
      <c r="C992" s="8"/>
      <c r="D992" s="8"/>
      <c r="E992" s="224"/>
      <c r="F992" s="8"/>
      <c r="G992" s="8"/>
      <c r="H992" s="8"/>
      <c r="I992" s="8"/>
      <c r="J992" s="8"/>
      <c r="K992" s="8"/>
      <c r="L992" s="8"/>
      <c r="M992" s="8"/>
      <c r="N992" s="8"/>
      <c r="O992" s="8"/>
      <c r="P992" s="8"/>
      <c r="Q992" s="8"/>
      <c r="R992" s="8"/>
      <c r="S992" s="8"/>
      <c r="T992" s="8"/>
      <c r="U992" s="8"/>
    </row>
    <row r="993" spans="1:21" ht="30" customHeight="1" x14ac:dyDescent="0.25">
      <c r="A993" s="8"/>
      <c r="B993" s="8"/>
      <c r="C993" s="8"/>
      <c r="D993" s="8"/>
      <c r="E993" s="224"/>
      <c r="F993" s="8"/>
      <c r="G993" s="8"/>
      <c r="H993" s="8"/>
      <c r="I993" s="8"/>
      <c r="J993" s="8"/>
      <c r="K993" s="8"/>
      <c r="L993" s="8"/>
      <c r="M993" s="8"/>
      <c r="N993" s="8"/>
      <c r="O993" s="8"/>
      <c r="P993" s="8"/>
      <c r="Q993" s="8"/>
      <c r="R993" s="8"/>
      <c r="S993" s="8"/>
      <c r="T993" s="8"/>
      <c r="U993" s="8"/>
    </row>
    <row r="994" spans="1:21" ht="30" customHeight="1" x14ac:dyDescent="0.25">
      <c r="A994" s="8"/>
      <c r="B994" s="8"/>
      <c r="C994" s="8"/>
      <c r="D994" s="8"/>
      <c r="E994" s="224"/>
      <c r="F994" s="8"/>
      <c r="G994" s="8"/>
      <c r="H994" s="8"/>
      <c r="I994" s="8"/>
      <c r="J994" s="8"/>
      <c r="K994" s="8"/>
      <c r="L994" s="8"/>
      <c r="M994" s="8"/>
      <c r="N994" s="8"/>
      <c r="O994" s="8"/>
      <c r="P994" s="8"/>
      <c r="Q994" s="8"/>
      <c r="R994" s="8"/>
      <c r="S994" s="8"/>
      <c r="T994" s="8"/>
      <c r="U994" s="8"/>
    </row>
    <row r="995" spans="1:21" ht="30" customHeight="1" x14ac:dyDescent="0.25">
      <c r="A995" s="8"/>
      <c r="B995" s="8"/>
      <c r="C995" s="8"/>
      <c r="D995" s="8"/>
      <c r="E995" s="224"/>
      <c r="F995" s="8"/>
      <c r="G995" s="8"/>
      <c r="H995" s="8"/>
      <c r="I995" s="8"/>
      <c r="J995" s="8"/>
      <c r="K995" s="8"/>
      <c r="L995" s="8"/>
      <c r="M995" s="8"/>
      <c r="N995" s="8"/>
      <c r="O995" s="8"/>
      <c r="P995" s="8"/>
      <c r="Q995" s="8"/>
      <c r="R995" s="8"/>
      <c r="S995" s="8"/>
      <c r="T995" s="8"/>
      <c r="U995" s="8"/>
    </row>
    <row r="996" spans="1:21" ht="30" customHeight="1" x14ac:dyDescent="0.25">
      <c r="A996" s="8"/>
      <c r="B996" s="8"/>
      <c r="C996" s="8"/>
      <c r="D996" s="8"/>
      <c r="E996" s="224"/>
      <c r="F996" s="8"/>
      <c r="G996" s="8"/>
      <c r="H996" s="8"/>
      <c r="I996" s="8"/>
      <c r="J996" s="8"/>
      <c r="K996" s="8"/>
      <c r="L996" s="8"/>
      <c r="M996" s="8"/>
      <c r="N996" s="8"/>
      <c r="O996" s="8"/>
      <c r="P996" s="8"/>
      <c r="Q996" s="8"/>
      <c r="R996" s="8"/>
      <c r="S996" s="8"/>
      <c r="T996" s="8"/>
      <c r="U996" s="8"/>
    </row>
    <row r="997" spans="1:21" ht="30" customHeight="1" x14ac:dyDescent="0.25">
      <c r="A997" s="8"/>
      <c r="B997" s="8"/>
      <c r="C997" s="8"/>
      <c r="D997" s="8"/>
      <c r="E997" s="224"/>
      <c r="F997" s="8"/>
      <c r="G997" s="8"/>
      <c r="H997" s="8"/>
      <c r="I997" s="8"/>
      <c r="J997" s="8"/>
      <c r="K997" s="8"/>
      <c r="L997" s="8"/>
      <c r="M997" s="8"/>
      <c r="N997" s="8"/>
      <c r="O997" s="8"/>
      <c r="P997" s="8"/>
      <c r="Q997" s="8"/>
      <c r="R997" s="8"/>
      <c r="S997" s="8"/>
      <c r="T997" s="8"/>
      <c r="U997" s="8"/>
    </row>
    <row r="998" spans="1:21" ht="30" customHeight="1" x14ac:dyDescent="0.25">
      <c r="A998" s="8"/>
      <c r="B998" s="8"/>
      <c r="C998" s="8"/>
      <c r="D998" s="8"/>
      <c r="E998" s="224"/>
      <c r="F998" s="8"/>
      <c r="G998" s="8"/>
      <c r="H998" s="8"/>
      <c r="I998" s="8"/>
      <c r="J998" s="8"/>
      <c r="K998" s="8"/>
      <c r="L998" s="8"/>
      <c r="M998" s="8"/>
      <c r="N998" s="8"/>
      <c r="O998" s="8"/>
      <c r="P998" s="8"/>
      <c r="Q998" s="8"/>
      <c r="R998" s="8"/>
      <c r="S998" s="8"/>
      <c r="T998" s="8"/>
      <c r="U998" s="8"/>
    </row>
    <row r="999" spans="1:21" ht="30" customHeight="1" x14ac:dyDescent="0.25">
      <c r="A999" s="8"/>
      <c r="B999" s="8"/>
      <c r="C999" s="8"/>
      <c r="D999" s="8"/>
      <c r="E999" s="224"/>
      <c r="F999" s="8"/>
      <c r="G999" s="8"/>
      <c r="H999" s="8"/>
      <c r="I999" s="8"/>
      <c r="J999" s="8"/>
      <c r="K999" s="8"/>
      <c r="L999" s="8"/>
      <c r="M999" s="8"/>
      <c r="N999" s="8"/>
      <c r="O999" s="8"/>
      <c r="P999" s="8"/>
      <c r="Q999" s="8"/>
      <c r="R999" s="8"/>
      <c r="S999" s="8"/>
      <c r="T999" s="8"/>
      <c r="U999" s="8"/>
    </row>
  </sheetData>
  <mergeCells count="80">
    <mergeCell ref="E52:E53"/>
    <mergeCell ref="E54:E55"/>
    <mergeCell ref="E56:E57"/>
    <mergeCell ref="E58:E59"/>
    <mergeCell ref="E60:E61"/>
    <mergeCell ref="E30:E31"/>
    <mergeCell ref="E32:E33"/>
    <mergeCell ref="E40:E41"/>
    <mergeCell ref="E45:E46"/>
    <mergeCell ref="E47:E48"/>
    <mergeCell ref="E17:E18"/>
    <mergeCell ref="E19:E20"/>
    <mergeCell ref="E24:E25"/>
    <mergeCell ref="E26:E27"/>
    <mergeCell ref="E28:E29"/>
    <mergeCell ref="E5:E6"/>
    <mergeCell ref="E7:E8"/>
    <mergeCell ref="E9:E10"/>
    <mergeCell ref="E11:E12"/>
    <mergeCell ref="E13:E14"/>
    <mergeCell ref="C32:C33"/>
    <mergeCell ref="D32:D33"/>
    <mergeCell ref="B28:B29"/>
    <mergeCell ref="C28:C29"/>
    <mergeCell ref="D28:D29"/>
    <mergeCell ref="B30:B31"/>
    <mergeCell ref="C30:C31"/>
    <mergeCell ref="D30:D31"/>
    <mergeCell ref="B32:B33"/>
    <mergeCell ref="C47:C48"/>
    <mergeCell ref="D47:D48"/>
    <mergeCell ref="B40:B41"/>
    <mergeCell ref="C40:C41"/>
    <mergeCell ref="D40:D41"/>
    <mergeCell ref="B45:B46"/>
    <mergeCell ref="C45:C46"/>
    <mergeCell ref="D45:D46"/>
    <mergeCell ref="B47:B48"/>
    <mergeCell ref="C56:C57"/>
    <mergeCell ref="D56:D57"/>
    <mergeCell ref="B52:B53"/>
    <mergeCell ref="C52:C53"/>
    <mergeCell ref="D52:D53"/>
    <mergeCell ref="B54:B55"/>
    <mergeCell ref="C54:C55"/>
    <mergeCell ref="D54:D55"/>
    <mergeCell ref="B56:B57"/>
    <mergeCell ref="C9:C10"/>
    <mergeCell ref="D9:D10"/>
    <mergeCell ref="B5:B6"/>
    <mergeCell ref="C5:C6"/>
    <mergeCell ref="D5:D6"/>
    <mergeCell ref="B7:B8"/>
    <mergeCell ref="C7:C8"/>
    <mergeCell ref="D7:D8"/>
    <mergeCell ref="B9:B10"/>
    <mergeCell ref="C17:C18"/>
    <mergeCell ref="D17:D18"/>
    <mergeCell ref="B11:B12"/>
    <mergeCell ref="C11:C12"/>
    <mergeCell ref="D11:D12"/>
    <mergeCell ref="B13:B14"/>
    <mergeCell ref="C13:C14"/>
    <mergeCell ref="D13:D14"/>
    <mergeCell ref="B17:B18"/>
    <mergeCell ref="C26:C27"/>
    <mergeCell ref="D26:D27"/>
    <mergeCell ref="B19:B20"/>
    <mergeCell ref="C19:C20"/>
    <mergeCell ref="D19:D20"/>
    <mergeCell ref="B24:B25"/>
    <mergeCell ref="C24:C25"/>
    <mergeCell ref="D24:D25"/>
    <mergeCell ref="B26:B27"/>
    <mergeCell ref="B58:B59"/>
    <mergeCell ref="C58:C59"/>
    <mergeCell ref="D58:D59"/>
    <mergeCell ref="B60:B61"/>
    <mergeCell ref="C60:C61"/>
    <mergeCell ref="D60:D61"/>
  </mergeCells>
  <pageMargins left="0.7" right="0.7" top="0.75" bottom="0.75" header="0" footer="0"/>
  <pageSetup paperSize="9" scale="48" orientation="portrait" r:id="rId1"/>
  <colBreaks count="1" manualBreakCount="1">
    <brk id="1" max="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68"/>
  <sheetViews>
    <sheetView zoomScale="90" zoomScaleNormal="90" workbookViewId="0">
      <selection activeCell="J3" sqref="J3"/>
    </sheetView>
  </sheetViews>
  <sheetFormatPr baseColWidth="10" defaultRowHeight="15" x14ac:dyDescent="0.25"/>
  <cols>
    <col min="2" max="2" width="21.85546875" customWidth="1"/>
    <col min="3" max="3" width="20.85546875" customWidth="1"/>
    <col min="4" max="4" width="17.7109375" customWidth="1"/>
    <col min="5" max="5" width="15.42578125" customWidth="1"/>
    <col min="10" max="10" width="23.28515625" customWidth="1"/>
    <col min="11" max="11" width="31.28515625" customWidth="1"/>
    <col min="12" max="12" width="37.42578125" customWidth="1"/>
  </cols>
  <sheetData>
    <row r="1" spans="2:12" ht="25.5" x14ac:dyDescent="0.4">
      <c r="B1" s="1307" t="s">
        <v>1461</v>
      </c>
      <c r="C1" s="1307"/>
    </row>
    <row r="3" spans="2:12" ht="45.75" thickBot="1" x14ac:dyDescent="0.3">
      <c r="B3" s="558" t="s">
        <v>729</v>
      </c>
      <c r="C3" s="558" t="s">
        <v>730</v>
      </c>
      <c r="D3" s="558" t="s">
        <v>731</v>
      </c>
      <c r="E3" s="558" t="s">
        <v>733</v>
      </c>
      <c r="J3" s="251" t="s">
        <v>604</v>
      </c>
      <c r="K3" s="252" t="s">
        <v>1343</v>
      </c>
      <c r="L3" s="252" t="s">
        <v>1344</v>
      </c>
    </row>
    <row r="4" spans="2:12" ht="16.5" thickTop="1" thickBot="1" x14ac:dyDescent="0.3">
      <c r="B4" s="559">
        <v>44592327330</v>
      </c>
      <c r="C4" s="559">
        <v>20053352565</v>
      </c>
      <c r="D4" s="559">
        <v>5919533602</v>
      </c>
      <c r="E4" s="559">
        <v>5592682158</v>
      </c>
      <c r="G4" s="779">
        <f>C4/B4</f>
        <v>0.44970410305337161</v>
      </c>
      <c r="J4" s="1186">
        <v>0.62993776899749365</v>
      </c>
      <c r="K4" s="1186">
        <v>0.29571120449523308</v>
      </c>
      <c r="L4" s="1186">
        <v>5.1714228547308255E-2</v>
      </c>
    </row>
    <row r="5" spans="2:12" ht="15.75" thickTop="1" x14ac:dyDescent="0.25"/>
    <row r="12" spans="2:12" x14ac:dyDescent="0.25">
      <c r="G12" s="556"/>
    </row>
    <row r="13" spans="2:12" x14ac:dyDescent="0.25">
      <c r="G13" s="557"/>
    </row>
    <row r="23" spans="7:7" x14ac:dyDescent="0.25">
      <c r="G23" s="779">
        <f>E4/C4</f>
        <v>0.27889013270335428</v>
      </c>
    </row>
    <row r="40" spans="2:8" ht="24.75" x14ac:dyDescent="0.5">
      <c r="B40" s="1306" t="s">
        <v>1462</v>
      </c>
      <c r="C40" s="1306"/>
    </row>
    <row r="41" spans="2:8" x14ac:dyDescent="0.25">
      <c r="B41" s="948" t="s">
        <v>1463</v>
      </c>
      <c r="C41" s="948" t="s">
        <v>1464</v>
      </c>
    </row>
    <row r="42" spans="2:8" x14ac:dyDescent="0.25">
      <c r="B42" s="949">
        <v>16000000000</v>
      </c>
      <c r="C42" s="949">
        <v>16793003194.450001</v>
      </c>
      <c r="D42" s="560">
        <f>C42/B42</f>
        <v>1.0495626996531251</v>
      </c>
    </row>
    <row r="45" spans="2:8" x14ac:dyDescent="0.25">
      <c r="H45" s="557">
        <f>C42/B42</f>
        <v>1.0495626996531251</v>
      </c>
    </row>
    <row r="60" spans="2:4" ht="22.5" x14ac:dyDescent="0.25">
      <c r="B60" s="961" t="s">
        <v>1759</v>
      </c>
      <c r="C60" s="961"/>
    </row>
    <row r="61" spans="2:4" x14ac:dyDescent="0.25">
      <c r="B61" s="954" t="s">
        <v>1463</v>
      </c>
      <c r="C61" s="951" t="s">
        <v>1464</v>
      </c>
    </row>
    <row r="62" spans="2:4" x14ac:dyDescent="0.25">
      <c r="B62" s="952">
        <v>1000000000</v>
      </c>
      <c r="C62" s="953">
        <v>98775827</v>
      </c>
      <c r="D62" s="560">
        <f>C62/B62</f>
        <v>9.8775826999999997E-2</v>
      </c>
    </row>
    <row r="81" spans="2:7" ht="24.75" x14ac:dyDescent="0.25">
      <c r="B81" s="1308" t="s">
        <v>1763</v>
      </c>
      <c r="C81" s="1309"/>
    </row>
    <row r="82" spans="2:7" x14ac:dyDescent="0.25">
      <c r="B82" s="951" t="s">
        <v>1463</v>
      </c>
      <c r="C82" s="951" t="s">
        <v>1464</v>
      </c>
    </row>
    <row r="83" spans="2:7" x14ac:dyDescent="0.25">
      <c r="B83" s="952">
        <v>1500000000</v>
      </c>
      <c r="C83" s="953">
        <v>682765543.53999996</v>
      </c>
      <c r="D83" s="557">
        <f>C83/B83</f>
        <v>0.45517702902666662</v>
      </c>
    </row>
    <row r="95" spans="2:7" x14ac:dyDescent="0.25">
      <c r="G95" s="557"/>
    </row>
    <row r="96" spans="2:7" x14ac:dyDescent="0.25">
      <c r="G96" s="557"/>
    </row>
    <row r="103" spans="2:8" ht="22.5" x14ac:dyDescent="0.25">
      <c r="B103" s="1305" t="s">
        <v>1465</v>
      </c>
      <c r="C103" s="1305"/>
      <c r="D103" s="1305"/>
    </row>
    <row r="104" spans="2:8" x14ac:dyDescent="0.25">
      <c r="B104" s="954" t="s">
        <v>1463</v>
      </c>
      <c r="C104" s="954" t="s">
        <v>1464</v>
      </c>
      <c r="D104" s="950"/>
    </row>
    <row r="105" spans="2:8" x14ac:dyDescent="0.25">
      <c r="B105" s="952">
        <v>1300000000</v>
      </c>
      <c r="C105" s="953">
        <v>256536839.47999999</v>
      </c>
      <c r="D105" s="560">
        <f>C105/B105</f>
        <v>0.19733603036923075</v>
      </c>
    </row>
    <row r="111" spans="2:8" x14ac:dyDescent="0.25">
      <c r="H111" s="557"/>
    </row>
    <row r="124" spans="2:5" ht="22.5" x14ac:dyDescent="0.25">
      <c r="B124" s="1305" t="s">
        <v>1760</v>
      </c>
      <c r="C124" s="1305"/>
      <c r="D124" s="1305"/>
      <c r="E124" s="1305"/>
    </row>
    <row r="125" spans="2:5" x14ac:dyDescent="0.25">
      <c r="B125" s="954" t="s">
        <v>1463</v>
      </c>
      <c r="C125" s="951" t="s">
        <v>1464</v>
      </c>
      <c r="D125" s="950"/>
    </row>
    <row r="126" spans="2:5" x14ac:dyDescent="0.25">
      <c r="B126" s="952">
        <v>900000000</v>
      </c>
      <c r="C126" s="953">
        <v>121764984</v>
      </c>
      <c r="D126" s="955">
        <f>C126/B126</f>
        <v>0.13529442666666666</v>
      </c>
    </row>
    <row r="145" spans="2:5" ht="22.5" x14ac:dyDescent="0.25">
      <c r="B145" s="957" t="s">
        <v>1761</v>
      </c>
      <c r="C145" s="958"/>
      <c r="D145" s="958"/>
      <c r="E145" s="958"/>
    </row>
    <row r="146" spans="2:5" x14ac:dyDescent="0.25">
      <c r="B146" s="951" t="s">
        <v>1463</v>
      </c>
      <c r="C146" s="951" t="s">
        <v>1464</v>
      </c>
      <c r="D146" s="950"/>
    </row>
    <row r="147" spans="2:5" x14ac:dyDescent="0.25">
      <c r="B147" s="956">
        <v>500000000</v>
      </c>
      <c r="C147" s="953">
        <v>260811065.91999999</v>
      </c>
      <c r="D147" s="955">
        <f>C147/B147</f>
        <v>0.52162213183999995</v>
      </c>
    </row>
    <row r="165" spans="2:5" ht="35.25" customHeight="1" x14ac:dyDescent="0.25"/>
    <row r="166" spans="2:5" ht="25.5" customHeight="1" x14ac:dyDescent="0.25">
      <c r="B166" s="1303" t="s">
        <v>1762</v>
      </c>
      <c r="C166" s="1304"/>
      <c r="D166" s="1304"/>
      <c r="E166" s="1304"/>
    </row>
    <row r="167" spans="2:5" x14ac:dyDescent="0.25">
      <c r="B167" s="959" t="s">
        <v>1463</v>
      </c>
      <c r="C167" s="959" t="s">
        <v>1464</v>
      </c>
      <c r="D167" s="950"/>
    </row>
    <row r="168" spans="2:5" x14ac:dyDescent="0.25">
      <c r="B168" s="960">
        <v>450000000</v>
      </c>
      <c r="C168" s="953">
        <v>98320240</v>
      </c>
      <c r="D168" s="955">
        <f>C168/B168</f>
        <v>0.21848942222222223</v>
      </c>
    </row>
  </sheetData>
  <mergeCells count="6">
    <mergeCell ref="B166:E166"/>
    <mergeCell ref="B124:E124"/>
    <mergeCell ref="B40:C40"/>
    <mergeCell ref="B1:C1"/>
    <mergeCell ref="B81:C81"/>
    <mergeCell ref="B103:D103"/>
  </mergeCell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11" sqref="C11"/>
    </sheetView>
  </sheetViews>
  <sheetFormatPr baseColWidth="10" defaultRowHeight="15" x14ac:dyDescent="0.25"/>
  <cols>
    <col min="2" max="2" width="19.5703125" customWidth="1"/>
    <col min="3" max="3" width="18.28515625" customWidth="1"/>
    <col min="4" max="4" width="12.5703125" customWidth="1"/>
  </cols>
  <sheetData>
    <row r="1" spans="1:4" ht="30" x14ac:dyDescent="0.25">
      <c r="A1" s="287" t="s">
        <v>106</v>
      </c>
      <c r="B1" s="287" t="s">
        <v>107</v>
      </c>
      <c r="C1" s="287" t="s">
        <v>108</v>
      </c>
      <c r="D1" s="288" t="s">
        <v>1346</v>
      </c>
    </row>
    <row r="2" spans="1:4" x14ac:dyDescent="0.25">
      <c r="A2" t="s">
        <v>1347</v>
      </c>
      <c r="B2" t="s">
        <v>1348</v>
      </c>
      <c r="C2" t="s">
        <v>1349</v>
      </c>
      <c r="D2" s="289" t="s">
        <v>1350</v>
      </c>
    </row>
    <row r="3" spans="1:4" x14ac:dyDescent="0.25">
      <c r="A3" t="s">
        <v>1351</v>
      </c>
      <c r="B3" t="s">
        <v>1352</v>
      </c>
      <c r="C3" t="s">
        <v>1353</v>
      </c>
      <c r="D3" s="289" t="s">
        <v>1354</v>
      </c>
    </row>
    <row r="4" spans="1:4" x14ac:dyDescent="0.25">
      <c r="B4" t="s">
        <v>1355</v>
      </c>
      <c r="C4" t="s">
        <v>1356</v>
      </c>
    </row>
    <row r="5" spans="1:4" x14ac:dyDescent="0.25">
      <c r="C5" t="s">
        <v>1357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x14ac:dyDescent="0.25"/>
  <cols>
    <col min="1" max="1" width="1.85546875" customWidth="1"/>
    <col min="2" max="2" width="12.85546875" customWidth="1"/>
    <col min="3" max="3" width="5" customWidth="1"/>
    <col min="4" max="4" width="34.85546875" customWidth="1"/>
    <col min="5" max="5" width="15" customWidth="1"/>
    <col min="6" max="9" width="10.7109375" customWidth="1"/>
    <col min="10" max="10" width="33.140625" customWidth="1"/>
    <col min="11" max="26" width="10.7109375" customWidth="1"/>
  </cols>
  <sheetData>
    <row r="1" spans="1:26" ht="100.5" customHeight="1" x14ac:dyDescent="0.25">
      <c r="A1" s="1333"/>
      <c r="B1" s="1188"/>
      <c r="C1" s="1188"/>
      <c r="D1" s="1188"/>
      <c r="E1" s="1188"/>
      <c r="F1" s="1188"/>
      <c r="G1" s="1188"/>
      <c r="H1" s="1188"/>
      <c r="I1" s="1188"/>
      <c r="J1" s="1188"/>
      <c r="K1" s="1188"/>
      <c r="L1" s="1188"/>
      <c r="M1" s="1188"/>
      <c r="N1" s="1188"/>
      <c r="O1" s="1188"/>
      <c r="P1" s="1189"/>
      <c r="Q1" s="8"/>
      <c r="R1" s="8"/>
      <c r="S1" s="4"/>
      <c r="T1" s="4"/>
      <c r="U1" s="4"/>
      <c r="V1" s="4"/>
      <c r="W1" s="4"/>
      <c r="X1" s="4"/>
      <c r="Y1" s="4"/>
      <c r="Z1" s="4"/>
    </row>
    <row r="2" spans="1:26" x14ac:dyDescent="0.25">
      <c r="A2" s="1187" t="str">
        <f>'Datos Generales'!C5</f>
        <v>Corporación Autónoma Regional del Cesar – CORPOCESAR</v>
      </c>
      <c r="B2" s="1188"/>
      <c r="C2" s="1188"/>
      <c r="D2" s="1188"/>
      <c r="E2" s="1188"/>
      <c r="F2" s="1188"/>
      <c r="G2" s="1188"/>
      <c r="H2" s="1188"/>
      <c r="I2" s="1188"/>
      <c r="J2" s="1188"/>
      <c r="K2" s="1188"/>
      <c r="L2" s="1188"/>
      <c r="M2" s="1188"/>
      <c r="N2" s="1188"/>
      <c r="O2" s="1188"/>
      <c r="P2" s="1189"/>
      <c r="Q2" s="8"/>
      <c r="R2" s="8"/>
      <c r="S2" s="5"/>
      <c r="T2" s="5"/>
      <c r="U2" s="5"/>
      <c r="V2" s="5"/>
      <c r="W2" s="5"/>
      <c r="X2" s="5"/>
      <c r="Y2" s="5"/>
      <c r="Z2" s="5"/>
    </row>
    <row r="3" spans="1:26" x14ac:dyDescent="0.25">
      <c r="A3" s="1334" t="s">
        <v>615</v>
      </c>
      <c r="B3" s="1188"/>
      <c r="C3" s="1188"/>
      <c r="D3" s="1188"/>
      <c r="E3" s="1188"/>
      <c r="F3" s="1188"/>
      <c r="G3" s="1188"/>
      <c r="H3" s="1188"/>
      <c r="I3" s="1188"/>
      <c r="J3" s="1188"/>
      <c r="K3" s="1188"/>
      <c r="L3" s="1188"/>
      <c r="M3" s="1188"/>
      <c r="N3" s="1188"/>
      <c r="O3" s="1188"/>
      <c r="P3" s="1189"/>
      <c r="Q3" s="8"/>
      <c r="R3" s="8"/>
      <c r="S3" s="5"/>
      <c r="T3" s="5"/>
      <c r="U3" s="5"/>
      <c r="V3" s="5"/>
      <c r="W3" s="5"/>
      <c r="X3" s="5"/>
      <c r="Y3" s="5"/>
      <c r="Z3" s="5"/>
    </row>
    <row r="4" spans="1:26" ht="15.75" x14ac:dyDescent="0.25">
      <c r="A4" s="1334" t="s">
        <v>616</v>
      </c>
      <c r="B4" s="1188"/>
      <c r="C4" s="1188"/>
      <c r="D4" s="1335"/>
      <c r="E4" s="131">
        <v>2021</v>
      </c>
      <c r="F4" s="131"/>
      <c r="G4" s="131"/>
      <c r="H4" s="131"/>
      <c r="I4" s="131"/>
      <c r="J4" s="131"/>
      <c r="K4" s="131"/>
      <c r="L4" s="131"/>
      <c r="M4" s="131"/>
      <c r="N4" s="131"/>
      <c r="O4" s="131"/>
      <c r="P4" s="132"/>
      <c r="Q4" s="8"/>
      <c r="R4" s="8"/>
      <c r="S4" s="5"/>
      <c r="T4" s="5"/>
      <c r="U4" s="5"/>
      <c r="V4" s="5"/>
      <c r="W4" s="5"/>
      <c r="X4" s="5"/>
      <c r="Y4" s="5"/>
      <c r="Z4" s="5"/>
    </row>
    <row r="5" spans="1:26" ht="16.5" customHeight="1" x14ac:dyDescent="0.25">
      <c r="A5" s="1334" t="s">
        <v>91</v>
      </c>
      <c r="B5" s="1188"/>
      <c r="C5" s="1188"/>
      <c r="D5" s="1188"/>
      <c r="E5" s="1188"/>
      <c r="F5" s="1188"/>
      <c r="G5" s="1188"/>
      <c r="H5" s="1188"/>
      <c r="I5" s="1188"/>
      <c r="J5" s="1188"/>
      <c r="K5" s="1188"/>
      <c r="L5" s="1188"/>
      <c r="M5" s="1188"/>
      <c r="N5" s="1188"/>
      <c r="O5" s="1188"/>
      <c r="P5" s="1189"/>
      <c r="Q5" s="8"/>
      <c r="R5" s="8"/>
      <c r="S5" s="8"/>
      <c r="T5" s="8"/>
      <c r="U5" s="8"/>
      <c r="V5" s="8"/>
      <c r="W5" s="8"/>
      <c r="X5" s="8"/>
      <c r="Y5" s="8"/>
      <c r="Z5" s="8"/>
    </row>
    <row r="6" spans="1:26" x14ac:dyDescent="0.25">
      <c r="B6" s="133" t="s">
        <v>617</v>
      </c>
      <c r="C6" s="134"/>
      <c r="D6" s="135"/>
      <c r="E6" s="136"/>
      <c r="F6" s="135" t="s">
        <v>618</v>
      </c>
      <c r="G6" s="135"/>
      <c r="H6" s="135"/>
      <c r="I6" s="135"/>
      <c r="J6" s="135"/>
      <c r="K6" s="135"/>
    </row>
    <row r="7" spans="1:26" x14ac:dyDescent="0.25">
      <c r="B7" s="137"/>
      <c r="C7" s="138"/>
      <c r="D7" s="135"/>
      <c r="E7" s="139"/>
      <c r="F7" s="135" t="s">
        <v>619</v>
      </c>
      <c r="G7" s="135"/>
      <c r="H7" s="135"/>
      <c r="I7" s="135"/>
      <c r="J7" s="135"/>
      <c r="K7" s="135"/>
    </row>
    <row r="8" spans="1:26" x14ac:dyDescent="0.25">
      <c r="B8" s="140" t="s">
        <v>620</v>
      </c>
      <c r="C8" s="141">
        <v>2021</v>
      </c>
      <c r="D8" s="142" t="str">
        <f>IF(E10="NO APLICA","NO APLICA",IF(E11="NO SE REPORTA","SIN INFORMACION",+I30))</f>
        <v>NO APLICA</v>
      </c>
      <c r="E8" s="143"/>
      <c r="F8" s="135" t="s">
        <v>621</v>
      </c>
      <c r="G8" s="135"/>
      <c r="H8" s="135"/>
      <c r="I8" s="135"/>
      <c r="J8" s="135"/>
      <c r="K8" s="135"/>
    </row>
    <row r="9" spans="1:26" x14ac:dyDescent="0.25">
      <c r="B9" s="144" t="s">
        <v>622</v>
      </c>
      <c r="C9" s="145"/>
      <c r="D9" s="135"/>
      <c r="E9" s="135"/>
      <c r="F9" s="135"/>
      <c r="G9" s="135"/>
      <c r="H9" s="135"/>
      <c r="I9" s="135"/>
      <c r="J9" s="135"/>
      <c r="K9" s="135"/>
    </row>
    <row r="10" spans="1:26" ht="15" customHeight="1" x14ac:dyDescent="0.25">
      <c r="A10" s="8"/>
      <c r="B10" s="1328" t="s">
        <v>623</v>
      </c>
      <c r="C10" s="1324"/>
      <c r="D10" s="1329"/>
      <c r="E10" s="146" t="s">
        <v>624</v>
      </c>
      <c r="F10" s="1330" t="e">
        <f>#REF!</f>
        <v>#REF!</v>
      </c>
      <c r="G10" s="1331"/>
      <c r="H10" s="1331"/>
      <c r="I10" s="1331"/>
      <c r="J10" s="1331"/>
      <c r="K10" s="1331"/>
      <c r="L10" s="1331"/>
      <c r="M10" s="1331"/>
      <c r="N10" s="1331"/>
      <c r="O10" s="1331"/>
      <c r="P10" s="1331"/>
      <c r="Q10" s="1331"/>
      <c r="R10" s="1258"/>
      <c r="S10" s="135"/>
      <c r="T10" s="135"/>
      <c r="U10" s="8"/>
      <c r="V10" s="8"/>
      <c r="W10" s="8"/>
      <c r="X10" s="8"/>
      <c r="Y10" s="8"/>
      <c r="Z10" s="8"/>
    </row>
    <row r="11" spans="1:26" ht="14.25" customHeight="1" x14ac:dyDescent="0.25">
      <c r="A11" s="8"/>
      <c r="B11" s="144"/>
      <c r="C11" s="147"/>
      <c r="D11" s="148" t="s">
        <v>625</v>
      </c>
      <c r="E11" s="149" t="s">
        <v>626</v>
      </c>
      <c r="F11" s="1330" t="e">
        <f>#REF!</f>
        <v>#REF!</v>
      </c>
      <c r="G11" s="1331"/>
      <c r="H11" s="1331"/>
      <c r="I11" s="1331"/>
      <c r="J11" s="1331"/>
      <c r="K11" s="1331"/>
      <c r="L11" s="1331"/>
      <c r="M11" s="1331"/>
      <c r="N11" s="1331"/>
      <c r="O11" s="1331"/>
      <c r="P11" s="1331"/>
      <c r="Q11" s="1331"/>
      <c r="R11" s="1258"/>
      <c r="S11" s="8"/>
      <c r="T11" s="8"/>
      <c r="U11" s="8"/>
      <c r="V11" s="8"/>
      <c r="W11" s="8"/>
      <c r="X11" s="8"/>
      <c r="Y11" s="8"/>
      <c r="Z11" s="8"/>
    </row>
    <row r="12" spans="1:26" ht="23.25" customHeight="1" x14ac:dyDescent="0.25">
      <c r="A12" s="8"/>
      <c r="B12" s="144"/>
      <c r="C12" s="147"/>
      <c r="D12" s="148" t="s">
        <v>627</v>
      </c>
      <c r="E12" s="1332"/>
      <c r="F12" s="1331"/>
      <c r="G12" s="1331"/>
      <c r="H12" s="1331"/>
      <c r="I12" s="1331"/>
      <c r="J12" s="1331"/>
      <c r="K12" s="1331"/>
      <c r="L12" s="1331"/>
      <c r="M12" s="1331"/>
      <c r="N12" s="1331"/>
      <c r="O12" s="1331"/>
      <c r="P12" s="1331"/>
      <c r="Q12" s="1331"/>
      <c r="R12" s="1258"/>
      <c r="S12" s="8"/>
      <c r="T12" s="8"/>
      <c r="U12" s="8"/>
      <c r="V12" s="8"/>
      <c r="W12" s="8"/>
      <c r="X12" s="8"/>
      <c r="Y12" s="8"/>
      <c r="Z12" s="8"/>
    </row>
    <row r="13" spans="1:26" ht="21.75" customHeight="1" x14ac:dyDescent="0.25">
      <c r="A13" s="8"/>
      <c r="B13" s="144"/>
      <c r="C13" s="147"/>
      <c r="D13" s="148" t="s">
        <v>628</v>
      </c>
      <c r="E13" s="1332"/>
      <c r="F13" s="1331"/>
      <c r="G13" s="1331"/>
      <c r="H13" s="1331"/>
      <c r="I13" s="1331"/>
      <c r="J13" s="1331"/>
      <c r="K13" s="1331"/>
      <c r="L13" s="1331"/>
      <c r="M13" s="1331"/>
      <c r="N13" s="1331"/>
      <c r="O13" s="1331"/>
      <c r="P13" s="1331"/>
      <c r="Q13" s="1331"/>
      <c r="R13" s="1258"/>
      <c r="S13" s="8"/>
      <c r="T13" s="8"/>
      <c r="U13" s="8"/>
      <c r="V13" s="8"/>
      <c r="W13" s="8"/>
      <c r="X13" s="8"/>
      <c r="Y13" s="8"/>
      <c r="Z13" s="8"/>
    </row>
    <row r="14" spans="1:26" ht="6.75" customHeight="1" x14ac:dyDescent="0.25">
      <c r="A14" s="8"/>
      <c r="B14" s="144"/>
      <c r="C14" s="145"/>
      <c r="D14" s="135"/>
      <c r="E14" s="135"/>
      <c r="F14" s="135"/>
      <c r="G14" s="135"/>
      <c r="H14" s="135"/>
      <c r="I14" s="135"/>
      <c r="J14" s="135"/>
      <c r="K14" s="135"/>
      <c r="L14" s="8"/>
      <c r="M14" s="8"/>
      <c r="N14" s="8"/>
      <c r="O14" s="8"/>
      <c r="P14" s="8"/>
      <c r="Q14" s="8"/>
      <c r="R14" s="8"/>
      <c r="S14" s="8"/>
      <c r="T14" s="8"/>
      <c r="U14" s="8"/>
      <c r="V14" s="8"/>
      <c r="W14" s="8"/>
      <c r="X14" s="8"/>
      <c r="Y14" s="8"/>
      <c r="Z14" s="8"/>
    </row>
    <row r="15" spans="1:26" ht="15" customHeight="1" x14ac:dyDescent="0.25">
      <c r="B15" s="1321" t="s">
        <v>629</v>
      </c>
      <c r="C15" s="150"/>
      <c r="D15" s="1322" t="s">
        <v>630</v>
      </c>
      <c r="E15" s="1315"/>
      <c r="F15" s="1315"/>
      <c r="G15" s="1315"/>
      <c r="H15" s="1315"/>
      <c r="I15" s="1315"/>
      <c r="J15" s="1315"/>
      <c r="K15" s="1316"/>
    </row>
    <row r="16" spans="1:26" x14ac:dyDescent="0.25">
      <c r="B16" s="1311"/>
      <c r="C16" s="151"/>
      <c r="D16" s="1323" t="s">
        <v>631</v>
      </c>
      <c r="E16" s="1324"/>
      <c r="F16" s="1324"/>
      <c r="G16" s="1324"/>
      <c r="H16" s="1324"/>
      <c r="I16" s="1324"/>
      <c r="J16" s="1324"/>
      <c r="K16" s="1325"/>
    </row>
    <row r="17" spans="2:11" x14ac:dyDescent="0.25">
      <c r="B17" s="1311"/>
      <c r="C17" s="152" t="s">
        <v>632</v>
      </c>
      <c r="D17" s="153" t="s">
        <v>633</v>
      </c>
      <c r="E17" s="153" t="s">
        <v>634</v>
      </c>
      <c r="F17" s="153" t="s">
        <v>635</v>
      </c>
      <c r="G17" s="153" t="s">
        <v>636</v>
      </c>
      <c r="H17" s="153" t="s">
        <v>637</v>
      </c>
      <c r="I17" s="153" t="s">
        <v>638</v>
      </c>
      <c r="K17" s="154"/>
    </row>
    <row r="18" spans="2:11" ht="24" x14ac:dyDescent="0.25">
      <c r="B18" s="1311"/>
      <c r="C18" s="155" t="s">
        <v>639</v>
      </c>
      <c r="D18" s="156" t="s">
        <v>640</v>
      </c>
      <c r="E18" s="157"/>
      <c r="F18" s="157"/>
      <c r="G18" s="157"/>
      <c r="H18" s="157"/>
      <c r="I18" s="158">
        <f>SUM(E18:H18)</f>
        <v>0</v>
      </c>
      <c r="K18" s="154"/>
    </row>
    <row r="19" spans="2:11" x14ac:dyDescent="0.25">
      <c r="B19" s="1311"/>
      <c r="C19" s="151"/>
      <c r="D19" s="1326" t="s">
        <v>641</v>
      </c>
      <c r="E19" s="1318"/>
      <c r="F19" s="1318"/>
      <c r="G19" s="1318"/>
      <c r="H19" s="1318"/>
      <c r="I19" s="1318"/>
      <c r="J19" s="1318"/>
      <c r="K19" s="1319"/>
    </row>
    <row r="20" spans="2:11" ht="15" customHeight="1" x14ac:dyDescent="0.25">
      <c r="B20" s="159"/>
      <c r="C20" s="1327" t="s">
        <v>632</v>
      </c>
      <c r="D20" s="1310" t="s">
        <v>642</v>
      </c>
      <c r="E20" s="1310" t="s">
        <v>643</v>
      </c>
      <c r="F20" s="1320" t="s">
        <v>644</v>
      </c>
      <c r="G20" s="1188"/>
      <c r="H20" s="1188"/>
      <c r="I20" s="1188"/>
      <c r="J20" s="1189"/>
      <c r="K20" s="161"/>
    </row>
    <row r="21" spans="2:11" ht="15.75" customHeight="1" x14ac:dyDescent="0.25">
      <c r="B21" s="159"/>
      <c r="C21" s="1319"/>
      <c r="D21" s="1312"/>
      <c r="E21" s="1312"/>
      <c r="F21" s="162" t="s">
        <v>645</v>
      </c>
      <c r="G21" s="162" t="s">
        <v>646</v>
      </c>
      <c r="H21" s="162" t="s">
        <v>647</v>
      </c>
      <c r="I21" s="162" t="s">
        <v>648</v>
      </c>
      <c r="J21" s="162" t="s">
        <v>649</v>
      </c>
      <c r="K21" s="163"/>
    </row>
    <row r="22" spans="2:11" ht="15.75" customHeight="1" x14ac:dyDescent="0.25">
      <c r="B22" s="159"/>
      <c r="C22" s="164"/>
      <c r="D22" s="164"/>
      <c r="E22" s="165" t="s">
        <v>650</v>
      </c>
      <c r="F22" s="166"/>
      <c r="G22" s="166"/>
      <c r="H22" s="166"/>
      <c r="I22" s="167">
        <f t="shared" ref="I22:I29" si="0">+G22*H22</f>
        <v>0</v>
      </c>
      <c r="J22" s="168"/>
      <c r="K22" s="163"/>
    </row>
    <row r="23" spans="2:11" ht="15.75" customHeight="1" x14ac:dyDescent="0.25">
      <c r="B23" s="159"/>
      <c r="C23" s="169"/>
      <c r="D23" s="164"/>
      <c r="E23" s="165" t="s">
        <v>651</v>
      </c>
      <c r="F23" s="166"/>
      <c r="G23" s="166"/>
      <c r="H23" s="166"/>
      <c r="I23" s="167">
        <f t="shared" si="0"/>
        <v>0</v>
      </c>
      <c r="J23" s="170"/>
      <c r="K23" s="163"/>
    </row>
    <row r="24" spans="2:11" ht="15.75" customHeight="1" x14ac:dyDescent="0.25">
      <c r="B24" s="159"/>
      <c r="C24" s="169"/>
      <c r="D24" s="164"/>
      <c r="E24" s="165" t="s">
        <v>652</v>
      </c>
      <c r="F24" s="166"/>
      <c r="G24" s="166"/>
      <c r="H24" s="166"/>
      <c r="I24" s="167">
        <f t="shared" si="0"/>
        <v>0</v>
      </c>
      <c r="J24" s="170"/>
      <c r="K24" s="163"/>
    </row>
    <row r="25" spans="2:11" ht="15.75" customHeight="1" x14ac:dyDescent="0.25">
      <c r="B25" s="159"/>
      <c r="C25" s="169"/>
      <c r="D25" s="164"/>
      <c r="E25" s="165" t="s">
        <v>653</v>
      </c>
      <c r="F25" s="166"/>
      <c r="G25" s="166"/>
      <c r="H25" s="166"/>
      <c r="I25" s="167">
        <f t="shared" si="0"/>
        <v>0</v>
      </c>
      <c r="J25" s="170"/>
      <c r="K25" s="163"/>
    </row>
    <row r="26" spans="2:11" ht="15.75" customHeight="1" x14ac:dyDescent="0.25">
      <c r="B26" s="159"/>
      <c r="C26" s="169"/>
      <c r="D26" s="164"/>
      <c r="E26" s="165" t="s">
        <v>654</v>
      </c>
      <c r="F26" s="166"/>
      <c r="G26" s="166"/>
      <c r="H26" s="166"/>
      <c r="I26" s="167">
        <f t="shared" si="0"/>
        <v>0</v>
      </c>
      <c r="J26" s="170"/>
      <c r="K26" s="163"/>
    </row>
    <row r="27" spans="2:11" ht="15.75" customHeight="1" x14ac:dyDescent="0.25">
      <c r="B27" s="159"/>
      <c r="C27" s="169"/>
      <c r="D27" s="164"/>
      <c r="E27" s="164"/>
      <c r="F27" s="166"/>
      <c r="G27" s="166"/>
      <c r="H27" s="166"/>
      <c r="I27" s="167">
        <f t="shared" si="0"/>
        <v>0</v>
      </c>
      <c r="J27" s="170"/>
      <c r="K27" s="163"/>
    </row>
    <row r="28" spans="2:11" ht="15.75" customHeight="1" x14ac:dyDescent="0.25">
      <c r="B28" s="159"/>
      <c r="C28" s="169"/>
      <c r="D28" s="164"/>
      <c r="E28" s="164"/>
      <c r="F28" s="166"/>
      <c r="G28" s="166"/>
      <c r="H28" s="166"/>
      <c r="I28" s="167">
        <f t="shared" si="0"/>
        <v>0</v>
      </c>
      <c r="J28" s="170"/>
      <c r="K28" s="163"/>
    </row>
    <row r="29" spans="2:11" ht="15.75" customHeight="1" x14ac:dyDescent="0.25">
      <c r="B29" s="159"/>
      <c r="C29" s="169"/>
      <c r="D29" s="164"/>
      <c r="E29" s="164"/>
      <c r="F29" s="166"/>
      <c r="G29" s="166"/>
      <c r="H29" s="166"/>
      <c r="I29" s="167">
        <f t="shared" si="0"/>
        <v>0</v>
      </c>
      <c r="J29" s="170"/>
      <c r="K29" s="163"/>
    </row>
    <row r="30" spans="2:11" ht="15.75" customHeight="1" x14ac:dyDescent="0.25">
      <c r="B30" s="159"/>
      <c r="C30" s="155"/>
      <c r="D30" s="171" t="s">
        <v>655</v>
      </c>
      <c r="E30" s="171"/>
      <c r="F30" s="171"/>
      <c r="G30" s="171"/>
      <c r="H30" s="172" t="e">
        <f>#REF!</f>
        <v>#REF!</v>
      </c>
      <c r="I30" s="167" t="e">
        <f>#REF!</f>
        <v>#REF!</v>
      </c>
      <c r="J30" s="156"/>
      <c r="K30" s="173"/>
    </row>
    <row r="31" spans="2:11" ht="15.75" customHeight="1" x14ac:dyDescent="0.25">
      <c r="B31" s="174"/>
      <c r="C31" s="175"/>
      <c r="D31" s="1320" t="s">
        <v>656</v>
      </c>
      <c r="E31" s="1188"/>
      <c r="F31" s="1188"/>
      <c r="G31" s="1188"/>
      <c r="H31" s="1188"/>
      <c r="I31" s="1188"/>
      <c r="J31" s="1188"/>
      <c r="K31" s="1189"/>
    </row>
    <row r="32" spans="2:11" ht="24" customHeight="1" x14ac:dyDescent="0.25">
      <c r="B32" s="174" t="s">
        <v>657</v>
      </c>
      <c r="C32" s="175"/>
      <c r="D32" s="1320" t="s">
        <v>658</v>
      </c>
      <c r="E32" s="1188"/>
      <c r="F32" s="1188"/>
      <c r="G32" s="1188"/>
      <c r="H32" s="1188"/>
      <c r="I32" s="1188"/>
      <c r="J32" s="1188"/>
      <c r="K32" s="1189"/>
    </row>
    <row r="33" spans="2:11" ht="36" customHeight="1" x14ac:dyDescent="0.25">
      <c r="B33" s="174" t="s">
        <v>659</v>
      </c>
      <c r="C33" s="175"/>
      <c r="D33" s="1320" t="s">
        <v>660</v>
      </c>
      <c r="E33" s="1188"/>
      <c r="F33" s="1188"/>
      <c r="G33" s="1188"/>
      <c r="H33" s="1188"/>
      <c r="I33" s="1188"/>
      <c r="J33" s="1188"/>
      <c r="K33" s="1189"/>
    </row>
    <row r="34" spans="2:11" ht="15.75" customHeight="1" x14ac:dyDescent="0.25">
      <c r="B34" s="133"/>
      <c r="C34" s="134"/>
      <c r="D34" s="135"/>
      <c r="E34" s="135"/>
      <c r="F34" s="135"/>
      <c r="G34" s="135"/>
      <c r="H34" s="135"/>
      <c r="I34" s="135"/>
      <c r="J34" s="135"/>
      <c r="K34" s="135"/>
    </row>
    <row r="35" spans="2:11" ht="24" customHeight="1" x14ac:dyDescent="0.25">
      <c r="B35" s="1313" t="s">
        <v>661</v>
      </c>
      <c r="C35" s="1188"/>
      <c r="D35" s="1188"/>
      <c r="E35" s="1189"/>
      <c r="F35" s="135"/>
      <c r="G35" s="135"/>
      <c r="H35" s="135"/>
      <c r="I35" s="135"/>
      <c r="J35" s="135"/>
      <c r="K35" s="135"/>
    </row>
    <row r="36" spans="2:11" ht="15.75" customHeight="1" x14ac:dyDescent="0.25">
      <c r="B36" s="1310">
        <v>1</v>
      </c>
      <c r="C36" s="177"/>
      <c r="D36" s="178" t="s">
        <v>662</v>
      </c>
      <c r="E36" s="164"/>
      <c r="F36" s="135"/>
      <c r="G36" s="135"/>
      <c r="H36" s="135"/>
      <c r="I36" s="135"/>
      <c r="J36" s="135"/>
      <c r="K36" s="135"/>
    </row>
    <row r="37" spans="2:11" ht="15.75" customHeight="1" x14ac:dyDescent="0.25">
      <c r="B37" s="1311"/>
      <c r="C37" s="177"/>
      <c r="D37" s="156" t="s">
        <v>10</v>
      </c>
      <c r="E37" s="164"/>
      <c r="F37" s="135"/>
      <c r="G37" s="135"/>
      <c r="H37" s="135"/>
      <c r="I37" s="135"/>
      <c r="J37" s="135"/>
      <c r="K37" s="135"/>
    </row>
    <row r="38" spans="2:11" ht="15.75" customHeight="1" x14ac:dyDescent="0.25">
      <c r="B38" s="1311"/>
      <c r="C38" s="177"/>
      <c r="D38" s="156" t="s">
        <v>663</v>
      </c>
      <c r="E38" s="164"/>
      <c r="F38" s="135"/>
      <c r="G38" s="135"/>
      <c r="H38" s="135"/>
      <c r="I38" s="135"/>
      <c r="J38" s="135"/>
      <c r="K38" s="135"/>
    </row>
    <row r="39" spans="2:11" ht="15.75" customHeight="1" x14ac:dyDescent="0.25">
      <c r="B39" s="1311"/>
      <c r="C39" s="177"/>
      <c r="D39" s="156" t="s">
        <v>13</v>
      </c>
      <c r="E39" s="164"/>
      <c r="F39" s="135"/>
      <c r="G39" s="135"/>
      <c r="H39" s="135"/>
      <c r="I39" s="135"/>
      <c r="J39" s="135"/>
      <c r="K39" s="135"/>
    </row>
    <row r="40" spans="2:11" ht="15.75" customHeight="1" x14ac:dyDescent="0.25">
      <c r="B40" s="1311"/>
      <c r="C40" s="177"/>
      <c r="D40" s="156" t="s">
        <v>16</v>
      </c>
      <c r="E40" s="164"/>
      <c r="F40" s="135"/>
      <c r="G40" s="135"/>
      <c r="H40" s="135"/>
      <c r="I40" s="135"/>
      <c r="J40" s="135"/>
      <c r="K40" s="135"/>
    </row>
    <row r="41" spans="2:11" ht="15.75" customHeight="1" x14ac:dyDescent="0.25">
      <c r="B41" s="1311"/>
      <c r="C41" s="177"/>
      <c r="D41" s="156" t="s">
        <v>19</v>
      </c>
      <c r="E41" s="164"/>
      <c r="F41" s="135"/>
      <c r="G41" s="135"/>
      <c r="H41" s="135"/>
      <c r="I41" s="135"/>
      <c r="J41" s="135"/>
      <c r="K41" s="135"/>
    </row>
    <row r="42" spans="2:11" ht="15.75" customHeight="1" x14ac:dyDescent="0.25">
      <c r="B42" s="1312"/>
      <c r="C42" s="179"/>
      <c r="D42" s="156" t="s">
        <v>664</v>
      </c>
      <c r="E42" s="164"/>
      <c r="F42" s="135"/>
      <c r="G42" s="135"/>
      <c r="H42" s="135"/>
      <c r="I42" s="135"/>
      <c r="J42" s="135"/>
      <c r="K42" s="135"/>
    </row>
    <row r="43" spans="2:11" ht="15.75" customHeight="1" x14ac:dyDescent="0.25">
      <c r="B43" s="133"/>
      <c r="C43" s="134"/>
      <c r="D43" s="135"/>
      <c r="E43" s="135"/>
      <c r="F43" s="135"/>
      <c r="G43" s="135"/>
      <c r="H43" s="135"/>
      <c r="I43" s="135"/>
      <c r="J43" s="135"/>
      <c r="K43" s="135"/>
    </row>
    <row r="44" spans="2:11" ht="15.75" customHeight="1" x14ac:dyDescent="0.25">
      <c r="B44" s="1313" t="s">
        <v>665</v>
      </c>
      <c r="C44" s="1188"/>
      <c r="D44" s="1188"/>
      <c r="E44" s="1189"/>
      <c r="F44" s="135"/>
      <c r="G44" s="135"/>
      <c r="H44" s="135"/>
      <c r="I44" s="135"/>
      <c r="J44" s="135"/>
      <c r="K44" s="135"/>
    </row>
    <row r="45" spans="2:11" ht="15.75" customHeight="1" x14ac:dyDescent="0.25">
      <c r="B45" s="1310">
        <v>1</v>
      </c>
      <c r="C45" s="177"/>
      <c r="D45" s="178" t="s">
        <v>662</v>
      </c>
      <c r="E45" s="180" t="s">
        <v>666</v>
      </c>
      <c r="F45" s="135"/>
      <c r="G45" s="135"/>
      <c r="H45" s="135"/>
      <c r="I45" s="135"/>
      <c r="J45" s="135"/>
      <c r="K45" s="135"/>
    </row>
    <row r="46" spans="2:11" ht="15.75" customHeight="1" x14ac:dyDescent="0.25">
      <c r="B46" s="1311"/>
      <c r="C46" s="177"/>
      <c r="D46" s="156" t="s">
        <v>10</v>
      </c>
      <c r="E46" s="180" t="s">
        <v>667</v>
      </c>
      <c r="F46" s="135"/>
      <c r="G46" s="135"/>
      <c r="H46" s="135"/>
      <c r="I46" s="135"/>
      <c r="J46" s="135"/>
      <c r="K46" s="135"/>
    </row>
    <row r="47" spans="2:11" ht="15.75" customHeight="1" x14ac:dyDescent="0.25">
      <c r="B47" s="1311"/>
      <c r="C47" s="177"/>
      <c r="D47" s="156" t="s">
        <v>663</v>
      </c>
      <c r="E47" s="181"/>
      <c r="F47" s="135"/>
      <c r="G47" s="135"/>
      <c r="H47" s="135"/>
      <c r="I47" s="135"/>
      <c r="J47" s="135"/>
      <c r="K47" s="135"/>
    </row>
    <row r="48" spans="2:11" ht="15.75" customHeight="1" x14ac:dyDescent="0.25">
      <c r="B48" s="1311"/>
      <c r="C48" s="177"/>
      <c r="D48" s="156" t="s">
        <v>13</v>
      </c>
      <c r="E48" s="181"/>
      <c r="F48" s="135"/>
      <c r="G48" s="135"/>
      <c r="H48" s="135"/>
      <c r="I48" s="135"/>
      <c r="J48" s="135"/>
      <c r="K48" s="135"/>
    </row>
    <row r="49" spans="2:11" ht="15.75" customHeight="1" x14ac:dyDescent="0.25">
      <c r="B49" s="1311"/>
      <c r="C49" s="177"/>
      <c r="D49" s="156" t="s">
        <v>16</v>
      </c>
      <c r="E49" s="181"/>
      <c r="F49" s="135"/>
      <c r="G49" s="135"/>
      <c r="H49" s="135"/>
      <c r="I49" s="135"/>
      <c r="J49" s="135"/>
      <c r="K49" s="135"/>
    </row>
    <row r="50" spans="2:11" ht="15.75" customHeight="1" x14ac:dyDescent="0.25">
      <c r="B50" s="1311"/>
      <c r="C50" s="177"/>
      <c r="D50" s="156" t="s">
        <v>19</v>
      </c>
      <c r="E50" s="181"/>
      <c r="F50" s="135"/>
      <c r="G50" s="135"/>
      <c r="H50" s="135"/>
      <c r="I50" s="135"/>
      <c r="J50" s="135"/>
      <c r="K50" s="135"/>
    </row>
    <row r="51" spans="2:11" ht="15.75" customHeight="1" x14ac:dyDescent="0.25">
      <c r="B51" s="1312"/>
      <c r="C51" s="179"/>
      <c r="D51" s="156" t="s">
        <v>664</v>
      </c>
      <c r="E51" s="181"/>
      <c r="F51" s="135"/>
      <c r="G51" s="135"/>
      <c r="H51" s="135"/>
      <c r="I51" s="135"/>
      <c r="J51" s="135"/>
      <c r="K51" s="135"/>
    </row>
    <row r="52" spans="2:11" ht="15.75" customHeight="1" x14ac:dyDescent="0.25">
      <c r="B52" s="133"/>
      <c r="C52" s="134"/>
      <c r="D52" s="135"/>
      <c r="E52" s="135"/>
      <c r="F52" s="135"/>
      <c r="G52" s="135"/>
      <c r="H52" s="135"/>
      <c r="I52" s="135"/>
      <c r="J52" s="135"/>
      <c r="K52" s="135"/>
    </row>
    <row r="53" spans="2:11" ht="15" customHeight="1" x14ac:dyDescent="0.25">
      <c r="B53" s="176" t="s">
        <v>668</v>
      </c>
      <c r="C53" s="182"/>
      <c r="D53" s="182"/>
      <c r="E53" s="183"/>
      <c r="G53" s="135"/>
      <c r="H53" s="135"/>
      <c r="I53" s="135"/>
      <c r="J53" s="135"/>
      <c r="K53" s="135"/>
    </row>
    <row r="54" spans="2:11" ht="15.75" customHeight="1" x14ac:dyDescent="0.25">
      <c r="B54" s="174" t="s">
        <v>669</v>
      </c>
      <c r="C54" s="156" t="s">
        <v>670</v>
      </c>
      <c r="D54" s="156" t="s">
        <v>671</v>
      </c>
      <c r="E54" s="156" t="s">
        <v>672</v>
      </c>
      <c r="F54" s="135"/>
      <c r="G54" s="135"/>
      <c r="H54" s="135"/>
      <c r="I54" s="135"/>
      <c r="J54" s="135"/>
    </row>
    <row r="55" spans="2:11" ht="15.75" customHeight="1" x14ac:dyDescent="0.25">
      <c r="B55" s="184">
        <v>42401</v>
      </c>
      <c r="C55" s="156">
        <v>0.01</v>
      </c>
      <c r="D55" s="156" t="s">
        <v>673</v>
      </c>
      <c r="E55" s="156"/>
      <c r="F55" s="135"/>
      <c r="G55" s="135"/>
      <c r="H55" s="135"/>
      <c r="I55" s="135"/>
      <c r="J55" s="135"/>
    </row>
    <row r="56" spans="2:11" ht="15.75" customHeight="1" x14ac:dyDescent="0.25">
      <c r="B56" s="133"/>
      <c r="C56" s="134"/>
      <c r="D56" s="135"/>
      <c r="E56" s="135"/>
      <c r="F56" s="135"/>
      <c r="G56" s="135"/>
      <c r="H56" s="135"/>
      <c r="I56" s="135"/>
      <c r="J56" s="135"/>
      <c r="K56" s="135"/>
    </row>
    <row r="57" spans="2:11" ht="15.75" customHeight="1" x14ac:dyDescent="0.25">
      <c r="B57" s="185" t="s">
        <v>649</v>
      </c>
      <c r="C57" s="186"/>
      <c r="D57" s="135"/>
      <c r="E57" s="135"/>
      <c r="F57" s="135"/>
      <c r="G57" s="135"/>
      <c r="H57" s="135"/>
      <c r="I57" s="135"/>
      <c r="J57" s="135"/>
      <c r="K57" s="135"/>
    </row>
    <row r="58" spans="2:11" ht="15.75" customHeight="1" x14ac:dyDescent="0.25">
      <c r="B58" s="1314"/>
      <c r="C58" s="1315"/>
      <c r="D58" s="1315"/>
      <c r="E58" s="1316"/>
      <c r="F58" s="135"/>
      <c r="G58" s="135"/>
      <c r="H58" s="135"/>
      <c r="I58" s="135"/>
      <c r="J58" s="135"/>
      <c r="K58" s="135"/>
    </row>
    <row r="59" spans="2:11" ht="15.75" customHeight="1" x14ac:dyDescent="0.25">
      <c r="B59" s="1317"/>
      <c r="C59" s="1318"/>
      <c r="D59" s="1318"/>
      <c r="E59" s="1319"/>
      <c r="F59" s="135"/>
      <c r="G59" s="135"/>
      <c r="H59" s="135"/>
      <c r="I59" s="135"/>
      <c r="J59" s="135"/>
      <c r="K59" s="135"/>
    </row>
    <row r="60" spans="2:11" ht="15.75" customHeight="1" x14ac:dyDescent="0.25">
      <c r="B60" s="135"/>
      <c r="C60" s="145"/>
      <c r="D60" s="135"/>
      <c r="E60" s="135"/>
      <c r="F60" s="135"/>
      <c r="G60" s="135"/>
      <c r="H60" s="135"/>
      <c r="I60" s="135"/>
      <c r="J60" s="135"/>
      <c r="K60" s="135"/>
    </row>
    <row r="61" spans="2:11" ht="15.75" customHeight="1" x14ac:dyDescent="0.25">
      <c r="B61" s="1313" t="s">
        <v>674</v>
      </c>
      <c r="C61" s="1188"/>
      <c r="D61" s="1189"/>
      <c r="E61" s="135"/>
      <c r="F61" s="135"/>
      <c r="G61" s="135"/>
      <c r="H61" s="135"/>
      <c r="I61" s="135"/>
      <c r="J61" s="135"/>
      <c r="K61" s="135"/>
    </row>
    <row r="62" spans="2:11" ht="15.75" customHeight="1" x14ac:dyDescent="0.25">
      <c r="B62" s="174" t="s">
        <v>675</v>
      </c>
      <c r="C62" s="179"/>
      <c r="D62" s="156" t="s">
        <v>676</v>
      </c>
      <c r="E62" s="135"/>
      <c r="F62" s="135"/>
      <c r="G62" s="135"/>
      <c r="H62" s="135"/>
      <c r="I62" s="135"/>
      <c r="J62" s="135"/>
      <c r="K62" s="135"/>
    </row>
    <row r="63" spans="2:11" ht="15.75" customHeight="1" x14ac:dyDescent="0.25">
      <c r="B63" s="1310" t="s">
        <v>677</v>
      </c>
      <c r="C63" s="177"/>
      <c r="D63" s="187" t="s">
        <v>678</v>
      </c>
      <c r="E63" s="135"/>
      <c r="F63" s="135"/>
      <c r="G63" s="135"/>
      <c r="H63" s="135"/>
      <c r="I63" s="135"/>
      <c r="J63" s="135"/>
      <c r="K63" s="135"/>
    </row>
    <row r="64" spans="2:11" ht="15.75" customHeight="1" x14ac:dyDescent="0.25">
      <c r="B64" s="1311"/>
      <c r="C64" s="177"/>
      <c r="D64" s="188" t="s">
        <v>679</v>
      </c>
      <c r="E64" s="135"/>
      <c r="F64" s="135"/>
      <c r="G64" s="135"/>
      <c r="H64" s="135"/>
      <c r="I64" s="135"/>
      <c r="J64" s="135"/>
      <c r="K64" s="135"/>
    </row>
    <row r="65" spans="2:11" ht="15.75" customHeight="1" x14ac:dyDescent="0.25">
      <c r="B65" s="1311"/>
      <c r="C65" s="177"/>
      <c r="D65" s="187" t="s">
        <v>680</v>
      </c>
      <c r="E65" s="135"/>
      <c r="F65" s="135"/>
      <c r="G65" s="135"/>
      <c r="H65" s="135"/>
      <c r="I65" s="135"/>
      <c r="J65" s="135"/>
      <c r="K65" s="135"/>
    </row>
    <row r="66" spans="2:11" ht="15.75" customHeight="1" x14ac:dyDescent="0.25">
      <c r="B66" s="1311"/>
      <c r="C66" s="177"/>
      <c r="D66" s="188" t="s">
        <v>681</v>
      </c>
      <c r="E66" s="135"/>
      <c r="F66" s="135"/>
      <c r="G66" s="135"/>
      <c r="H66" s="135"/>
      <c r="I66" s="135"/>
      <c r="J66" s="135"/>
      <c r="K66" s="135"/>
    </row>
    <row r="67" spans="2:11" ht="15.75" customHeight="1" x14ac:dyDescent="0.25">
      <c r="B67" s="1311"/>
      <c r="C67" s="177"/>
      <c r="D67" s="188" t="s">
        <v>682</v>
      </c>
      <c r="E67" s="135"/>
      <c r="F67" s="135"/>
      <c r="G67" s="135"/>
      <c r="H67" s="135"/>
      <c r="I67" s="135"/>
      <c r="J67" s="135"/>
      <c r="K67" s="135"/>
    </row>
    <row r="68" spans="2:11" ht="15.75" customHeight="1" x14ac:dyDescent="0.25">
      <c r="B68" s="1311"/>
      <c r="C68" s="177"/>
      <c r="D68" s="188" t="s">
        <v>683</v>
      </c>
      <c r="E68" s="135"/>
      <c r="F68" s="135"/>
      <c r="G68" s="135"/>
      <c r="H68" s="135"/>
      <c r="I68" s="135"/>
      <c r="J68" s="135"/>
      <c r="K68" s="135"/>
    </row>
    <row r="69" spans="2:11" ht="15.75" customHeight="1" x14ac:dyDescent="0.25">
      <c r="B69" s="1311"/>
      <c r="C69" s="177"/>
      <c r="D69" s="188" t="s">
        <v>684</v>
      </c>
      <c r="E69" s="135"/>
      <c r="F69" s="135"/>
      <c r="G69" s="135"/>
      <c r="H69" s="135"/>
      <c r="I69" s="135"/>
      <c r="J69" s="135"/>
      <c r="K69" s="135"/>
    </row>
    <row r="70" spans="2:11" ht="15.75" customHeight="1" x14ac:dyDescent="0.25">
      <c r="B70" s="1311"/>
      <c r="C70" s="177"/>
      <c r="D70" s="188" t="s">
        <v>685</v>
      </c>
      <c r="E70" s="135"/>
      <c r="F70" s="135"/>
      <c r="G70" s="135"/>
      <c r="H70" s="135"/>
      <c r="I70" s="135"/>
      <c r="J70" s="135"/>
      <c r="K70" s="135"/>
    </row>
    <row r="71" spans="2:11" ht="15.75" customHeight="1" x14ac:dyDescent="0.25">
      <c r="B71" s="1311"/>
      <c r="C71" s="177"/>
      <c r="D71" s="188" t="s">
        <v>686</v>
      </c>
      <c r="E71" s="135"/>
      <c r="F71" s="135"/>
      <c r="G71" s="135"/>
      <c r="H71" s="135"/>
      <c r="I71" s="135"/>
      <c r="J71" s="135"/>
      <c r="K71" s="135"/>
    </row>
    <row r="72" spans="2:11" ht="15.75" customHeight="1" x14ac:dyDescent="0.25">
      <c r="B72" s="1311"/>
      <c r="C72" s="177"/>
      <c r="D72" s="187" t="s">
        <v>687</v>
      </c>
      <c r="E72" s="135"/>
      <c r="F72" s="135"/>
      <c r="G72" s="135"/>
      <c r="H72" s="135"/>
      <c r="I72" s="135"/>
      <c r="J72" s="135"/>
      <c r="K72" s="135"/>
    </row>
    <row r="73" spans="2:11" ht="15.75" customHeight="1" x14ac:dyDescent="0.25">
      <c r="B73" s="1311"/>
      <c r="C73" s="177"/>
      <c r="D73" s="188" t="s">
        <v>688</v>
      </c>
      <c r="E73" s="135"/>
      <c r="F73" s="135"/>
      <c r="G73" s="135"/>
      <c r="H73" s="135"/>
      <c r="I73" s="135"/>
      <c r="J73" s="135"/>
      <c r="K73" s="135"/>
    </row>
    <row r="74" spans="2:11" ht="15.75" customHeight="1" x14ac:dyDescent="0.25">
      <c r="B74" s="1312"/>
      <c r="C74" s="179"/>
      <c r="D74" s="189"/>
      <c r="E74" s="135"/>
      <c r="F74" s="135"/>
      <c r="G74" s="135"/>
      <c r="H74" s="135"/>
      <c r="I74" s="135"/>
      <c r="J74" s="135"/>
      <c r="K74" s="135"/>
    </row>
    <row r="75" spans="2:11" ht="15.75" customHeight="1" x14ac:dyDescent="0.25">
      <c r="B75" s="1310" t="s">
        <v>689</v>
      </c>
      <c r="C75" s="190"/>
      <c r="D75" s="1310"/>
      <c r="E75" s="135"/>
      <c r="F75" s="135"/>
      <c r="G75" s="135"/>
      <c r="H75" s="135"/>
      <c r="I75" s="135"/>
      <c r="J75" s="135"/>
      <c r="K75" s="135"/>
    </row>
    <row r="76" spans="2:11" ht="15.75" customHeight="1" x14ac:dyDescent="0.25">
      <c r="B76" s="1312"/>
      <c r="C76" s="191"/>
      <c r="D76" s="1312"/>
      <c r="E76" s="135"/>
      <c r="F76" s="135"/>
      <c r="G76" s="135"/>
      <c r="H76" s="135"/>
      <c r="I76" s="135"/>
      <c r="J76" s="135"/>
      <c r="K76" s="135"/>
    </row>
    <row r="77" spans="2:11" ht="15.75" customHeight="1" x14ac:dyDescent="0.25">
      <c r="B77" s="192"/>
      <c r="C77" s="147"/>
      <c r="D77" s="135"/>
      <c r="E77" s="135"/>
      <c r="F77" s="135"/>
      <c r="G77" s="135"/>
      <c r="H77" s="135"/>
      <c r="I77" s="135"/>
      <c r="J77" s="135"/>
      <c r="K77" s="135"/>
    </row>
    <row r="78" spans="2:11" ht="15.75" customHeight="1" x14ac:dyDescent="0.25">
      <c r="B78" s="1310" t="s">
        <v>690</v>
      </c>
      <c r="C78" s="160"/>
      <c r="D78" s="193" t="s">
        <v>691</v>
      </c>
      <c r="E78" s="135"/>
      <c r="F78" s="135"/>
      <c r="G78" s="135"/>
      <c r="H78" s="135"/>
      <c r="I78" s="135"/>
      <c r="J78" s="135"/>
      <c r="K78" s="135"/>
    </row>
    <row r="79" spans="2:11" ht="15.75" customHeight="1" x14ac:dyDescent="0.25">
      <c r="B79" s="1311"/>
      <c r="C79" s="177"/>
      <c r="D79" s="188" t="s">
        <v>692</v>
      </c>
      <c r="E79" s="135"/>
      <c r="F79" s="135"/>
      <c r="G79" s="135"/>
      <c r="H79" s="135"/>
      <c r="I79" s="135"/>
      <c r="J79" s="135"/>
      <c r="K79" s="135"/>
    </row>
    <row r="80" spans="2:11" ht="15.75" customHeight="1" x14ac:dyDescent="0.25">
      <c r="B80" s="1311"/>
      <c r="C80" s="177"/>
      <c r="D80" s="188" t="s">
        <v>693</v>
      </c>
      <c r="E80" s="135"/>
      <c r="F80" s="135"/>
      <c r="G80" s="135"/>
      <c r="H80" s="135"/>
      <c r="I80" s="135"/>
      <c r="J80" s="135"/>
      <c r="K80" s="135"/>
    </row>
    <row r="81" spans="2:11" ht="15.75" customHeight="1" x14ac:dyDescent="0.25">
      <c r="B81" s="1311"/>
      <c r="C81" s="177"/>
      <c r="D81" s="188" t="s">
        <v>694</v>
      </c>
      <c r="E81" s="135"/>
      <c r="F81" s="135"/>
      <c r="G81" s="135"/>
      <c r="H81" s="135"/>
      <c r="I81" s="135"/>
      <c r="J81" s="135"/>
      <c r="K81" s="135"/>
    </row>
    <row r="82" spans="2:11" ht="15.75" customHeight="1" x14ac:dyDescent="0.25">
      <c r="B82" s="1311"/>
      <c r="C82" s="177"/>
      <c r="D82" s="188" t="s">
        <v>695</v>
      </c>
      <c r="E82" s="135"/>
      <c r="F82" s="135"/>
      <c r="G82" s="135"/>
      <c r="H82" s="135"/>
      <c r="I82" s="135"/>
      <c r="J82" s="135"/>
      <c r="K82" s="135"/>
    </row>
    <row r="83" spans="2:11" ht="15.75" customHeight="1" x14ac:dyDescent="0.25">
      <c r="B83" s="1311"/>
      <c r="C83" s="177"/>
      <c r="D83" s="188" t="s">
        <v>696</v>
      </c>
      <c r="E83" s="135"/>
      <c r="F83" s="135"/>
      <c r="G83" s="135"/>
      <c r="H83" s="135"/>
      <c r="I83" s="135"/>
      <c r="J83" s="135"/>
      <c r="K83" s="135"/>
    </row>
    <row r="84" spans="2:11" ht="15.75" customHeight="1" x14ac:dyDescent="0.25">
      <c r="B84" s="1311"/>
      <c r="C84" s="177"/>
      <c r="D84" s="188" t="s">
        <v>697</v>
      </c>
      <c r="E84" s="135"/>
      <c r="F84" s="135"/>
      <c r="G84" s="135"/>
      <c r="H84" s="135"/>
      <c r="I84" s="135"/>
      <c r="J84" s="135"/>
      <c r="K84" s="135"/>
    </row>
    <row r="85" spans="2:11" ht="15.75" customHeight="1" x14ac:dyDescent="0.25">
      <c r="B85" s="1311"/>
      <c r="C85" s="177"/>
      <c r="D85" s="188" t="s">
        <v>698</v>
      </c>
      <c r="E85" s="135"/>
      <c r="F85" s="135"/>
      <c r="G85" s="135"/>
      <c r="H85" s="135"/>
      <c r="I85" s="135"/>
      <c r="J85" s="135"/>
      <c r="K85" s="135"/>
    </row>
    <row r="86" spans="2:11" ht="15.75" customHeight="1" x14ac:dyDescent="0.25">
      <c r="B86" s="1311"/>
      <c r="C86" s="177"/>
      <c r="D86" s="188" t="s">
        <v>699</v>
      </c>
      <c r="E86" s="135"/>
      <c r="F86" s="135"/>
      <c r="G86" s="135"/>
      <c r="H86" s="135"/>
      <c r="I86" s="135"/>
      <c r="J86" s="135"/>
      <c r="K86" s="135"/>
    </row>
    <row r="87" spans="2:11" ht="15.75" customHeight="1" x14ac:dyDescent="0.25">
      <c r="B87" s="1311"/>
      <c r="C87" s="177"/>
      <c r="D87" s="188" t="s">
        <v>700</v>
      </c>
      <c r="E87" s="135"/>
      <c r="F87" s="135"/>
      <c r="G87" s="135"/>
      <c r="H87" s="135"/>
      <c r="I87" s="135"/>
      <c r="J87" s="135"/>
      <c r="K87" s="135"/>
    </row>
    <row r="88" spans="2:11" ht="15.75" customHeight="1" x14ac:dyDescent="0.25">
      <c r="B88" s="1311"/>
      <c r="C88" s="177"/>
      <c r="D88" s="188" t="s">
        <v>701</v>
      </c>
      <c r="E88" s="135"/>
      <c r="F88" s="135"/>
      <c r="G88" s="135"/>
      <c r="H88" s="135"/>
      <c r="I88" s="135"/>
      <c r="J88" s="135"/>
      <c r="K88" s="135"/>
    </row>
    <row r="89" spans="2:11" ht="15.75" customHeight="1" x14ac:dyDescent="0.25">
      <c r="B89" s="1311"/>
      <c r="C89" s="177"/>
      <c r="D89" s="188" t="s">
        <v>702</v>
      </c>
      <c r="E89" s="135"/>
      <c r="F89" s="135"/>
      <c r="G89" s="135"/>
      <c r="H89" s="135"/>
      <c r="I89" s="135"/>
      <c r="J89" s="135"/>
      <c r="K89" s="135"/>
    </row>
    <row r="90" spans="2:11" ht="15.75" customHeight="1" x14ac:dyDescent="0.25">
      <c r="B90" s="1311"/>
      <c r="C90" s="177"/>
      <c r="D90" s="188" t="s">
        <v>703</v>
      </c>
      <c r="E90" s="135"/>
      <c r="F90" s="135"/>
      <c r="G90" s="135"/>
      <c r="H90" s="135"/>
      <c r="I90" s="135"/>
      <c r="J90" s="135"/>
      <c r="K90" s="135"/>
    </row>
    <row r="91" spans="2:11" ht="15.75" customHeight="1" x14ac:dyDescent="0.25">
      <c r="B91" s="1312"/>
      <c r="C91" s="179"/>
      <c r="D91" s="156" t="s">
        <v>704</v>
      </c>
      <c r="E91" s="135"/>
      <c r="F91" s="135"/>
      <c r="G91" s="135"/>
      <c r="H91" s="135"/>
      <c r="I91" s="135"/>
      <c r="J91" s="135"/>
      <c r="K91" s="135"/>
    </row>
    <row r="92" spans="2:11" ht="15.75" customHeight="1" x14ac:dyDescent="0.25">
      <c r="B92" s="1310" t="s">
        <v>705</v>
      </c>
      <c r="C92" s="177"/>
      <c r="D92" s="187" t="s">
        <v>706</v>
      </c>
      <c r="E92" s="135"/>
      <c r="F92" s="135"/>
      <c r="G92" s="135"/>
      <c r="H92" s="135"/>
      <c r="I92" s="135"/>
      <c r="J92" s="135"/>
      <c r="K92" s="135"/>
    </row>
    <row r="93" spans="2:11" ht="15.75" customHeight="1" x14ac:dyDescent="0.25">
      <c r="B93" s="1311"/>
      <c r="C93" s="177"/>
      <c r="D93" s="188" t="s">
        <v>707</v>
      </c>
      <c r="E93" s="135"/>
      <c r="F93" s="135"/>
      <c r="G93" s="135"/>
      <c r="H93" s="135"/>
      <c r="I93" s="135"/>
      <c r="J93" s="135"/>
      <c r="K93" s="135"/>
    </row>
    <row r="94" spans="2:11" ht="15.75" customHeight="1" x14ac:dyDescent="0.25">
      <c r="B94" s="1311"/>
      <c r="C94" s="177"/>
      <c r="D94" s="194"/>
      <c r="E94" s="135"/>
      <c r="F94" s="135"/>
      <c r="G94" s="135"/>
      <c r="H94" s="135"/>
      <c r="I94" s="135"/>
      <c r="J94" s="135"/>
      <c r="K94" s="135"/>
    </row>
    <row r="95" spans="2:11" ht="15.75" customHeight="1" x14ac:dyDescent="0.25">
      <c r="B95" s="1311"/>
      <c r="C95" s="177"/>
      <c r="D95" s="188" t="s">
        <v>708</v>
      </c>
      <c r="E95" s="135"/>
      <c r="F95" s="135"/>
      <c r="G95" s="135"/>
      <c r="H95" s="135"/>
      <c r="I95" s="135"/>
      <c r="J95" s="135"/>
      <c r="K95" s="135"/>
    </row>
    <row r="96" spans="2:11" ht="15.75" customHeight="1" x14ac:dyDescent="0.25">
      <c r="B96" s="1311"/>
      <c r="C96" s="177"/>
      <c r="D96" s="188" t="s">
        <v>709</v>
      </c>
      <c r="E96" s="135"/>
      <c r="F96" s="135"/>
      <c r="G96" s="135"/>
      <c r="H96" s="135"/>
      <c r="I96" s="135"/>
      <c r="J96" s="135"/>
      <c r="K96" s="135"/>
    </row>
    <row r="97" spans="2:11" ht="15.75" customHeight="1" x14ac:dyDescent="0.25">
      <c r="B97" s="1311"/>
      <c r="C97" s="177"/>
      <c r="D97" s="188" t="s">
        <v>710</v>
      </c>
      <c r="E97" s="135"/>
      <c r="F97" s="135"/>
      <c r="G97" s="135"/>
      <c r="H97" s="135"/>
      <c r="I97" s="135"/>
      <c r="J97" s="135"/>
      <c r="K97" s="135"/>
    </row>
    <row r="98" spans="2:11" ht="15.75" customHeight="1" x14ac:dyDescent="0.25">
      <c r="B98" s="1311"/>
      <c r="C98" s="177"/>
      <c r="D98" s="188" t="s">
        <v>711</v>
      </c>
      <c r="E98" s="135"/>
      <c r="F98" s="135"/>
      <c r="G98" s="135"/>
      <c r="H98" s="135"/>
      <c r="I98" s="135"/>
      <c r="J98" s="135"/>
      <c r="K98" s="135"/>
    </row>
    <row r="99" spans="2:11" ht="15.75" customHeight="1" x14ac:dyDescent="0.25">
      <c r="B99" s="1311"/>
      <c r="C99" s="177"/>
      <c r="D99" s="188" t="s">
        <v>712</v>
      </c>
      <c r="E99" s="135"/>
      <c r="F99" s="135"/>
      <c r="G99" s="135"/>
      <c r="H99" s="135"/>
      <c r="I99" s="135"/>
      <c r="J99" s="135"/>
      <c r="K99" s="135"/>
    </row>
    <row r="100" spans="2:11" ht="15.75" customHeight="1" x14ac:dyDescent="0.25">
      <c r="B100" s="1312"/>
      <c r="C100" s="179"/>
      <c r="D100" s="195" t="s">
        <v>713</v>
      </c>
      <c r="E100" s="135"/>
      <c r="F100" s="135"/>
      <c r="G100" s="135"/>
      <c r="H100" s="135"/>
      <c r="I100" s="135"/>
      <c r="J100" s="135"/>
      <c r="K100" s="135"/>
    </row>
    <row r="101" spans="2:11" ht="15.75" customHeight="1" x14ac:dyDescent="0.25">
      <c r="B101" s="135"/>
      <c r="C101" s="145"/>
      <c r="D101" s="135"/>
      <c r="E101" s="135"/>
      <c r="F101" s="135"/>
      <c r="G101" s="135"/>
      <c r="H101" s="135"/>
      <c r="I101" s="135"/>
      <c r="J101" s="135"/>
      <c r="K101" s="135"/>
    </row>
    <row r="102" spans="2:11" ht="15.75" customHeight="1" x14ac:dyDescent="0.25">
      <c r="B102" s="135"/>
      <c r="C102" s="145"/>
      <c r="D102" s="135"/>
      <c r="E102" s="135"/>
      <c r="F102" s="135"/>
      <c r="G102" s="135"/>
      <c r="H102" s="135"/>
      <c r="I102" s="135"/>
      <c r="J102" s="135"/>
      <c r="K102" s="135"/>
    </row>
    <row r="103" spans="2:11" ht="15.75" customHeight="1" x14ac:dyDescent="0.25">
      <c r="B103" s="135"/>
      <c r="C103" s="145"/>
      <c r="D103" s="135"/>
      <c r="E103" s="135"/>
      <c r="F103" s="135"/>
      <c r="G103" s="135"/>
      <c r="H103" s="135"/>
      <c r="I103" s="135"/>
      <c r="J103" s="135"/>
      <c r="K103" s="135"/>
    </row>
    <row r="104" spans="2:11" ht="15.75" customHeight="1" x14ac:dyDescent="0.25">
      <c r="B104" s="135"/>
      <c r="C104" s="145"/>
      <c r="D104" s="135"/>
      <c r="E104" s="135"/>
      <c r="F104" s="135"/>
      <c r="G104" s="135"/>
      <c r="H104" s="135"/>
      <c r="I104" s="135"/>
      <c r="J104" s="135"/>
      <c r="K104" s="135"/>
    </row>
    <row r="105" spans="2:11" ht="15.75" customHeight="1" x14ac:dyDescent="0.25">
      <c r="B105" s="135"/>
      <c r="C105" s="145"/>
      <c r="D105" s="135"/>
      <c r="E105" s="135"/>
      <c r="F105" s="135"/>
      <c r="G105" s="135"/>
      <c r="H105" s="135"/>
      <c r="I105" s="135"/>
      <c r="J105" s="135"/>
      <c r="K105" s="135"/>
    </row>
    <row r="106" spans="2:11" ht="15.75" customHeight="1" x14ac:dyDescent="0.25">
      <c r="B106" s="135"/>
      <c r="C106" s="145"/>
      <c r="D106" s="135"/>
      <c r="E106" s="135"/>
      <c r="F106" s="135"/>
      <c r="G106" s="135"/>
      <c r="H106" s="135"/>
      <c r="I106" s="135"/>
      <c r="J106" s="135"/>
      <c r="K106" s="135"/>
    </row>
    <row r="107" spans="2:11" ht="15.75" customHeight="1" x14ac:dyDescent="0.25">
      <c r="B107" s="135"/>
      <c r="C107" s="145"/>
      <c r="D107" s="135"/>
      <c r="E107" s="135"/>
      <c r="F107" s="135"/>
      <c r="G107" s="135"/>
      <c r="H107" s="135"/>
      <c r="I107" s="135"/>
      <c r="J107" s="135"/>
      <c r="K107" s="135"/>
    </row>
    <row r="108" spans="2:11" ht="15.75" customHeight="1" x14ac:dyDescent="0.25">
      <c r="B108" s="135"/>
      <c r="C108" s="145"/>
      <c r="D108" s="135"/>
      <c r="E108" s="135"/>
      <c r="F108" s="135"/>
      <c r="G108" s="135"/>
      <c r="H108" s="135"/>
      <c r="I108" s="135"/>
      <c r="J108" s="135"/>
      <c r="K108" s="135"/>
    </row>
    <row r="109" spans="2:11" ht="15.75" customHeight="1" x14ac:dyDescent="0.25">
      <c r="B109" s="135"/>
      <c r="C109" s="145"/>
      <c r="D109" s="135"/>
      <c r="E109" s="135"/>
      <c r="F109" s="135"/>
      <c r="G109" s="135"/>
      <c r="H109" s="135"/>
      <c r="I109" s="135"/>
      <c r="J109" s="135"/>
      <c r="K109" s="135"/>
    </row>
    <row r="110" spans="2:11" ht="15.75" customHeight="1" x14ac:dyDescent="0.25">
      <c r="B110" s="135"/>
      <c r="C110" s="145"/>
      <c r="D110" s="135"/>
      <c r="E110" s="135"/>
      <c r="F110" s="135"/>
      <c r="G110" s="135"/>
      <c r="H110" s="135"/>
      <c r="I110" s="135"/>
      <c r="J110" s="135"/>
      <c r="K110" s="135"/>
    </row>
    <row r="111" spans="2:11" ht="15.75" customHeight="1" x14ac:dyDescent="0.25">
      <c r="B111" s="135"/>
      <c r="C111" s="145"/>
      <c r="D111" s="135"/>
      <c r="E111" s="135"/>
      <c r="F111" s="135"/>
      <c r="G111" s="135"/>
      <c r="H111" s="135"/>
      <c r="I111" s="135"/>
      <c r="J111" s="135"/>
      <c r="K111" s="135"/>
    </row>
    <row r="112" spans="2:11" ht="15.75" customHeight="1" x14ac:dyDescent="0.25">
      <c r="B112" s="135"/>
      <c r="C112" s="145"/>
      <c r="D112" s="135"/>
      <c r="E112" s="135"/>
      <c r="F112" s="135"/>
      <c r="G112" s="135"/>
      <c r="H112" s="135"/>
      <c r="I112" s="135"/>
      <c r="J112" s="135"/>
      <c r="K112" s="135"/>
    </row>
    <row r="113" spans="2:11" ht="15.75" customHeight="1" x14ac:dyDescent="0.25">
      <c r="B113" s="135"/>
      <c r="C113" s="145"/>
      <c r="D113" s="135"/>
      <c r="E113" s="135"/>
      <c r="F113" s="135"/>
      <c r="G113" s="135"/>
      <c r="H113" s="135"/>
      <c r="I113" s="135"/>
      <c r="J113" s="135"/>
      <c r="K113" s="135"/>
    </row>
    <row r="114" spans="2:11" ht="15.75" customHeight="1" x14ac:dyDescent="0.25">
      <c r="B114" s="135"/>
      <c r="C114" s="145"/>
      <c r="D114" s="135"/>
      <c r="E114" s="135"/>
      <c r="F114" s="135"/>
      <c r="G114" s="135"/>
      <c r="H114" s="135"/>
      <c r="I114" s="135"/>
      <c r="J114" s="135"/>
      <c r="K114" s="135"/>
    </row>
    <row r="115" spans="2:11" ht="15.75" customHeight="1" x14ac:dyDescent="0.25">
      <c r="B115" s="135"/>
      <c r="C115" s="145"/>
      <c r="D115" s="135"/>
      <c r="E115" s="135"/>
      <c r="F115" s="135"/>
      <c r="G115" s="135"/>
      <c r="H115" s="135"/>
      <c r="I115" s="135"/>
      <c r="J115" s="135"/>
      <c r="K115" s="135"/>
    </row>
    <row r="116" spans="2:11" ht="15.75" customHeight="1" x14ac:dyDescent="0.25">
      <c r="B116" s="135"/>
      <c r="C116" s="145"/>
      <c r="D116" s="135"/>
      <c r="E116" s="135"/>
      <c r="F116" s="135"/>
      <c r="G116" s="135"/>
      <c r="H116" s="135"/>
      <c r="I116" s="135"/>
      <c r="J116" s="135"/>
      <c r="K116" s="135"/>
    </row>
    <row r="117" spans="2:11" ht="15.75" customHeight="1" x14ac:dyDescent="0.25">
      <c r="B117" s="135"/>
      <c r="C117" s="145"/>
      <c r="D117" s="135"/>
      <c r="E117" s="135"/>
      <c r="F117" s="135"/>
      <c r="G117" s="135"/>
      <c r="H117" s="135"/>
      <c r="I117" s="135"/>
      <c r="J117" s="135"/>
      <c r="K117" s="135"/>
    </row>
    <row r="118" spans="2:11" ht="15.75" customHeight="1" x14ac:dyDescent="0.25">
      <c r="B118" s="135"/>
      <c r="C118" s="145"/>
      <c r="D118" s="135"/>
      <c r="E118" s="135"/>
      <c r="F118" s="135"/>
      <c r="G118" s="135"/>
      <c r="H118" s="135"/>
      <c r="I118" s="135"/>
      <c r="J118" s="135"/>
      <c r="K118" s="135"/>
    </row>
    <row r="119" spans="2:11" ht="15.75" customHeight="1" x14ac:dyDescent="0.25">
      <c r="B119" s="135"/>
      <c r="C119" s="145"/>
      <c r="D119" s="135"/>
      <c r="E119" s="135"/>
      <c r="F119" s="135"/>
      <c r="G119" s="135"/>
      <c r="H119" s="135"/>
      <c r="I119" s="135"/>
      <c r="J119" s="135"/>
      <c r="K119" s="135"/>
    </row>
    <row r="120" spans="2:11" ht="15.75" customHeight="1" x14ac:dyDescent="0.25">
      <c r="B120" s="135"/>
      <c r="C120" s="145"/>
      <c r="D120" s="135"/>
      <c r="E120" s="135"/>
      <c r="F120" s="135"/>
      <c r="G120" s="135"/>
      <c r="H120" s="135"/>
      <c r="I120" s="135"/>
      <c r="J120" s="135"/>
      <c r="K120" s="135"/>
    </row>
    <row r="121" spans="2:11" ht="15.75" customHeight="1" x14ac:dyDescent="0.25">
      <c r="B121" s="135"/>
      <c r="C121" s="145"/>
      <c r="D121" s="135"/>
      <c r="E121" s="135"/>
      <c r="F121" s="135"/>
      <c r="G121" s="135"/>
      <c r="H121" s="135"/>
      <c r="I121" s="135"/>
      <c r="J121" s="135"/>
      <c r="K121" s="135"/>
    </row>
    <row r="122" spans="2:11" ht="15.75" customHeight="1" x14ac:dyDescent="0.25">
      <c r="B122" s="135"/>
      <c r="C122" s="145"/>
      <c r="D122" s="135"/>
      <c r="E122" s="135"/>
      <c r="F122" s="135"/>
      <c r="G122" s="135"/>
      <c r="H122" s="135"/>
      <c r="I122" s="135"/>
      <c r="J122" s="135"/>
      <c r="K122" s="135"/>
    </row>
    <row r="123" spans="2:11" ht="15.75" customHeight="1" x14ac:dyDescent="0.25">
      <c r="B123" s="135"/>
      <c r="C123" s="145"/>
      <c r="D123" s="135"/>
      <c r="E123" s="135"/>
      <c r="F123" s="135"/>
      <c r="G123" s="135"/>
      <c r="H123" s="135"/>
      <c r="I123" s="135"/>
      <c r="J123" s="135"/>
      <c r="K123" s="135"/>
    </row>
    <row r="124" spans="2:11" ht="15.75" customHeight="1" x14ac:dyDescent="0.25">
      <c r="B124" s="135"/>
      <c r="C124" s="145"/>
      <c r="D124" s="135"/>
      <c r="E124" s="135"/>
      <c r="F124" s="135"/>
      <c r="G124" s="135"/>
      <c r="H124" s="135"/>
      <c r="I124" s="135"/>
      <c r="J124" s="135"/>
      <c r="K124" s="135"/>
    </row>
    <row r="125" spans="2:11" ht="15.75" customHeight="1" x14ac:dyDescent="0.25">
      <c r="B125" s="135"/>
      <c r="C125" s="145"/>
      <c r="D125" s="135"/>
      <c r="E125" s="135"/>
      <c r="F125" s="135"/>
      <c r="G125" s="135"/>
      <c r="H125" s="135"/>
      <c r="I125" s="135"/>
      <c r="J125" s="135"/>
      <c r="K125" s="135"/>
    </row>
    <row r="126" spans="2:11" ht="15.75" customHeight="1" x14ac:dyDescent="0.25">
      <c r="B126" s="135"/>
      <c r="C126" s="145"/>
      <c r="D126" s="135"/>
      <c r="E126" s="135"/>
      <c r="F126" s="135"/>
      <c r="G126" s="135"/>
      <c r="H126" s="135"/>
      <c r="I126" s="135"/>
      <c r="J126" s="135"/>
      <c r="K126" s="135"/>
    </row>
    <row r="127" spans="2:11" ht="15.75" customHeight="1" x14ac:dyDescent="0.25">
      <c r="B127" s="135"/>
      <c r="C127" s="145"/>
      <c r="D127" s="135"/>
      <c r="E127" s="135"/>
      <c r="F127" s="135"/>
      <c r="G127" s="135"/>
      <c r="H127" s="135"/>
      <c r="I127" s="135"/>
      <c r="J127" s="135"/>
      <c r="K127" s="135"/>
    </row>
    <row r="128" spans="2:11" ht="15.75" customHeight="1" x14ac:dyDescent="0.25">
      <c r="B128" s="135"/>
      <c r="C128" s="145"/>
      <c r="D128" s="135"/>
      <c r="E128" s="135"/>
      <c r="F128" s="135"/>
      <c r="G128" s="135"/>
      <c r="H128" s="135"/>
      <c r="I128" s="135"/>
      <c r="J128" s="135"/>
      <c r="K128" s="135"/>
    </row>
    <row r="129" spans="2:11" ht="15.75" customHeight="1" x14ac:dyDescent="0.25">
      <c r="B129" s="135"/>
      <c r="C129" s="145"/>
      <c r="D129" s="135"/>
      <c r="E129" s="135"/>
      <c r="F129" s="135"/>
      <c r="G129" s="135"/>
      <c r="H129" s="135"/>
      <c r="I129" s="135"/>
      <c r="J129" s="135"/>
      <c r="K129" s="135"/>
    </row>
    <row r="130" spans="2:11" ht="15.75" customHeight="1" x14ac:dyDescent="0.25">
      <c r="B130" s="135"/>
      <c r="C130" s="145"/>
      <c r="D130" s="135"/>
      <c r="E130" s="135"/>
      <c r="F130" s="135"/>
      <c r="G130" s="135"/>
      <c r="H130" s="135"/>
      <c r="I130" s="135"/>
      <c r="J130" s="135"/>
      <c r="K130" s="135"/>
    </row>
    <row r="131" spans="2:11" ht="15.75" customHeight="1" x14ac:dyDescent="0.25">
      <c r="B131" s="135"/>
      <c r="C131" s="145"/>
      <c r="D131" s="135"/>
      <c r="E131" s="135"/>
      <c r="F131" s="135"/>
      <c r="G131" s="135"/>
      <c r="H131" s="135"/>
      <c r="I131" s="135"/>
      <c r="J131" s="135"/>
      <c r="K131" s="135"/>
    </row>
    <row r="132" spans="2:11" ht="15.75" customHeight="1" x14ac:dyDescent="0.25">
      <c r="B132" s="135"/>
      <c r="C132" s="145"/>
      <c r="D132" s="135"/>
      <c r="E132" s="135"/>
      <c r="F132" s="135"/>
      <c r="G132" s="135"/>
      <c r="H132" s="135"/>
      <c r="I132" s="135"/>
      <c r="J132" s="135"/>
      <c r="K132" s="135"/>
    </row>
    <row r="133" spans="2:11" ht="15.75" customHeight="1" x14ac:dyDescent="0.25">
      <c r="B133" s="135"/>
      <c r="C133" s="145"/>
      <c r="D133" s="135"/>
      <c r="E133" s="135"/>
      <c r="F133" s="135"/>
      <c r="G133" s="135"/>
      <c r="H133" s="135"/>
      <c r="I133" s="135"/>
      <c r="J133" s="135"/>
      <c r="K133" s="135"/>
    </row>
    <row r="134" spans="2:11" ht="15.75" customHeight="1" x14ac:dyDescent="0.25">
      <c r="B134" s="135"/>
      <c r="C134" s="145"/>
      <c r="D134" s="135"/>
      <c r="E134" s="135"/>
      <c r="F134" s="135"/>
      <c r="G134" s="135"/>
      <c r="H134" s="135"/>
      <c r="I134" s="135"/>
      <c r="J134" s="135"/>
      <c r="K134" s="135"/>
    </row>
    <row r="135" spans="2:11" ht="15.75" customHeight="1" x14ac:dyDescent="0.25">
      <c r="B135" s="135"/>
      <c r="C135" s="145"/>
      <c r="D135" s="135"/>
      <c r="E135" s="135"/>
      <c r="F135" s="135"/>
      <c r="G135" s="135"/>
      <c r="H135" s="135"/>
      <c r="I135" s="135"/>
      <c r="J135" s="135"/>
      <c r="K135" s="135"/>
    </row>
    <row r="136" spans="2:11" ht="15.75" customHeight="1" x14ac:dyDescent="0.25">
      <c r="B136" s="135"/>
      <c r="C136" s="145"/>
      <c r="D136" s="135"/>
      <c r="E136" s="135"/>
      <c r="F136" s="135"/>
      <c r="G136" s="135"/>
      <c r="H136" s="135"/>
      <c r="I136" s="135"/>
      <c r="J136" s="135"/>
      <c r="K136" s="135"/>
    </row>
    <row r="137" spans="2:11" ht="15.75" customHeight="1" x14ac:dyDescent="0.25">
      <c r="B137" s="135"/>
      <c r="C137" s="145"/>
      <c r="D137" s="135"/>
      <c r="E137" s="135"/>
      <c r="F137" s="135"/>
      <c r="G137" s="135"/>
      <c r="H137" s="135"/>
      <c r="I137" s="135"/>
      <c r="J137" s="135"/>
      <c r="K137" s="135"/>
    </row>
    <row r="138" spans="2:11" ht="15.75" customHeight="1" x14ac:dyDescent="0.25">
      <c r="B138" s="135"/>
      <c r="C138" s="145"/>
      <c r="D138" s="135"/>
      <c r="E138" s="135"/>
      <c r="F138" s="135"/>
      <c r="G138" s="135"/>
      <c r="H138" s="135"/>
      <c r="I138" s="135"/>
      <c r="J138" s="135"/>
      <c r="K138" s="135"/>
    </row>
    <row r="139" spans="2:11" ht="15.75" customHeight="1" x14ac:dyDescent="0.25">
      <c r="B139" s="135"/>
      <c r="C139" s="145"/>
      <c r="D139" s="135"/>
      <c r="E139" s="135"/>
      <c r="F139" s="135"/>
      <c r="G139" s="135"/>
      <c r="H139" s="135"/>
      <c r="I139" s="135"/>
      <c r="J139" s="135"/>
      <c r="K139" s="135"/>
    </row>
    <row r="140" spans="2:11" ht="15.75" customHeight="1" x14ac:dyDescent="0.25">
      <c r="B140" s="135"/>
      <c r="C140" s="145"/>
      <c r="D140" s="135"/>
      <c r="E140" s="135"/>
      <c r="F140" s="135"/>
      <c r="G140" s="135"/>
      <c r="H140" s="135"/>
      <c r="I140" s="135"/>
      <c r="J140" s="135"/>
      <c r="K140" s="135"/>
    </row>
    <row r="141" spans="2:11" ht="15.75" customHeight="1" x14ac:dyDescent="0.25">
      <c r="B141" s="135"/>
      <c r="C141" s="145"/>
      <c r="D141" s="135"/>
      <c r="E141" s="135"/>
      <c r="F141" s="135"/>
      <c r="G141" s="135"/>
      <c r="H141" s="135"/>
      <c r="I141" s="135"/>
      <c r="J141" s="135"/>
      <c r="K141" s="135"/>
    </row>
    <row r="142" spans="2:11" ht="15.75" customHeight="1" x14ac:dyDescent="0.25">
      <c r="B142" s="135"/>
      <c r="C142" s="145"/>
      <c r="D142" s="135"/>
      <c r="E142" s="135"/>
      <c r="F142" s="135"/>
      <c r="G142" s="135"/>
      <c r="H142" s="135"/>
      <c r="I142" s="135"/>
      <c r="J142" s="135"/>
      <c r="K142" s="135"/>
    </row>
    <row r="143" spans="2:11" ht="15.75" customHeight="1" x14ac:dyDescent="0.25">
      <c r="B143" s="135"/>
      <c r="C143" s="145"/>
      <c r="D143" s="135"/>
      <c r="E143" s="135"/>
      <c r="F143" s="135"/>
      <c r="G143" s="135"/>
      <c r="H143" s="135"/>
      <c r="I143" s="135"/>
      <c r="J143" s="135"/>
      <c r="K143" s="135"/>
    </row>
    <row r="144" spans="2:11" ht="15.75" customHeight="1" x14ac:dyDescent="0.25">
      <c r="B144" s="135"/>
      <c r="C144" s="145"/>
      <c r="D144" s="135"/>
      <c r="E144" s="135"/>
      <c r="F144" s="135"/>
      <c r="G144" s="135"/>
      <c r="H144" s="135"/>
      <c r="I144" s="135"/>
      <c r="J144" s="135"/>
      <c r="K144" s="135"/>
    </row>
    <row r="145" spans="2:11" ht="15.75" customHeight="1" x14ac:dyDescent="0.25">
      <c r="B145" s="135"/>
      <c r="C145" s="145"/>
      <c r="D145" s="135"/>
      <c r="E145" s="135"/>
      <c r="F145" s="135"/>
      <c r="G145" s="135"/>
      <c r="H145" s="135"/>
      <c r="I145" s="135"/>
      <c r="J145" s="135"/>
      <c r="K145" s="135"/>
    </row>
    <row r="146" spans="2:11" ht="15.75" customHeight="1" x14ac:dyDescent="0.25">
      <c r="B146" s="135"/>
      <c r="C146" s="145"/>
      <c r="D146" s="135"/>
      <c r="E146" s="135"/>
      <c r="F146" s="135"/>
      <c r="G146" s="135"/>
      <c r="H146" s="135"/>
      <c r="I146" s="135"/>
      <c r="J146" s="135"/>
      <c r="K146" s="135"/>
    </row>
    <row r="147" spans="2:11" ht="15.75" customHeight="1" x14ac:dyDescent="0.25">
      <c r="B147" s="135"/>
      <c r="C147" s="145"/>
      <c r="D147" s="135"/>
      <c r="E147" s="135"/>
      <c r="F147" s="135"/>
      <c r="G147" s="135"/>
      <c r="H147" s="135"/>
      <c r="I147" s="135"/>
      <c r="J147" s="135"/>
      <c r="K147" s="135"/>
    </row>
    <row r="148" spans="2:11" ht="15.75" customHeight="1" x14ac:dyDescent="0.25">
      <c r="B148" s="135"/>
      <c r="C148" s="145"/>
      <c r="D148" s="135"/>
      <c r="E148" s="135"/>
      <c r="F148" s="135"/>
      <c r="G148" s="135"/>
      <c r="H148" s="135"/>
      <c r="I148" s="135"/>
      <c r="J148" s="135"/>
      <c r="K148" s="135"/>
    </row>
    <row r="149" spans="2:11" ht="15.75" customHeight="1" x14ac:dyDescent="0.25">
      <c r="B149" s="135"/>
      <c r="C149" s="145"/>
      <c r="D149" s="135"/>
      <c r="E149" s="135"/>
      <c r="F149" s="135"/>
      <c r="G149" s="135"/>
      <c r="H149" s="135"/>
      <c r="I149" s="135"/>
      <c r="J149" s="135"/>
      <c r="K149" s="135"/>
    </row>
    <row r="150" spans="2:11" ht="15.75" customHeight="1" x14ac:dyDescent="0.25">
      <c r="B150" s="135"/>
      <c r="C150" s="145"/>
      <c r="D150" s="135"/>
      <c r="E150" s="135"/>
      <c r="F150" s="135"/>
      <c r="G150" s="135"/>
      <c r="H150" s="135"/>
      <c r="I150" s="135"/>
      <c r="J150" s="135"/>
      <c r="K150" s="135"/>
    </row>
    <row r="151" spans="2:11" ht="15.75" customHeight="1" x14ac:dyDescent="0.25">
      <c r="B151" s="135"/>
      <c r="C151" s="145"/>
      <c r="D151" s="135"/>
      <c r="E151" s="135"/>
      <c r="F151" s="135"/>
      <c r="G151" s="135"/>
      <c r="H151" s="135"/>
      <c r="I151" s="135"/>
      <c r="J151" s="135"/>
      <c r="K151" s="135"/>
    </row>
    <row r="152" spans="2:11" ht="15.75" customHeight="1" x14ac:dyDescent="0.25">
      <c r="B152" s="135"/>
      <c r="C152" s="145"/>
      <c r="D152" s="135"/>
      <c r="E152" s="135"/>
      <c r="F152" s="135"/>
      <c r="G152" s="135"/>
      <c r="H152" s="135"/>
      <c r="I152" s="135"/>
      <c r="J152" s="135"/>
      <c r="K152" s="135"/>
    </row>
    <row r="153" spans="2:11" ht="15.75" customHeight="1" x14ac:dyDescent="0.25">
      <c r="B153" s="135"/>
      <c r="C153" s="145"/>
      <c r="D153" s="135"/>
      <c r="E153" s="135"/>
      <c r="F153" s="135"/>
      <c r="G153" s="135"/>
      <c r="H153" s="135"/>
      <c r="I153" s="135"/>
      <c r="J153" s="135"/>
      <c r="K153" s="135"/>
    </row>
    <row r="154" spans="2:11" ht="15.75" customHeight="1" x14ac:dyDescent="0.25">
      <c r="B154" s="135"/>
      <c r="C154" s="145"/>
      <c r="D154" s="135"/>
      <c r="E154" s="135"/>
      <c r="F154" s="135"/>
      <c r="G154" s="135"/>
      <c r="H154" s="135"/>
      <c r="I154" s="135"/>
      <c r="J154" s="135"/>
      <c r="K154" s="135"/>
    </row>
    <row r="155" spans="2:11" ht="15.75" customHeight="1" x14ac:dyDescent="0.25">
      <c r="B155" s="135"/>
      <c r="C155" s="145"/>
      <c r="D155" s="135"/>
      <c r="E155" s="135"/>
      <c r="F155" s="135"/>
      <c r="G155" s="135"/>
      <c r="H155" s="135"/>
      <c r="I155" s="135"/>
      <c r="J155" s="135"/>
      <c r="K155" s="135"/>
    </row>
    <row r="156" spans="2:11" ht="15.75" customHeight="1" x14ac:dyDescent="0.25">
      <c r="B156" s="135"/>
      <c r="C156" s="145"/>
      <c r="D156" s="135"/>
      <c r="E156" s="135"/>
      <c r="F156" s="135"/>
      <c r="G156" s="135"/>
      <c r="H156" s="135"/>
      <c r="I156" s="135"/>
      <c r="J156" s="135"/>
      <c r="K156" s="135"/>
    </row>
    <row r="157" spans="2:11" ht="15.75" customHeight="1" x14ac:dyDescent="0.25">
      <c r="B157" s="135"/>
      <c r="C157" s="145"/>
      <c r="D157" s="135"/>
      <c r="E157" s="135"/>
      <c r="F157" s="135"/>
      <c r="G157" s="135"/>
      <c r="H157" s="135"/>
      <c r="I157" s="135"/>
      <c r="J157" s="135"/>
      <c r="K157" s="135"/>
    </row>
    <row r="158" spans="2:11" ht="15.75" customHeight="1" x14ac:dyDescent="0.25">
      <c r="B158" s="135"/>
      <c r="C158" s="145"/>
      <c r="D158" s="135"/>
      <c r="E158" s="135"/>
      <c r="F158" s="135"/>
      <c r="G158" s="135"/>
      <c r="H158" s="135"/>
      <c r="I158" s="135"/>
      <c r="J158" s="135"/>
      <c r="K158" s="135"/>
    </row>
    <row r="159" spans="2:11" ht="15.75" customHeight="1" x14ac:dyDescent="0.25">
      <c r="B159" s="135"/>
      <c r="C159" s="145"/>
      <c r="D159" s="135"/>
      <c r="E159" s="135"/>
      <c r="F159" s="135"/>
      <c r="G159" s="135"/>
      <c r="H159" s="135"/>
      <c r="I159" s="135"/>
      <c r="J159" s="135"/>
      <c r="K159" s="135"/>
    </row>
    <row r="160" spans="2:11" ht="15.75" customHeight="1" x14ac:dyDescent="0.25">
      <c r="B160" s="135"/>
      <c r="C160" s="145"/>
      <c r="D160" s="135"/>
      <c r="E160" s="135"/>
      <c r="F160" s="135"/>
      <c r="G160" s="135"/>
      <c r="H160" s="135"/>
      <c r="I160" s="135"/>
      <c r="J160" s="135"/>
      <c r="K160" s="135"/>
    </row>
    <row r="161" spans="2:11" ht="15.75" customHeight="1" x14ac:dyDescent="0.25">
      <c r="B161" s="135"/>
      <c r="C161" s="145"/>
      <c r="D161" s="135"/>
      <c r="E161" s="135"/>
      <c r="F161" s="135"/>
      <c r="G161" s="135"/>
      <c r="H161" s="135"/>
      <c r="I161" s="135"/>
      <c r="J161" s="135"/>
      <c r="K161" s="135"/>
    </row>
    <row r="162" spans="2:11" ht="15.75" customHeight="1" x14ac:dyDescent="0.25">
      <c r="B162" s="135"/>
      <c r="C162" s="145"/>
      <c r="D162" s="135"/>
      <c r="E162" s="135"/>
      <c r="F162" s="135"/>
      <c r="G162" s="135"/>
      <c r="H162" s="135"/>
      <c r="I162" s="135"/>
      <c r="J162" s="135"/>
      <c r="K162" s="135"/>
    </row>
    <row r="163" spans="2:11" ht="15.75" customHeight="1" x14ac:dyDescent="0.25">
      <c r="B163" s="135"/>
      <c r="C163" s="145"/>
      <c r="D163" s="135"/>
      <c r="E163" s="135"/>
      <c r="F163" s="135"/>
      <c r="G163" s="135"/>
      <c r="H163" s="135"/>
      <c r="I163" s="135"/>
      <c r="J163" s="135"/>
      <c r="K163" s="135"/>
    </row>
    <row r="164" spans="2:11" ht="15.75" customHeight="1" x14ac:dyDescent="0.25">
      <c r="B164" s="135"/>
      <c r="C164" s="145"/>
      <c r="D164" s="135"/>
      <c r="E164" s="135"/>
      <c r="F164" s="135"/>
      <c r="G164" s="135"/>
      <c r="H164" s="135"/>
      <c r="I164" s="135"/>
      <c r="J164" s="135"/>
      <c r="K164" s="135"/>
    </row>
    <row r="165" spans="2:11" ht="15.75" customHeight="1" x14ac:dyDescent="0.25">
      <c r="B165" s="135"/>
      <c r="C165" s="145"/>
      <c r="D165" s="135"/>
      <c r="E165" s="135"/>
      <c r="F165" s="135"/>
      <c r="G165" s="135"/>
      <c r="H165" s="135"/>
      <c r="I165" s="135"/>
      <c r="J165" s="135"/>
      <c r="K165" s="135"/>
    </row>
    <row r="166" spans="2:11" ht="15.75" customHeight="1" x14ac:dyDescent="0.25">
      <c r="B166" s="135"/>
      <c r="C166" s="145"/>
      <c r="D166" s="135"/>
      <c r="E166" s="135"/>
      <c r="F166" s="135"/>
      <c r="G166" s="135"/>
      <c r="H166" s="135"/>
      <c r="I166" s="135"/>
      <c r="J166" s="135"/>
      <c r="K166" s="135"/>
    </row>
    <row r="167" spans="2:11" ht="15.75" customHeight="1" x14ac:dyDescent="0.25">
      <c r="B167" s="135"/>
      <c r="C167" s="145"/>
      <c r="D167" s="135"/>
      <c r="E167" s="135"/>
      <c r="F167" s="135"/>
      <c r="G167" s="135"/>
      <c r="H167" s="135"/>
      <c r="I167" s="135"/>
      <c r="J167" s="135"/>
      <c r="K167" s="135"/>
    </row>
    <row r="168" spans="2:11" ht="15.75" customHeight="1" x14ac:dyDescent="0.25">
      <c r="B168" s="135"/>
      <c r="C168" s="145"/>
      <c r="D168" s="135"/>
      <c r="E168" s="135"/>
      <c r="F168" s="135"/>
      <c r="G168" s="135"/>
      <c r="H168" s="135"/>
      <c r="I168" s="135"/>
      <c r="J168" s="135"/>
      <c r="K168" s="135"/>
    </row>
    <row r="169" spans="2:11" ht="15.75" customHeight="1" x14ac:dyDescent="0.25">
      <c r="B169" s="135"/>
      <c r="C169" s="145"/>
      <c r="D169" s="135"/>
      <c r="E169" s="135"/>
      <c r="F169" s="135"/>
      <c r="G169" s="135"/>
      <c r="H169" s="135"/>
      <c r="I169" s="135"/>
      <c r="J169" s="135"/>
      <c r="K169" s="135"/>
    </row>
    <row r="170" spans="2:11" ht="15.75" customHeight="1" x14ac:dyDescent="0.25">
      <c r="B170" s="135"/>
      <c r="C170" s="145"/>
      <c r="D170" s="135"/>
      <c r="E170" s="135"/>
      <c r="F170" s="135"/>
      <c r="G170" s="135"/>
      <c r="H170" s="135"/>
      <c r="I170" s="135"/>
      <c r="J170" s="135"/>
      <c r="K170" s="135"/>
    </row>
    <row r="171" spans="2:11" ht="15.75" customHeight="1" x14ac:dyDescent="0.25">
      <c r="B171" s="135"/>
      <c r="C171" s="145"/>
      <c r="D171" s="135"/>
      <c r="E171" s="135"/>
      <c r="F171" s="135"/>
      <c r="G171" s="135"/>
      <c r="H171" s="135"/>
      <c r="I171" s="135"/>
      <c r="J171" s="135"/>
      <c r="K171" s="135"/>
    </row>
    <row r="172" spans="2:11" ht="15.75" customHeight="1" x14ac:dyDescent="0.25">
      <c r="B172" s="135"/>
      <c r="C172" s="145"/>
      <c r="D172" s="135"/>
      <c r="E172" s="135"/>
      <c r="F172" s="135"/>
      <c r="G172" s="135"/>
      <c r="H172" s="135"/>
      <c r="I172" s="135"/>
      <c r="J172" s="135"/>
      <c r="K172" s="135"/>
    </row>
    <row r="173" spans="2:11" ht="15.75" customHeight="1" x14ac:dyDescent="0.25">
      <c r="B173" s="135"/>
      <c r="C173" s="145"/>
      <c r="D173" s="135"/>
      <c r="E173" s="135"/>
      <c r="F173" s="135"/>
      <c r="G173" s="135"/>
      <c r="H173" s="135"/>
      <c r="I173" s="135"/>
      <c r="J173" s="135"/>
      <c r="K173" s="135"/>
    </row>
    <row r="174" spans="2:11" ht="15.75" customHeight="1" x14ac:dyDescent="0.25">
      <c r="B174" s="135"/>
      <c r="C174" s="145"/>
      <c r="D174" s="135"/>
      <c r="E174" s="135"/>
      <c r="F174" s="135"/>
      <c r="G174" s="135"/>
      <c r="H174" s="135"/>
      <c r="I174" s="135"/>
      <c r="J174" s="135"/>
      <c r="K174" s="135"/>
    </row>
    <row r="175" spans="2:11" ht="15.75" customHeight="1" x14ac:dyDescent="0.25">
      <c r="B175" s="135"/>
      <c r="C175" s="145"/>
      <c r="D175" s="135"/>
      <c r="E175" s="135"/>
      <c r="F175" s="135"/>
      <c r="G175" s="135"/>
      <c r="H175" s="135"/>
      <c r="I175" s="135"/>
      <c r="J175" s="135"/>
      <c r="K175" s="135"/>
    </row>
    <row r="176" spans="2:11" ht="15.75" customHeight="1" x14ac:dyDescent="0.25">
      <c r="B176" s="135"/>
      <c r="C176" s="145"/>
      <c r="D176" s="135"/>
      <c r="E176" s="135"/>
      <c r="F176" s="135"/>
      <c r="G176" s="135"/>
      <c r="H176" s="135"/>
      <c r="I176" s="135"/>
      <c r="J176" s="135"/>
      <c r="K176" s="135"/>
    </row>
    <row r="177" spans="2:11" ht="15.75" customHeight="1" x14ac:dyDescent="0.25">
      <c r="B177" s="135"/>
      <c r="C177" s="145"/>
      <c r="D177" s="135"/>
      <c r="E177" s="135"/>
      <c r="F177" s="135"/>
      <c r="G177" s="135"/>
      <c r="H177" s="135"/>
      <c r="I177" s="135"/>
      <c r="J177" s="135"/>
      <c r="K177" s="135"/>
    </row>
    <row r="178" spans="2:11" ht="15.75" customHeight="1" x14ac:dyDescent="0.25">
      <c r="B178" s="135"/>
      <c r="C178" s="145"/>
      <c r="D178" s="135"/>
      <c r="E178" s="135"/>
      <c r="F178" s="135"/>
      <c r="G178" s="135"/>
      <c r="H178" s="135"/>
      <c r="I178" s="135"/>
      <c r="J178" s="135"/>
      <c r="K178" s="135"/>
    </row>
    <row r="179" spans="2:11" ht="15.75" customHeight="1" x14ac:dyDescent="0.25">
      <c r="C179" s="145"/>
    </row>
    <row r="180" spans="2:11" ht="15.75" customHeight="1" x14ac:dyDescent="0.25">
      <c r="C180" s="145"/>
    </row>
    <row r="181" spans="2:11" ht="15.75" customHeight="1" x14ac:dyDescent="0.25">
      <c r="C181" s="145"/>
    </row>
    <row r="182" spans="2:11" ht="15.75" customHeight="1" x14ac:dyDescent="0.25">
      <c r="C182" s="145"/>
    </row>
    <row r="183" spans="2:11" ht="15.75" customHeight="1" x14ac:dyDescent="0.25">
      <c r="C183" s="145"/>
    </row>
    <row r="184" spans="2:11" ht="15.75" customHeight="1" x14ac:dyDescent="0.25">
      <c r="C184" s="145"/>
    </row>
    <row r="185" spans="2:11" ht="15.75" customHeight="1" x14ac:dyDescent="0.25">
      <c r="C185" s="145"/>
    </row>
    <row r="186" spans="2:11" ht="15.75" customHeight="1" x14ac:dyDescent="0.25">
      <c r="C186" s="145"/>
    </row>
    <row r="187" spans="2:11" ht="15.75" customHeight="1" x14ac:dyDescent="0.25">
      <c r="C187" s="145"/>
    </row>
    <row r="188" spans="2:11" ht="15.75" customHeight="1" x14ac:dyDescent="0.25">
      <c r="C188" s="145"/>
    </row>
    <row r="189" spans="2:11" ht="15.75" customHeight="1" x14ac:dyDescent="0.25">
      <c r="C189" s="145"/>
    </row>
    <row r="190" spans="2:11" ht="15.75" customHeight="1" x14ac:dyDescent="0.25">
      <c r="C190" s="145"/>
    </row>
    <row r="191" spans="2:11" ht="15.75" customHeight="1" x14ac:dyDescent="0.25">
      <c r="C191" s="145"/>
    </row>
    <row r="192" spans="2:11" ht="15.75" customHeight="1" x14ac:dyDescent="0.25">
      <c r="C192" s="145"/>
    </row>
    <row r="193" spans="3:3" ht="15.75" customHeight="1" x14ac:dyDescent="0.25">
      <c r="C193" s="145"/>
    </row>
    <row r="194" spans="3:3" ht="15.75" customHeight="1" x14ac:dyDescent="0.25">
      <c r="C194" s="145"/>
    </row>
    <row r="195" spans="3:3" ht="15.75" customHeight="1" x14ac:dyDescent="0.25">
      <c r="C195" s="145"/>
    </row>
    <row r="196" spans="3:3" ht="15.75" customHeight="1" x14ac:dyDescent="0.25">
      <c r="C196" s="145"/>
    </row>
    <row r="197" spans="3:3" ht="15.75" customHeight="1" x14ac:dyDescent="0.25">
      <c r="C197" s="145"/>
    </row>
    <row r="198" spans="3:3" ht="15.75" customHeight="1" x14ac:dyDescent="0.25">
      <c r="C198" s="145"/>
    </row>
    <row r="199" spans="3:3" ht="15.75" customHeight="1" x14ac:dyDescent="0.25">
      <c r="C199" s="145"/>
    </row>
    <row r="200" spans="3:3" ht="15.75" customHeight="1" x14ac:dyDescent="0.25">
      <c r="C200" s="145"/>
    </row>
    <row r="201" spans="3:3" ht="15.75" customHeight="1" x14ac:dyDescent="0.25">
      <c r="C201" s="145"/>
    </row>
    <row r="202" spans="3:3" ht="15.75" customHeight="1" x14ac:dyDescent="0.25">
      <c r="C202" s="145"/>
    </row>
    <row r="203" spans="3:3" ht="15.75" customHeight="1" x14ac:dyDescent="0.25">
      <c r="C203" s="145"/>
    </row>
    <row r="204" spans="3:3" ht="15.75" customHeight="1" x14ac:dyDescent="0.25">
      <c r="C204" s="145"/>
    </row>
    <row r="205" spans="3:3" ht="15.75" customHeight="1" x14ac:dyDescent="0.25">
      <c r="C205" s="145"/>
    </row>
    <row r="206" spans="3:3" ht="15.75" customHeight="1" x14ac:dyDescent="0.25">
      <c r="C206" s="145"/>
    </row>
    <row r="207" spans="3:3" ht="15.75" customHeight="1" x14ac:dyDescent="0.25">
      <c r="C207" s="145"/>
    </row>
    <row r="208" spans="3:3" ht="15.75" customHeight="1" x14ac:dyDescent="0.25">
      <c r="C208" s="145"/>
    </row>
    <row r="209" spans="3:3" ht="15.75" customHeight="1" x14ac:dyDescent="0.25">
      <c r="C209" s="145"/>
    </row>
    <row r="210" spans="3:3" ht="15.75" customHeight="1" x14ac:dyDescent="0.25">
      <c r="C210" s="145"/>
    </row>
    <row r="211" spans="3:3" ht="15.75" customHeight="1" x14ac:dyDescent="0.25">
      <c r="C211" s="145"/>
    </row>
    <row r="212" spans="3:3" ht="15.75" customHeight="1" x14ac:dyDescent="0.25">
      <c r="C212" s="145"/>
    </row>
    <row r="213" spans="3:3" ht="15.75" customHeight="1" x14ac:dyDescent="0.25">
      <c r="C213" s="145"/>
    </row>
    <row r="214" spans="3:3" ht="15.75" customHeight="1" x14ac:dyDescent="0.25">
      <c r="C214" s="145"/>
    </row>
    <row r="215" spans="3:3" ht="15.75" customHeight="1" x14ac:dyDescent="0.25">
      <c r="C215" s="145"/>
    </row>
    <row r="216" spans="3:3" ht="15.75" customHeight="1" x14ac:dyDescent="0.25">
      <c r="C216" s="145"/>
    </row>
    <row r="217" spans="3:3" ht="15.75" customHeight="1" x14ac:dyDescent="0.25">
      <c r="C217" s="145"/>
    </row>
    <row r="218" spans="3:3" ht="15.75" customHeight="1" x14ac:dyDescent="0.25">
      <c r="C218" s="145"/>
    </row>
    <row r="219" spans="3:3" ht="15.75" customHeight="1" x14ac:dyDescent="0.25">
      <c r="C219" s="145"/>
    </row>
    <row r="220" spans="3:3" ht="15.75" customHeight="1" x14ac:dyDescent="0.25">
      <c r="C220" s="145"/>
    </row>
    <row r="221" spans="3:3" ht="15.75" customHeight="1" x14ac:dyDescent="0.25">
      <c r="C221" s="145"/>
    </row>
    <row r="222" spans="3:3" ht="15.75" customHeight="1" x14ac:dyDescent="0.25">
      <c r="C222" s="145"/>
    </row>
    <row r="223" spans="3:3" ht="15.75" customHeight="1" x14ac:dyDescent="0.25">
      <c r="C223" s="145"/>
    </row>
    <row r="224" spans="3:3" ht="15.75" customHeight="1" x14ac:dyDescent="0.25">
      <c r="C224" s="145"/>
    </row>
    <row r="225" spans="3:3" ht="15.75" customHeight="1" x14ac:dyDescent="0.25">
      <c r="C225" s="145"/>
    </row>
    <row r="226" spans="3:3" ht="15.75" customHeight="1" x14ac:dyDescent="0.25">
      <c r="C226" s="145"/>
    </row>
    <row r="227" spans="3:3" ht="15.75" customHeight="1" x14ac:dyDescent="0.25">
      <c r="C227" s="145"/>
    </row>
    <row r="228" spans="3:3" ht="15.75" customHeight="1" x14ac:dyDescent="0.25">
      <c r="C228" s="145"/>
    </row>
    <row r="229" spans="3:3" ht="15.75" customHeight="1" x14ac:dyDescent="0.25">
      <c r="C229" s="145"/>
    </row>
    <row r="230" spans="3:3" ht="15.75" customHeight="1" x14ac:dyDescent="0.25">
      <c r="C230" s="145"/>
    </row>
    <row r="231" spans="3:3" ht="15.75" customHeight="1" x14ac:dyDescent="0.25">
      <c r="C231" s="145"/>
    </row>
    <row r="232" spans="3:3" ht="15.75" customHeight="1" x14ac:dyDescent="0.25">
      <c r="C232" s="145"/>
    </row>
    <row r="233" spans="3:3" ht="15.75" customHeight="1" x14ac:dyDescent="0.25">
      <c r="C233" s="145"/>
    </row>
    <row r="234" spans="3:3" ht="15.75" customHeight="1" x14ac:dyDescent="0.25">
      <c r="C234" s="145"/>
    </row>
    <row r="235" spans="3:3" ht="15.75" customHeight="1" x14ac:dyDescent="0.25">
      <c r="C235" s="145"/>
    </row>
    <row r="236" spans="3:3" ht="15.75" customHeight="1" x14ac:dyDescent="0.25">
      <c r="C236" s="145"/>
    </row>
    <row r="237" spans="3:3" ht="15.75" customHeight="1" x14ac:dyDescent="0.25">
      <c r="C237" s="145"/>
    </row>
    <row r="238" spans="3:3" ht="15.75" customHeight="1" x14ac:dyDescent="0.25">
      <c r="C238" s="145"/>
    </row>
    <row r="239" spans="3:3" ht="15.75" customHeight="1" x14ac:dyDescent="0.25">
      <c r="C239" s="145"/>
    </row>
    <row r="240" spans="3:3" ht="15.75" customHeight="1" x14ac:dyDescent="0.25">
      <c r="C240" s="145"/>
    </row>
    <row r="241" spans="3:3" ht="15.75" customHeight="1" x14ac:dyDescent="0.25">
      <c r="C241" s="145"/>
    </row>
    <row r="242" spans="3:3" ht="15.75" customHeight="1" x14ac:dyDescent="0.25">
      <c r="C242" s="145"/>
    </row>
    <row r="243" spans="3:3" ht="15.75" customHeight="1" x14ac:dyDescent="0.25">
      <c r="C243" s="145"/>
    </row>
    <row r="244" spans="3:3" ht="15.75" customHeight="1" x14ac:dyDescent="0.25">
      <c r="C244" s="145"/>
    </row>
    <row r="245" spans="3:3" ht="15.75" customHeight="1" x14ac:dyDescent="0.25">
      <c r="C245" s="145"/>
    </row>
    <row r="246" spans="3:3" ht="15.75" customHeight="1" x14ac:dyDescent="0.25">
      <c r="C246" s="145"/>
    </row>
    <row r="247" spans="3:3" ht="15.75" customHeight="1" x14ac:dyDescent="0.25">
      <c r="C247" s="145"/>
    </row>
    <row r="248" spans="3:3" ht="15.75" customHeight="1" x14ac:dyDescent="0.25">
      <c r="C248" s="145"/>
    </row>
    <row r="249" spans="3:3" ht="15.75" customHeight="1" x14ac:dyDescent="0.25">
      <c r="C249" s="145"/>
    </row>
    <row r="250" spans="3:3" ht="15.75" customHeight="1" x14ac:dyDescent="0.25">
      <c r="C250" s="145"/>
    </row>
    <row r="251" spans="3:3" ht="15.75" customHeight="1" x14ac:dyDescent="0.25">
      <c r="C251" s="145"/>
    </row>
    <row r="252" spans="3:3" ht="15.75" customHeight="1" x14ac:dyDescent="0.25">
      <c r="C252" s="145"/>
    </row>
    <row r="253" spans="3:3" ht="15.75" customHeight="1" x14ac:dyDescent="0.25">
      <c r="C253" s="145"/>
    </row>
    <row r="254" spans="3:3" ht="15.75" customHeight="1" x14ac:dyDescent="0.25">
      <c r="C254" s="145"/>
    </row>
    <row r="255" spans="3:3" ht="15.75" customHeight="1" x14ac:dyDescent="0.25">
      <c r="C255" s="145"/>
    </row>
    <row r="256" spans="3:3" ht="15.75" customHeight="1" x14ac:dyDescent="0.25">
      <c r="C256" s="145"/>
    </row>
    <row r="257" spans="3:3" ht="15.75" customHeight="1" x14ac:dyDescent="0.25">
      <c r="C257" s="145"/>
    </row>
    <row r="258" spans="3:3" ht="15.75" customHeight="1" x14ac:dyDescent="0.25">
      <c r="C258" s="145"/>
    </row>
    <row r="259" spans="3:3" ht="15.75" customHeight="1" x14ac:dyDescent="0.25">
      <c r="C259" s="145"/>
    </row>
    <row r="260" spans="3:3" ht="15.75" customHeight="1" x14ac:dyDescent="0.25">
      <c r="C260" s="145"/>
    </row>
    <row r="261" spans="3:3" ht="15.75" customHeight="1" x14ac:dyDescent="0.25">
      <c r="C261" s="145"/>
    </row>
    <row r="262" spans="3:3" ht="15.75" customHeight="1" x14ac:dyDescent="0.25">
      <c r="C262" s="145"/>
    </row>
    <row r="263" spans="3:3" ht="15.75" customHeight="1" x14ac:dyDescent="0.25">
      <c r="C263" s="145"/>
    </row>
    <row r="264" spans="3:3" ht="15.75" customHeight="1" x14ac:dyDescent="0.25">
      <c r="C264" s="145"/>
    </row>
    <row r="265" spans="3:3" ht="15.75" customHeight="1" x14ac:dyDescent="0.25">
      <c r="C265" s="145"/>
    </row>
    <row r="266" spans="3:3" ht="15.75" customHeight="1" x14ac:dyDescent="0.25">
      <c r="C266" s="145"/>
    </row>
    <row r="267" spans="3:3" ht="15.75" customHeight="1" x14ac:dyDescent="0.25">
      <c r="C267" s="145"/>
    </row>
    <row r="268" spans="3:3" ht="15.75" customHeight="1" x14ac:dyDescent="0.25">
      <c r="C268" s="145"/>
    </row>
    <row r="269" spans="3:3" ht="15.75" customHeight="1" x14ac:dyDescent="0.25">
      <c r="C269" s="145"/>
    </row>
    <row r="270" spans="3:3" ht="15.75" customHeight="1" x14ac:dyDescent="0.25">
      <c r="C270" s="145"/>
    </row>
    <row r="271" spans="3:3" ht="15.75" customHeight="1" x14ac:dyDescent="0.25">
      <c r="C271" s="145"/>
    </row>
    <row r="272" spans="3:3" ht="15.75" customHeight="1" x14ac:dyDescent="0.25">
      <c r="C272" s="145"/>
    </row>
    <row r="273" spans="3:3" ht="15.75" customHeight="1" x14ac:dyDescent="0.25">
      <c r="C273" s="145"/>
    </row>
    <row r="274" spans="3:3" ht="15.75" customHeight="1" x14ac:dyDescent="0.25">
      <c r="C274" s="145"/>
    </row>
    <row r="275" spans="3:3" ht="15.75" customHeight="1" x14ac:dyDescent="0.25">
      <c r="C275" s="145"/>
    </row>
    <row r="276" spans="3:3" ht="15.75" customHeight="1" x14ac:dyDescent="0.25">
      <c r="C276" s="145"/>
    </row>
    <row r="277" spans="3:3" ht="15.75" customHeight="1" x14ac:dyDescent="0.25">
      <c r="C277" s="145"/>
    </row>
    <row r="278" spans="3:3" ht="15.75" customHeight="1" x14ac:dyDescent="0.25">
      <c r="C278" s="145"/>
    </row>
    <row r="279" spans="3:3" ht="15.75" customHeight="1" x14ac:dyDescent="0.25">
      <c r="C279" s="145"/>
    </row>
    <row r="280" spans="3:3" ht="15.75" customHeight="1" x14ac:dyDescent="0.25">
      <c r="C280" s="145"/>
    </row>
    <row r="281" spans="3:3" ht="15.75" customHeight="1" x14ac:dyDescent="0.25">
      <c r="C281" s="145"/>
    </row>
    <row r="282" spans="3:3" ht="15.75" customHeight="1" x14ac:dyDescent="0.25">
      <c r="C282" s="145"/>
    </row>
    <row r="283" spans="3:3" ht="15.75" customHeight="1" x14ac:dyDescent="0.25">
      <c r="C283" s="145"/>
    </row>
    <row r="284" spans="3:3" ht="15.75" customHeight="1" x14ac:dyDescent="0.25">
      <c r="C284" s="145"/>
    </row>
    <row r="285" spans="3:3" ht="15.75" customHeight="1" x14ac:dyDescent="0.25">
      <c r="C285" s="145"/>
    </row>
    <row r="286" spans="3:3" ht="15.75" customHeight="1" x14ac:dyDescent="0.25">
      <c r="C286" s="145"/>
    </row>
    <row r="287" spans="3:3" ht="15.75" customHeight="1" x14ac:dyDescent="0.25">
      <c r="C287" s="145"/>
    </row>
    <row r="288" spans="3:3" ht="15.75" customHeight="1" x14ac:dyDescent="0.25">
      <c r="C288" s="145"/>
    </row>
    <row r="289" spans="3:3" ht="15.75" customHeight="1" x14ac:dyDescent="0.25">
      <c r="C289" s="145"/>
    </row>
    <row r="290" spans="3:3" ht="15.75" customHeight="1" x14ac:dyDescent="0.25">
      <c r="C290" s="145"/>
    </row>
    <row r="291" spans="3:3" ht="15.75" customHeight="1" x14ac:dyDescent="0.25">
      <c r="C291" s="145"/>
    </row>
    <row r="292" spans="3:3" ht="15.75" customHeight="1" x14ac:dyDescent="0.25">
      <c r="C292" s="145"/>
    </row>
    <row r="293" spans="3:3" ht="15.75" customHeight="1" x14ac:dyDescent="0.25">
      <c r="C293" s="145"/>
    </row>
    <row r="294" spans="3:3" ht="15.75" customHeight="1" x14ac:dyDescent="0.25">
      <c r="C294" s="145"/>
    </row>
    <row r="295" spans="3:3" ht="15.75" customHeight="1" x14ac:dyDescent="0.25">
      <c r="C295" s="145"/>
    </row>
    <row r="296" spans="3:3" ht="15.75" customHeight="1" x14ac:dyDescent="0.25">
      <c r="C296" s="145"/>
    </row>
    <row r="297" spans="3:3" ht="15.75" customHeight="1" x14ac:dyDescent="0.25">
      <c r="C297" s="145"/>
    </row>
    <row r="298" spans="3:3" ht="15.75" customHeight="1" x14ac:dyDescent="0.25">
      <c r="C298" s="145"/>
    </row>
    <row r="299" spans="3:3" ht="15.75" customHeight="1" x14ac:dyDescent="0.25">
      <c r="C299" s="145"/>
    </row>
    <row r="300" spans="3:3" ht="15.75" customHeight="1" x14ac:dyDescent="0.25">
      <c r="C300" s="145"/>
    </row>
    <row r="301" spans="3:3" ht="15.75" customHeight="1" x14ac:dyDescent="0.25">
      <c r="C301" s="145"/>
    </row>
    <row r="302" spans="3:3" ht="15.75" customHeight="1" x14ac:dyDescent="0.25">
      <c r="C302" s="145"/>
    </row>
    <row r="303" spans="3:3" ht="15.75" customHeight="1" x14ac:dyDescent="0.25">
      <c r="C303" s="145"/>
    </row>
    <row r="304" spans="3:3" ht="15.75" customHeight="1" x14ac:dyDescent="0.25">
      <c r="C304" s="145"/>
    </row>
    <row r="305" spans="3:3" ht="15.75" customHeight="1" x14ac:dyDescent="0.25">
      <c r="C305" s="145"/>
    </row>
    <row r="306" spans="3:3" ht="15.75" customHeight="1" x14ac:dyDescent="0.25">
      <c r="C306" s="145"/>
    </row>
    <row r="307" spans="3:3" ht="15.75" customHeight="1" x14ac:dyDescent="0.25">
      <c r="C307" s="145"/>
    </row>
    <row r="308" spans="3:3" ht="15.75" customHeight="1" x14ac:dyDescent="0.25">
      <c r="C308" s="145"/>
    </row>
    <row r="309" spans="3:3" ht="15.75" customHeight="1" x14ac:dyDescent="0.25">
      <c r="C309" s="145"/>
    </row>
    <row r="310" spans="3:3" ht="15.75" customHeight="1" x14ac:dyDescent="0.25">
      <c r="C310" s="145"/>
    </row>
    <row r="311" spans="3:3" ht="15.75" customHeight="1" x14ac:dyDescent="0.25">
      <c r="C311" s="145"/>
    </row>
    <row r="312" spans="3:3" ht="15.75" customHeight="1" x14ac:dyDescent="0.25">
      <c r="C312" s="145"/>
    </row>
    <row r="313" spans="3:3" ht="15.75" customHeight="1" x14ac:dyDescent="0.25">
      <c r="C313" s="145"/>
    </row>
    <row r="314" spans="3:3" ht="15.75" customHeight="1" x14ac:dyDescent="0.25">
      <c r="C314" s="145"/>
    </row>
    <row r="315" spans="3:3" ht="15.75" customHeight="1" x14ac:dyDescent="0.25">
      <c r="C315" s="145"/>
    </row>
    <row r="316" spans="3:3" ht="15.75" customHeight="1" x14ac:dyDescent="0.25">
      <c r="C316" s="145"/>
    </row>
    <row r="317" spans="3:3" ht="15.75" customHeight="1" x14ac:dyDescent="0.25">
      <c r="C317" s="145"/>
    </row>
    <row r="318" spans="3:3" ht="15.75" customHeight="1" x14ac:dyDescent="0.25">
      <c r="C318" s="145"/>
    </row>
    <row r="319" spans="3:3" ht="15.75" customHeight="1" x14ac:dyDescent="0.25">
      <c r="C319" s="145"/>
    </row>
    <row r="320" spans="3:3" ht="15.75" customHeight="1" x14ac:dyDescent="0.25">
      <c r="C320" s="145"/>
    </row>
    <row r="321" spans="3:3" ht="15.75" customHeight="1" x14ac:dyDescent="0.25">
      <c r="C321" s="145"/>
    </row>
    <row r="322" spans="3:3" ht="15.75" customHeight="1" x14ac:dyDescent="0.25">
      <c r="C322" s="145"/>
    </row>
    <row r="323" spans="3:3" ht="15.75" customHeight="1" x14ac:dyDescent="0.25">
      <c r="C323" s="145"/>
    </row>
    <row r="324" spans="3:3" ht="15.75" customHeight="1" x14ac:dyDescent="0.25">
      <c r="C324" s="145"/>
    </row>
    <row r="325" spans="3:3" ht="15.75" customHeight="1" x14ac:dyDescent="0.25">
      <c r="C325" s="145"/>
    </row>
    <row r="326" spans="3:3" ht="15.75" customHeight="1" x14ac:dyDescent="0.25">
      <c r="C326" s="145"/>
    </row>
    <row r="327" spans="3:3" ht="15.75" customHeight="1" x14ac:dyDescent="0.25">
      <c r="C327" s="145"/>
    </row>
    <row r="328" spans="3:3" ht="15.75" customHeight="1" x14ac:dyDescent="0.25">
      <c r="C328" s="145"/>
    </row>
    <row r="329" spans="3:3" ht="15.75" customHeight="1" x14ac:dyDescent="0.25">
      <c r="C329" s="145"/>
    </row>
    <row r="330" spans="3:3" ht="15.75" customHeight="1" x14ac:dyDescent="0.25">
      <c r="C330" s="145"/>
    </row>
    <row r="331" spans="3:3" ht="15.75" customHeight="1" x14ac:dyDescent="0.25">
      <c r="C331" s="145"/>
    </row>
    <row r="332" spans="3:3" ht="15.75" customHeight="1" x14ac:dyDescent="0.25">
      <c r="C332" s="145"/>
    </row>
    <row r="333" spans="3:3" ht="15.75" customHeight="1" x14ac:dyDescent="0.25">
      <c r="C333" s="145"/>
    </row>
    <row r="334" spans="3:3" ht="15.75" customHeight="1" x14ac:dyDescent="0.25">
      <c r="C334" s="145"/>
    </row>
    <row r="335" spans="3:3" ht="15.75" customHeight="1" x14ac:dyDescent="0.25">
      <c r="C335" s="145"/>
    </row>
    <row r="336" spans="3:3" ht="15.75" customHeight="1" x14ac:dyDescent="0.25">
      <c r="C336" s="145"/>
    </row>
    <row r="337" spans="3:3" ht="15.75" customHeight="1" x14ac:dyDescent="0.25">
      <c r="C337" s="145"/>
    </row>
    <row r="338" spans="3:3" ht="15.75" customHeight="1" x14ac:dyDescent="0.25">
      <c r="C338" s="145"/>
    </row>
    <row r="339" spans="3:3" ht="15.75" customHeight="1" x14ac:dyDescent="0.25">
      <c r="C339" s="145"/>
    </row>
    <row r="340" spans="3:3" ht="15.75" customHeight="1" x14ac:dyDescent="0.25">
      <c r="C340" s="145"/>
    </row>
    <row r="341" spans="3:3" ht="15.75" customHeight="1" x14ac:dyDescent="0.25">
      <c r="C341" s="145"/>
    </row>
    <row r="342" spans="3:3" ht="15.75" customHeight="1" x14ac:dyDescent="0.25">
      <c r="C342" s="145"/>
    </row>
    <row r="343" spans="3:3" ht="15.75" customHeight="1" x14ac:dyDescent="0.25">
      <c r="C343" s="145"/>
    </row>
    <row r="344" spans="3:3" ht="15.75" customHeight="1" x14ac:dyDescent="0.25">
      <c r="C344" s="145"/>
    </row>
    <row r="345" spans="3:3" ht="15.75" customHeight="1" x14ac:dyDescent="0.25">
      <c r="C345" s="145"/>
    </row>
    <row r="346" spans="3:3" ht="15.75" customHeight="1" x14ac:dyDescent="0.25">
      <c r="C346" s="145"/>
    </row>
    <row r="347" spans="3:3" ht="15.75" customHeight="1" x14ac:dyDescent="0.25">
      <c r="C347" s="145"/>
    </row>
    <row r="348" spans="3:3" ht="15.75" customHeight="1" x14ac:dyDescent="0.25">
      <c r="C348" s="145"/>
    </row>
    <row r="349" spans="3:3" ht="15.75" customHeight="1" x14ac:dyDescent="0.25">
      <c r="C349" s="145"/>
    </row>
    <row r="350" spans="3:3" ht="15.75" customHeight="1" x14ac:dyDescent="0.25">
      <c r="C350" s="145"/>
    </row>
    <row r="351" spans="3:3" ht="15.75" customHeight="1" x14ac:dyDescent="0.25">
      <c r="C351" s="145"/>
    </row>
    <row r="352" spans="3:3" ht="15.75" customHeight="1" x14ac:dyDescent="0.25">
      <c r="C352" s="145"/>
    </row>
    <row r="353" spans="3:3" ht="15.75" customHeight="1" x14ac:dyDescent="0.25">
      <c r="C353" s="145"/>
    </row>
    <row r="354" spans="3:3" ht="15.75" customHeight="1" x14ac:dyDescent="0.25">
      <c r="C354" s="145"/>
    </row>
    <row r="355" spans="3:3" ht="15.75" customHeight="1" x14ac:dyDescent="0.25">
      <c r="C355" s="145"/>
    </row>
    <row r="356" spans="3:3" ht="15.75" customHeight="1" x14ac:dyDescent="0.25">
      <c r="C356" s="145"/>
    </row>
    <row r="357" spans="3:3" ht="15.75" customHeight="1" x14ac:dyDescent="0.25">
      <c r="C357" s="145"/>
    </row>
    <row r="358" spans="3:3" ht="15.75" customHeight="1" x14ac:dyDescent="0.25">
      <c r="C358" s="145"/>
    </row>
    <row r="359" spans="3:3" ht="15.75" customHeight="1" x14ac:dyDescent="0.25">
      <c r="C359" s="145"/>
    </row>
    <row r="360" spans="3:3" ht="15.75" customHeight="1" x14ac:dyDescent="0.25">
      <c r="C360" s="145"/>
    </row>
    <row r="361" spans="3:3" ht="15.75" customHeight="1" x14ac:dyDescent="0.25">
      <c r="C361" s="145"/>
    </row>
    <row r="362" spans="3:3" ht="15.75" customHeight="1" x14ac:dyDescent="0.25">
      <c r="C362" s="145"/>
    </row>
    <row r="363" spans="3:3" ht="15.75" customHeight="1" x14ac:dyDescent="0.25">
      <c r="C363" s="145"/>
    </row>
    <row r="364" spans="3:3" ht="15.75" customHeight="1" x14ac:dyDescent="0.25">
      <c r="C364" s="145"/>
    </row>
    <row r="365" spans="3:3" ht="15.75" customHeight="1" x14ac:dyDescent="0.25">
      <c r="C365" s="145"/>
    </row>
    <row r="366" spans="3:3" ht="15.75" customHeight="1" x14ac:dyDescent="0.25">
      <c r="C366" s="145"/>
    </row>
    <row r="367" spans="3:3" ht="15.75" customHeight="1" x14ac:dyDescent="0.25">
      <c r="C367" s="145"/>
    </row>
    <row r="368" spans="3:3" ht="15.75" customHeight="1" x14ac:dyDescent="0.25">
      <c r="C368" s="145"/>
    </row>
    <row r="369" spans="3:3" ht="15.75" customHeight="1" x14ac:dyDescent="0.25">
      <c r="C369" s="145"/>
    </row>
    <row r="370" spans="3:3" ht="15.75" customHeight="1" x14ac:dyDescent="0.25">
      <c r="C370" s="145"/>
    </row>
    <row r="371" spans="3:3" ht="15.75" customHeight="1" x14ac:dyDescent="0.25">
      <c r="C371" s="145"/>
    </row>
    <row r="372" spans="3:3" ht="15.75" customHeight="1" x14ac:dyDescent="0.25">
      <c r="C372" s="145"/>
    </row>
    <row r="373" spans="3:3" ht="15.75" customHeight="1" x14ac:dyDescent="0.25">
      <c r="C373" s="145"/>
    </row>
    <row r="374" spans="3:3" ht="15.75" customHeight="1" x14ac:dyDescent="0.25">
      <c r="C374" s="145"/>
    </row>
    <row r="375" spans="3:3" ht="15.75" customHeight="1" x14ac:dyDescent="0.25">
      <c r="C375" s="145"/>
    </row>
    <row r="376" spans="3:3" ht="15.75" customHeight="1" x14ac:dyDescent="0.25">
      <c r="C376" s="145"/>
    </row>
    <row r="377" spans="3:3" ht="15.75" customHeight="1" x14ac:dyDescent="0.25">
      <c r="C377" s="145"/>
    </row>
    <row r="378" spans="3:3" ht="15.75" customHeight="1" x14ac:dyDescent="0.25">
      <c r="C378" s="145"/>
    </row>
    <row r="379" spans="3:3" ht="15.75" customHeight="1" x14ac:dyDescent="0.25">
      <c r="C379" s="145"/>
    </row>
    <row r="380" spans="3:3" ht="15.75" customHeight="1" x14ac:dyDescent="0.25">
      <c r="C380" s="145"/>
    </row>
    <row r="381" spans="3:3" ht="15.75" customHeight="1" x14ac:dyDescent="0.25">
      <c r="C381" s="145"/>
    </row>
    <row r="382" spans="3:3" ht="15.75" customHeight="1" x14ac:dyDescent="0.25">
      <c r="C382" s="145"/>
    </row>
    <row r="383" spans="3:3" ht="15.75" customHeight="1" x14ac:dyDescent="0.25">
      <c r="C383" s="145"/>
    </row>
    <row r="384" spans="3:3" ht="15.75" customHeight="1" x14ac:dyDescent="0.25">
      <c r="C384" s="145"/>
    </row>
    <row r="385" spans="3:3" ht="15.75" customHeight="1" x14ac:dyDescent="0.25">
      <c r="C385" s="145"/>
    </row>
    <row r="386" spans="3:3" ht="15.75" customHeight="1" x14ac:dyDescent="0.25">
      <c r="C386" s="145"/>
    </row>
    <row r="387" spans="3:3" ht="15.75" customHeight="1" x14ac:dyDescent="0.25">
      <c r="C387" s="145"/>
    </row>
    <row r="388" spans="3:3" ht="15.75" customHeight="1" x14ac:dyDescent="0.25">
      <c r="C388" s="145"/>
    </row>
    <row r="389" spans="3:3" ht="15.75" customHeight="1" x14ac:dyDescent="0.25">
      <c r="C389" s="145"/>
    </row>
    <row r="390" spans="3:3" ht="15.75" customHeight="1" x14ac:dyDescent="0.25">
      <c r="C390" s="145"/>
    </row>
    <row r="391" spans="3:3" ht="15.75" customHeight="1" x14ac:dyDescent="0.25">
      <c r="C391" s="145"/>
    </row>
    <row r="392" spans="3:3" ht="15.75" customHeight="1" x14ac:dyDescent="0.25">
      <c r="C392" s="145"/>
    </row>
    <row r="393" spans="3:3" ht="15.75" customHeight="1" x14ac:dyDescent="0.25">
      <c r="C393" s="145"/>
    </row>
    <row r="394" spans="3:3" ht="15.75" customHeight="1" x14ac:dyDescent="0.25">
      <c r="C394" s="145"/>
    </row>
    <row r="395" spans="3:3" ht="15.75" customHeight="1" x14ac:dyDescent="0.25">
      <c r="C395" s="145"/>
    </row>
    <row r="396" spans="3:3" ht="15.75" customHeight="1" x14ac:dyDescent="0.25">
      <c r="C396" s="145"/>
    </row>
    <row r="397" spans="3:3" ht="15.75" customHeight="1" x14ac:dyDescent="0.25">
      <c r="C397" s="145"/>
    </row>
    <row r="398" spans="3:3" ht="15.75" customHeight="1" x14ac:dyDescent="0.25">
      <c r="C398" s="145"/>
    </row>
    <row r="399" spans="3:3" ht="15.75" customHeight="1" x14ac:dyDescent="0.25">
      <c r="C399" s="145"/>
    </row>
    <row r="400" spans="3:3" ht="15.75" customHeight="1" x14ac:dyDescent="0.25">
      <c r="C400" s="145"/>
    </row>
    <row r="401" spans="3:3" ht="15.75" customHeight="1" x14ac:dyDescent="0.25">
      <c r="C401" s="145"/>
    </row>
    <row r="402" spans="3:3" ht="15.75" customHeight="1" x14ac:dyDescent="0.25">
      <c r="C402" s="145"/>
    </row>
    <row r="403" spans="3:3" ht="15.75" customHeight="1" x14ac:dyDescent="0.25">
      <c r="C403" s="145"/>
    </row>
    <row r="404" spans="3:3" ht="15.75" customHeight="1" x14ac:dyDescent="0.25">
      <c r="C404" s="145"/>
    </row>
    <row r="405" spans="3:3" ht="15.75" customHeight="1" x14ac:dyDescent="0.25">
      <c r="C405" s="145"/>
    </row>
    <row r="406" spans="3:3" ht="15.75" customHeight="1" x14ac:dyDescent="0.25">
      <c r="C406" s="145"/>
    </row>
    <row r="407" spans="3:3" ht="15.75" customHeight="1" x14ac:dyDescent="0.25">
      <c r="C407" s="145"/>
    </row>
    <row r="408" spans="3:3" ht="15.75" customHeight="1" x14ac:dyDescent="0.25">
      <c r="C408" s="145"/>
    </row>
    <row r="409" spans="3:3" ht="15.75" customHeight="1" x14ac:dyDescent="0.25">
      <c r="C409" s="145"/>
    </row>
    <row r="410" spans="3:3" ht="15.75" customHeight="1" x14ac:dyDescent="0.25">
      <c r="C410" s="145"/>
    </row>
    <row r="411" spans="3:3" ht="15.75" customHeight="1" x14ac:dyDescent="0.25">
      <c r="C411" s="145"/>
    </row>
    <row r="412" spans="3:3" ht="15.75" customHeight="1" x14ac:dyDescent="0.25">
      <c r="C412" s="145"/>
    </row>
    <row r="413" spans="3:3" ht="15.75" customHeight="1" x14ac:dyDescent="0.25">
      <c r="C413" s="145"/>
    </row>
    <row r="414" spans="3:3" ht="15.75" customHeight="1" x14ac:dyDescent="0.25">
      <c r="C414" s="145"/>
    </row>
    <row r="415" spans="3:3" ht="15.75" customHeight="1" x14ac:dyDescent="0.25">
      <c r="C415" s="145"/>
    </row>
    <row r="416" spans="3:3" ht="15.75" customHeight="1" x14ac:dyDescent="0.25">
      <c r="C416" s="145"/>
    </row>
    <row r="417" spans="3:3" ht="15.75" customHeight="1" x14ac:dyDescent="0.25">
      <c r="C417" s="145"/>
    </row>
    <row r="418" spans="3:3" ht="15.75" customHeight="1" x14ac:dyDescent="0.25">
      <c r="C418" s="145"/>
    </row>
    <row r="419" spans="3:3" ht="15.75" customHeight="1" x14ac:dyDescent="0.25">
      <c r="C419" s="145"/>
    </row>
    <row r="420" spans="3:3" ht="15.75" customHeight="1" x14ac:dyDescent="0.25">
      <c r="C420" s="145"/>
    </row>
    <row r="421" spans="3:3" ht="15.75" customHeight="1" x14ac:dyDescent="0.25">
      <c r="C421" s="145"/>
    </row>
    <row r="422" spans="3:3" ht="15.75" customHeight="1" x14ac:dyDescent="0.25">
      <c r="C422" s="145"/>
    </row>
    <row r="423" spans="3:3" ht="15.75" customHeight="1" x14ac:dyDescent="0.25">
      <c r="C423" s="145"/>
    </row>
    <row r="424" spans="3:3" ht="15.75" customHeight="1" x14ac:dyDescent="0.25">
      <c r="C424" s="145"/>
    </row>
    <row r="425" spans="3:3" ht="15.75" customHeight="1" x14ac:dyDescent="0.25">
      <c r="C425" s="145"/>
    </row>
    <row r="426" spans="3:3" ht="15.75" customHeight="1" x14ac:dyDescent="0.25">
      <c r="C426" s="145"/>
    </row>
    <row r="427" spans="3:3" ht="15.75" customHeight="1" x14ac:dyDescent="0.25">
      <c r="C427" s="145"/>
    </row>
    <row r="428" spans="3:3" ht="15.75" customHeight="1" x14ac:dyDescent="0.25">
      <c r="C428" s="145"/>
    </row>
    <row r="429" spans="3:3" ht="15.75" customHeight="1" x14ac:dyDescent="0.25">
      <c r="C429" s="145"/>
    </row>
    <row r="430" spans="3:3" ht="15.75" customHeight="1" x14ac:dyDescent="0.25">
      <c r="C430" s="145"/>
    </row>
    <row r="431" spans="3:3" ht="15.75" customHeight="1" x14ac:dyDescent="0.25">
      <c r="C431" s="145"/>
    </row>
    <row r="432" spans="3:3" ht="15.75" customHeight="1" x14ac:dyDescent="0.25">
      <c r="C432" s="145"/>
    </row>
    <row r="433" spans="3:3" ht="15.75" customHeight="1" x14ac:dyDescent="0.25">
      <c r="C433" s="145"/>
    </row>
    <row r="434" spans="3:3" ht="15.75" customHeight="1" x14ac:dyDescent="0.25">
      <c r="C434" s="145"/>
    </row>
    <row r="435" spans="3:3" ht="15.75" customHeight="1" x14ac:dyDescent="0.25">
      <c r="C435" s="145"/>
    </row>
    <row r="436" spans="3:3" ht="15.75" customHeight="1" x14ac:dyDescent="0.25">
      <c r="C436" s="145"/>
    </row>
    <row r="437" spans="3:3" ht="15.75" customHeight="1" x14ac:dyDescent="0.25">
      <c r="C437" s="145"/>
    </row>
    <row r="438" spans="3:3" ht="15.75" customHeight="1" x14ac:dyDescent="0.25">
      <c r="C438" s="145"/>
    </row>
    <row r="439" spans="3:3" ht="15.75" customHeight="1" x14ac:dyDescent="0.25">
      <c r="C439" s="145"/>
    </row>
    <row r="440" spans="3:3" ht="15.75" customHeight="1" x14ac:dyDescent="0.25">
      <c r="C440" s="145"/>
    </row>
    <row r="441" spans="3:3" ht="15.75" customHeight="1" x14ac:dyDescent="0.25">
      <c r="C441" s="145"/>
    </row>
    <row r="442" spans="3:3" ht="15.75" customHeight="1" x14ac:dyDescent="0.25">
      <c r="C442" s="145"/>
    </row>
    <row r="443" spans="3:3" ht="15.75" customHeight="1" x14ac:dyDescent="0.25">
      <c r="C443" s="145"/>
    </row>
    <row r="444" spans="3:3" ht="15.75" customHeight="1" x14ac:dyDescent="0.25">
      <c r="C444" s="145"/>
    </row>
    <row r="445" spans="3:3" ht="15.75" customHeight="1" x14ac:dyDescent="0.25">
      <c r="C445" s="145"/>
    </row>
    <row r="446" spans="3:3" ht="15.75" customHeight="1" x14ac:dyDescent="0.25">
      <c r="C446" s="145"/>
    </row>
    <row r="447" spans="3:3" ht="15.75" customHeight="1" x14ac:dyDescent="0.25">
      <c r="C447" s="145"/>
    </row>
    <row r="448" spans="3:3" ht="15.75" customHeight="1" x14ac:dyDescent="0.25">
      <c r="C448" s="145"/>
    </row>
    <row r="449" spans="3:3" ht="15.75" customHeight="1" x14ac:dyDescent="0.25">
      <c r="C449" s="145"/>
    </row>
    <row r="450" spans="3:3" ht="15.75" customHeight="1" x14ac:dyDescent="0.25">
      <c r="C450" s="145"/>
    </row>
    <row r="451" spans="3:3" ht="15.75" customHeight="1" x14ac:dyDescent="0.25">
      <c r="C451" s="145"/>
    </row>
    <row r="452" spans="3:3" ht="15.75" customHeight="1" x14ac:dyDescent="0.25">
      <c r="C452" s="145"/>
    </row>
    <row r="453" spans="3:3" ht="15.75" customHeight="1" x14ac:dyDescent="0.25">
      <c r="C453" s="145"/>
    </row>
    <row r="454" spans="3:3" ht="15.75" customHeight="1" x14ac:dyDescent="0.25">
      <c r="C454" s="145"/>
    </row>
    <row r="455" spans="3:3" ht="15.75" customHeight="1" x14ac:dyDescent="0.25">
      <c r="C455" s="145"/>
    </row>
    <row r="456" spans="3:3" ht="15.75" customHeight="1" x14ac:dyDescent="0.25">
      <c r="C456" s="145"/>
    </row>
    <row r="457" spans="3:3" ht="15.75" customHeight="1" x14ac:dyDescent="0.25">
      <c r="C457" s="145"/>
    </row>
    <row r="458" spans="3:3" ht="15.75" customHeight="1" x14ac:dyDescent="0.25">
      <c r="C458" s="145"/>
    </row>
    <row r="459" spans="3:3" ht="15.75" customHeight="1" x14ac:dyDescent="0.25">
      <c r="C459" s="145"/>
    </row>
    <row r="460" spans="3:3" ht="15.75" customHeight="1" x14ac:dyDescent="0.25">
      <c r="C460" s="145"/>
    </row>
    <row r="461" spans="3:3" ht="15.75" customHeight="1" x14ac:dyDescent="0.25">
      <c r="C461" s="145"/>
    </row>
    <row r="462" spans="3:3" ht="15.75" customHeight="1" x14ac:dyDescent="0.25">
      <c r="C462" s="145"/>
    </row>
    <row r="463" spans="3:3" ht="15.75" customHeight="1" x14ac:dyDescent="0.25">
      <c r="C463" s="145"/>
    </row>
    <row r="464" spans="3:3" ht="15.75" customHeight="1" x14ac:dyDescent="0.25">
      <c r="C464" s="145"/>
    </row>
    <row r="465" spans="3:3" ht="15.75" customHeight="1" x14ac:dyDescent="0.25">
      <c r="C465" s="145"/>
    </row>
    <row r="466" spans="3:3" ht="15.75" customHeight="1" x14ac:dyDescent="0.25">
      <c r="C466" s="145"/>
    </row>
    <row r="467" spans="3:3" ht="15.75" customHeight="1" x14ac:dyDescent="0.25">
      <c r="C467" s="145"/>
    </row>
    <row r="468" spans="3:3" ht="15.75" customHeight="1" x14ac:dyDescent="0.25">
      <c r="C468" s="145"/>
    </row>
    <row r="469" spans="3:3" ht="15.75" customHeight="1" x14ac:dyDescent="0.25">
      <c r="C469" s="145"/>
    </row>
    <row r="470" spans="3:3" ht="15.75" customHeight="1" x14ac:dyDescent="0.25">
      <c r="C470" s="145"/>
    </row>
    <row r="471" spans="3:3" ht="15.75" customHeight="1" x14ac:dyDescent="0.25">
      <c r="C471" s="145"/>
    </row>
    <row r="472" spans="3:3" ht="15.75" customHeight="1" x14ac:dyDescent="0.25">
      <c r="C472" s="145"/>
    </row>
    <row r="473" spans="3:3" ht="15.75" customHeight="1" x14ac:dyDescent="0.25">
      <c r="C473" s="145"/>
    </row>
    <row r="474" spans="3:3" ht="15.75" customHeight="1" x14ac:dyDescent="0.25">
      <c r="C474" s="145"/>
    </row>
    <row r="475" spans="3:3" ht="15.75" customHeight="1" x14ac:dyDescent="0.25">
      <c r="C475" s="145"/>
    </row>
    <row r="476" spans="3:3" ht="15.75" customHeight="1" x14ac:dyDescent="0.25">
      <c r="C476" s="145"/>
    </row>
    <row r="477" spans="3:3" ht="15.75" customHeight="1" x14ac:dyDescent="0.25">
      <c r="C477" s="145"/>
    </row>
    <row r="478" spans="3:3" ht="15.75" customHeight="1" x14ac:dyDescent="0.25">
      <c r="C478" s="145"/>
    </row>
    <row r="479" spans="3:3" ht="15.75" customHeight="1" x14ac:dyDescent="0.25">
      <c r="C479" s="145"/>
    </row>
    <row r="480" spans="3:3" ht="15.75" customHeight="1" x14ac:dyDescent="0.25">
      <c r="C480" s="145"/>
    </row>
    <row r="481" spans="3:3" ht="15.75" customHeight="1" x14ac:dyDescent="0.25">
      <c r="C481" s="145"/>
    </row>
    <row r="482" spans="3:3" ht="15.75" customHeight="1" x14ac:dyDescent="0.25">
      <c r="C482" s="145"/>
    </row>
    <row r="483" spans="3:3" ht="15.75" customHeight="1" x14ac:dyDescent="0.25">
      <c r="C483" s="145"/>
    </row>
    <row r="484" spans="3:3" ht="15.75" customHeight="1" x14ac:dyDescent="0.25">
      <c r="C484" s="145"/>
    </row>
    <row r="485" spans="3:3" ht="15.75" customHeight="1" x14ac:dyDescent="0.25">
      <c r="C485" s="145"/>
    </row>
    <row r="486" spans="3:3" ht="15.75" customHeight="1" x14ac:dyDescent="0.25">
      <c r="C486" s="145"/>
    </row>
    <row r="487" spans="3:3" ht="15.75" customHeight="1" x14ac:dyDescent="0.25">
      <c r="C487" s="145"/>
    </row>
    <row r="488" spans="3:3" ht="15.75" customHeight="1" x14ac:dyDescent="0.25">
      <c r="C488" s="145"/>
    </row>
    <row r="489" spans="3:3" ht="15.75" customHeight="1" x14ac:dyDescent="0.25">
      <c r="C489" s="145"/>
    </row>
    <row r="490" spans="3:3" ht="15.75" customHeight="1" x14ac:dyDescent="0.25">
      <c r="C490" s="145"/>
    </row>
    <row r="491" spans="3:3" ht="15.75" customHeight="1" x14ac:dyDescent="0.25">
      <c r="C491" s="145"/>
    </row>
    <row r="492" spans="3:3" ht="15.75" customHeight="1" x14ac:dyDescent="0.25">
      <c r="C492" s="145"/>
    </row>
    <row r="493" spans="3:3" ht="15.75" customHeight="1" x14ac:dyDescent="0.25">
      <c r="C493" s="145"/>
    </row>
    <row r="494" spans="3:3" ht="15.75" customHeight="1" x14ac:dyDescent="0.25">
      <c r="C494" s="145"/>
    </row>
    <row r="495" spans="3:3" ht="15.75" customHeight="1" x14ac:dyDescent="0.25">
      <c r="C495" s="145"/>
    </row>
    <row r="496" spans="3:3" ht="15.75" customHeight="1" x14ac:dyDescent="0.25">
      <c r="C496" s="145"/>
    </row>
    <row r="497" spans="3:3" ht="15.75" customHeight="1" x14ac:dyDescent="0.25">
      <c r="C497" s="145"/>
    </row>
    <row r="498" spans="3:3" ht="15.75" customHeight="1" x14ac:dyDescent="0.25">
      <c r="C498" s="145"/>
    </row>
    <row r="499" spans="3:3" ht="15.75" customHeight="1" x14ac:dyDescent="0.25">
      <c r="C499" s="145"/>
    </row>
    <row r="500" spans="3:3" ht="15.75" customHeight="1" x14ac:dyDescent="0.25">
      <c r="C500" s="145"/>
    </row>
    <row r="501" spans="3:3" ht="15.75" customHeight="1" x14ac:dyDescent="0.25">
      <c r="C501" s="145"/>
    </row>
    <row r="502" spans="3:3" ht="15.75" customHeight="1" x14ac:dyDescent="0.25">
      <c r="C502" s="145"/>
    </row>
    <row r="503" spans="3:3" ht="15.75" customHeight="1" x14ac:dyDescent="0.25">
      <c r="C503" s="145"/>
    </row>
    <row r="504" spans="3:3" ht="15.75" customHeight="1" x14ac:dyDescent="0.25">
      <c r="C504" s="145"/>
    </row>
    <row r="505" spans="3:3" ht="15.75" customHeight="1" x14ac:dyDescent="0.25">
      <c r="C505" s="145"/>
    </row>
    <row r="506" spans="3:3" ht="15.75" customHeight="1" x14ac:dyDescent="0.25">
      <c r="C506" s="145"/>
    </row>
    <row r="507" spans="3:3" ht="15.75" customHeight="1" x14ac:dyDescent="0.25">
      <c r="C507" s="145"/>
    </row>
    <row r="508" spans="3:3" ht="15.75" customHeight="1" x14ac:dyDescent="0.25">
      <c r="C508" s="145"/>
    </row>
    <row r="509" spans="3:3" ht="15.75" customHeight="1" x14ac:dyDescent="0.25">
      <c r="C509" s="145"/>
    </row>
    <row r="510" spans="3:3" ht="15.75" customHeight="1" x14ac:dyDescent="0.25">
      <c r="C510" s="145"/>
    </row>
    <row r="511" spans="3:3" ht="15.75" customHeight="1" x14ac:dyDescent="0.25">
      <c r="C511" s="145"/>
    </row>
    <row r="512" spans="3:3" ht="15.75" customHeight="1" x14ac:dyDescent="0.25">
      <c r="C512" s="145"/>
    </row>
    <row r="513" spans="3:3" ht="15.75" customHeight="1" x14ac:dyDescent="0.25">
      <c r="C513" s="145"/>
    </row>
    <row r="514" spans="3:3" ht="15.75" customHeight="1" x14ac:dyDescent="0.25">
      <c r="C514" s="145"/>
    </row>
    <row r="515" spans="3:3" ht="15.75" customHeight="1" x14ac:dyDescent="0.25">
      <c r="C515" s="145"/>
    </row>
    <row r="516" spans="3:3" ht="15.75" customHeight="1" x14ac:dyDescent="0.25">
      <c r="C516" s="145"/>
    </row>
    <row r="517" spans="3:3" ht="15.75" customHeight="1" x14ac:dyDescent="0.25">
      <c r="C517" s="145"/>
    </row>
    <row r="518" spans="3:3" ht="15.75" customHeight="1" x14ac:dyDescent="0.25">
      <c r="C518" s="145"/>
    </row>
    <row r="519" spans="3:3" ht="15.75" customHeight="1" x14ac:dyDescent="0.25">
      <c r="C519" s="145"/>
    </row>
    <row r="520" spans="3:3" ht="15.75" customHeight="1" x14ac:dyDescent="0.25">
      <c r="C520" s="145"/>
    </row>
    <row r="521" spans="3:3" ht="15.75" customHeight="1" x14ac:dyDescent="0.25">
      <c r="C521" s="145"/>
    </row>
    <row r="522" spans="3:3" ht="15.75" customHeight="1" x14ac:dyDescent="0.25">
      <c r="C522" s="145"/>
    </row>
    <row r="523" spans="3:3" ht="15.75" customHeight="1" x14ac:dyDescent="0.25">
      <c r="C523" s="145"/>
    </row>
    <row r="524" spans="3:3" ht="15.75" customHeight="1" x14ac:dyDescent="0.25">
      <c r="C524" s="145"/>
    </row>
    <row r="525" spans="3:3" ht="15.75" customHeight="1" x14ac:dyDescent="0.25">
      <c r="C525" s="145"/>
    </row>
    <row r="526" spans="3:3" ht="15.75" customHeight="1" x14ac:dyDescent="0.25">
      <c r="C526" s="145"/>
    </row>
    <row r="527" spans="3:3" ht="15.75" customHeight="1" x14ac:dyDescent="0.25">
      <c r="C527" s="145"/>
    </row>
    <row r="528" spans="3:3" ht="15.75" customHeight="1" x14ac:dyDescent="0.25">
      <c r="C528" s="145"/>
    </row>
    <row r="529" spans="3:3" ht="15.75" customHeight="1" x14ac:dyDescent="0.25">
      <c r="C529" s="145"/>
    </row>
    <row r="530" spans="3:3" ht="15.75" customHeight="1" x14ac:dyDescent="0.25">
      <c r="C530" s="145"/>
    </row>
    <row r="531" spans="3:3" ht="15.75" customHeight="1" x14ac:dyDescent="0.25">
      <c r="C531" s="145"/>
    </row>
    <row r="532" spans="3:3" ht="15.75" customHeight="1" x14ac:dyDescent="0.25">
      <c r="C532" s="145"/>
    </row>
    <row r="533" spans="3:3" ht="15.75" customHeight="1" x14ac:dyDescent="0.25">
      <c r="C533" s="145"/>
    </row>
    <row r="534" spans="3:3" ht="15.75" customHeight="1" x14ac:dyDescent="0.25">
      <c r="C534" s="145"/>
    </row>
    <row r="535" spans="3:3" ht="15.75" customHeight="1" x14ac:dyDescent="0.25">
      <c r="C535" s="145"/>
    </row>
    <row r="536" spans="3:3" ht="15.75" customHeight="1" x14ac:dyDescent="0.25">
      <c r="C536" s="145"/>
    </row>
    <row r="537" spans="3:3" ht="15.75" customHeight="1" x14ac:dyDescent="0.25">
      <c r="C537" s="145"/>
    </row>
    <row r="538" spans="3:3" ht="15.75" customHeight="1" x14ac:dyDescent="0.25">
      <c r="C538" s="145"/>
    </row>
    <row r="539" spans="3:3" ht="15.75" customHeight="1" x14ac:dyDescent="0.25">
      <c r="C539" s="145"/>
    </row>
    <row r="540" spans="3:3" ht="15.75" customHeight="1" x14ac:dyDescent="0.25">
      <c r="C540" s="145"/>
    </row>
    <row r="541" spans="3:3" ht="15.75" customHeight="1" x14ac:dyDescent="0.25">
      <c r="C541" s="145"/>
    </row>
    <row r="542" spans="3:3" ht="15.75" customHeight="1" x14ac:dyDescent="0.25">
      <c r="C542" s="145"/>
    </row>
    <row r="543" spans="3:3" ht="15.75" customHeight="1" x14ac:dyDescent="0.25">
      <c r="C543" s="145"/>
    </row>
    <row r="544" spans="3:3" ht="15.75" customHeight="1" x14ac:dyDescent="0.25">
      <c r="C544" s="145"/>
    </row>
    <row r="545" spans="3:3" ht="15.75" customHeight="1" x14ac:dyDescent="0.25">
      <c r="C545" s="145"/>
    </row>
    <row r="546" spans="3:3" ht="15.75" customHeight="1" x14ac:dyDescent="0.25">
      <c r="C546" s="145"/>
    </row>
    <row r="547" spans="3:3" ht="15.75" customHeight="1" x14ac:dyDescent="0.25">
      <c r="C547" s="145"/>
    </row>
    <row r="548" spans="3:3" ht="15.75" customHeight="1" x14ac:dyDescent="0.25">
      <c r="C548" s="145"/>
    </row>
    <row r="549" spans="3:3" ht="15.75" customHeight="1" x14ac:dyDescent="0.25">
      <c r="C549" s="145"/>
    </row>
    <row r="550" spans="3:3" ht="15.75" customHeight="1" x14ac:dyDescent="0.25">
      <c r="C550" s="145"/>
    </row>
    <row r="551" spans="3:3" ht="15.75" customHeight="1" x14ac:dyDescent="0.25">
      <c r="C551" s="145"/>
    </row>
    <row r="552" spans="3:3" ht="15.75" customHeight="1" x14ac:dyDescent="0.25">
      <c r="C552" s="145"/>
    </row>
    <row r="553" spans="3:3" ht="15.75" customHeight="1" x14ac:dyDescent="0.25">
      <c r="C553" s="145"/>
    </row>
    <row r="554" spans="3:3" ht="15.75" customHeight="1" x14ac:dyDescent="0.25">
      <c r="C554" s="145"/>
    </row>
    <row r="555" spans="3:3" ht="15.75" customHeight="1" x14ac:dyDescent="0.25">
      <c r="C555" s="145"/>
    </row>
    <row r="556" spans="3:3" ht="15.75" customHeight="1" x14ac:dyDescent="0.25">
      <c r="C556" s="145"/>
    </row>
    <row r="557" spans="3:3" ht="15.75" customHeight="1" x14ac:dyDescent="0.25">
      <c r="C557" s="145"/>
    </row>
    <row r="558" spans="3:3" ht="15.75" customHeight="1" x14ac:dyDescent="0.25">
      <c r="C558" s="145"/>
    </row>
    <row r="559" spans="3:3" ht="15.75" customHeight="1" x14ac:dyDescent="0.25">
      <c r="C559" s="145"/>
    </row>
    <row r="560" spans="3:3" ht="15.75" customHeight="1" x14ac:dyDescent="0.25">
      <c r="C560" s="145"/>
    </row>
    <row r="561" spans="3:3" ht="15.75" customHeight="1" x14ac:dyDescent="0.25">
      <c r="C561" s="145"/>
    </row>
    <row r="562" spans="3:3" ht="15.75" customHeight="1" x14ac:dyDescent="0.25">
      <c r="C562" s="145"/>
    </row>
    <row r="563" spans="3:3" ht="15.75" customHeight="1" x14ac:dyDescent="0.25">
      <c r="C563" s="145"/>
    </row>
    <row r="564" spans="3:3" ht="15.75" customHeight="1" x14ac:dyDescent="0.25">
      <c r="C564" s="145"/>
    </row>
    <row r="565" spans="3:3" ht="15.75" customHeight="1" x14ac:dyDescent="0.25">
      <c r="C565" s="145"/>
    </row>
    <row r="566" spans="3:3" ht="15.75" customHeight="1" x14ac:dyDescent="0.25">
      <c r="C566" s="145"/>
    </row>
    <row r="567" spans="3:3" ht="15.75" customHeight="1" x14ac:dyDescent="0.25">
      <c r="C567" s="145"/>
    </row>
    <row r="568" spans="3:3" ht="15.75" customHeight="1" x14ac:dyDescent="0.25">
      <c r="C568" s="145"/>
    </row>
    <row r="569" spans="3:3" ht="15.75" customHeight="1" x14ac:dyDescent="0.25">
      <c r="C569" s="145"/>
    </row>
    <row r="570" spans="3:3" ht="15.75" customHeight="1" x14ac:dyDescent="0.25">
      <c r="C570" s="145"/>
    </row>
    <row r="571" spans="3:3" ht="15.75" customHeight="1" x14ac:dyDescent="0.25">
      <c r="C571" s="145"/>
    </row>
    <row r="572" spans="3:3" ht="15.75" customHeight="1" x14ac:dyDescent="0.25">
      <c r="C572" s="145"/>
    </row>
    <row r="573" spans="3:3" ht="15.75" customHeight="1" x14ac:dyDescent="0.25">
      <c r="C573" s="145"/>
    </row>
    <row r="574" spans="3:3" ht="15.75" customHeight="1" x14ac:dyDescent="0.25">
      <c r="C574" s="145"/>
    </row>
    <row r="575" spans="3:3" ht="15.75" customHeight="1" x14ac:dyDescent="0.25">
      <c r="C575" s="145"/>
    </row>
    <row r="576" spans="3:3" ht="15.75" customHeight="1" x14ac:dyDescent="0.25">
      <c r="C576" s="145"/>
    </row>
    <row r="577" spans="3:3" ht="15.75" customHeight="1" x14ac:dyDescent="0.25">
      <c r="C577" s="145"/>
    </row>
    <row r="578" spans="3:3" ht="15.75" customHeight="1" x14ac:dyDescent="0.25">
      <c r="C578" s="145"/>
    </row>
    <row r="579" spans="3:3" ht="15.75" customHeight="1" x14ac:dyDescent="0.25">
      <c r="C579" s="145"/>
    </row>
    <row r="580" spans="3:3" ht="15.75" customHeight="1" x14ac:dyDescent="0.25">
      <c r="C580" s="145"/>
    </row>
    <row r="581" spans="3:3" ht="15.75" customHeight="1" x14ac:dyDescent="0.25">
      <c r="C581" s="145"/>
    </row>
    <row r="582" spans="3:3" ht="15.75" customHeight="1" x14ac:dyDescent="0.25">
      <c r="C582" s="145"/>
    </row>
    <row r="583" spans="3:3" ht="15.75" customHeight="1" x14ac:dyDescent="0.25">
      <c r="C583" s="145"/>
    </row>
    <row r="584" spans="3:3" ht="15.75" customHeight="1" x14ac:dyDescent="0.25">
      <c r="C584" s="145"/>
    </row>
    <row r="585" spans="3:3" ht="15.75" customHeight="1" x14ac:dyDescent="0.25">
      <c r="C585" s="145"/>
    </row>
    <row r="586" spans="3:3" ht="15.75" customHeight="1" x14ac:dyDescent="0.25">
      <c r="C586" s="145"/>
    </row>
    <row r="587" spans="3:3" ht="15.75" customHeight="1" x14ac:dyDescent="0.25">
      <c r="C587" s="145"/>
    </row>
    <row r="588" spans="3:3" ht="15.75" customHeight="1" x14ac:dyDescent="0.25">
      <c r="C588" s="145"/>
    </row>
    <row r="589" spans="3:3" ht="15.75" customHeight="1" x14ac:dyDescent="0.25">
      <c r="C589" s="145"/>
    </row>
    <row r="590" spans="3:3" ht="15.75" customHeight="1" x14ac:dyDescent="0.25">
      <c r="C590" s="145"/>
    </row>
    <row r="591" spans="3:3" ht="15.75" customHeight="1" x14ac:dyDescent="0.25">
      <c r="C591" s="145"/>
    </row>
    <row r="592" spans="3:3" ht="15.75" customHeight="1" x14ac:dyDescent="0.25">
      <c r="C592" s="145"/>
    </row>
    <row r="593" spans="3:3" ht="15.75" customHeight="1" x14ac:dyDescent="0.25">
      <c r="C593" s="145"/>
    </row>
    <row r="594" spans="3:3" ht="15.75" customHeight="1" x14ac:dyDescent="0.25">
      <c r="C594" s="145"/>
    </row>
    <row r="595" spans="3:3" ht="15.75" customHeight="1" x14ac:dyDescent="0.25">
      <c r="C595" s="145"/>
    </row>
    <row r="596" spans="3:3" ht="15.75" customHeight="1" x14ac:dyDescent="0.25">
      <c r="C596" s="145"/>
    </row>
    <row r="597" spans="3:3" ht="15.75" customHeight="1" x14ac:dyDescent="0.25">
      <c r="C597" s="145"/>
    </row>
    <row r="598" spans="3:3" ht="15.75" customHeight="1" x14ac:dyDescent="0.25">
      <c r="C598" s="145"/>
    </row>
    <row r="599" spans="3:3" ht="15.75" customHeight="1" x14ac:dyDescent="0.25">
      <c r="C599" s="145"/>
    </row>
    <row r="600" spans="3:3" ht="15.75" customHeight="1" x14ac:dyDescent="0.25">
      <c r="C600" s="145"/>
    </row>
    <row r="601" spans="3:3" ht="15.75" customHeight="1" x14ac:dyDescent="0.25">
      <c r="C601" s="145"/>
    </row>
    <row r="602" spans="3:3" ht="15.75" customHeight="1" x14ac:dyDescent="0.25">
      <c r="C602" s="145"/>
    </row>
    <row r="603" spans="3:3" ht="15.75" customHeight="1" x14ac:dyDescent="0.25">
      <c r="C603" s="145"/>
    </row>
    <row r="604" spans="3:3" ht="15.75" customHeight="1" x14ac:dyDescent="0.25">
      <c r="C604" s="145"/>
    </row>
    <row r="605" spans="3:3" ht="15.75" customHeight="1" x14ac:dyDescent="0.25">
      <c r="C605" s="145"/>
    </row>
    <row r="606" spans="3:3" ht="15.75" customHeight="1" x14ac:dyDescent="0.25">
      <c r="C606" s="145"/>
    </row>
    <row r="607" spans="3:3" ht="15.75" customHeight="1" x14ac:dyDescent="0.25">
      <c r="C607" s="145"/>
    </row>
    <row r="608" spans="3:3" ht="15.75" customHeight="1" x14ac:dyDescent="0.25">
      <c r="C608" s="145"/>
    </row>
    <row r="609" spans="3:3" ht="15.75" customHeight="1" x14ac:dyDescent="0.25">
      <c r="C609" s="145"/>
    </row>
    <row r="610" spans="3:3" ht="15.75" customHeight="1" x14ac:dyDescent="0.25">
      <c r="C610" s="145"/>
    </row>
    <row r="611" spans="3:3" ht="15.75" customHeight="1" x14ac:dyDescent="0.25">
      <c r="C611" s="145"/>
    </row>
    <row r="612" spans="3:3" ht="15.75" customHeight="1" x14ac:dyDescent="0.25">
      <c r="C612" s="145"/>
    </row>
    <row r="613" spans="3:3" ht="15.75" customHeight="1" x14ac:dyDescent="0.25">
      <c r="C613" s="145"/>
    </row>
    <row r="614" spans="3:3" ht="15.75" customHeight="1" x14ac:dyDescent="0.25">
      <c r="C614" s="145"/>
    </row>
    <row r="615" spans="3:3" ht="15.75" customHeight="1" x14ac:dyDescent="0.25">
      <c r="C615" s="145"/>
    </row>
    <row r="616" spans="3:3" ht="15.75" customHeight="1" x14ac:dyDescent="0.25">
      <c r="C616" s="145"/>
    </row>
    <row r="617" spans="3:3" ht="15.75" customHeight="1" x14ac:dyDescent="0.25">
      <c r="C617" s="145"/>
    </row>
    <row r="618" spans="3:3" ht="15.75" customHeight="1" x14ac:dyDescent="0.25">
      <c r="C618" s="145"/>
    </row>
    <row r="619" spans="3:3" ht="15.75" customHeight="1" x14ac:dyDescent="0.25">
      <c r="C619" s="145"/>
    </row>
    <row r="620" spans="3:3" ht="15.75" customHeight="1" x14ac:dyDescent="0.25">
      <c r="C620" s="145"/>
    </row>
    <row r="621" spans="3:3" ht="15.75" customHeight="1" x14ac:dyDescent="0.25">
      <c r="C621" s="145"/>
    </row>
    <row r="622" spans="3:3" ht="15.75" customHeight="1" x14ac:dyDescent="0.25">
      <c r="C622" s="145"/>
    </row>
    <row r="623" spans="3:3" ht="15.75" customHeight="1" x14ac:dyDescent="0.25">
      <c r="C623" s="145"/>
    </row>
    <row r="624" spans="3:3" ht="15.75" customHeight="1" x14ac:dyDescent="0.25">
      <c r="C624" s="145"/>
    </row>
    <row r="625" spans="3:3" ht="15.75" customHeight="1" x14ac:dyDescent="0.25">
      <c r="C625" s="145"/>
    </row>
    <row r="626" spans="3:3" ht="15.75" customHeight="1" x14ac:dyDescent="0.25">
      <c r="C626" s="145"/>
    </row>
    <row r="627" spans="3:3" ht="15.75" customHeight="1" x14ac:dyDescent="0.25">
      <c r="C627" s="145"/>
    </row>
    <row r="628" spans="3:3" ht="15.75" customHeight="1" x14ac:dyDescent="0.25">
      <c r="C628" s="145"/>
    </row>
    <row r="629" spans="3:3" ht="15.75" customHeight="1" x14ac:dyDescent="0.25">
      <c r="C629" s="145"/>
    </row>
    <row r="630" spans="3:3" ht="15.75" customHeight="1" x14ac:dyDescent="0.25">
      <c r="C630" s="145"/>
    </row>
    <row r="631" spans="3:3" ht="15.75" customHeight="1" x14ac:dyDescent="0.25">
      <c r="C631" s="145"/>
    </row>
    <row r="632" spans="3:3" ht="15.75" customHeight="1" x14ac:dyDescent="0.25">
      <c r="C632" s="145"/>
    </row>
    <row r="633" spans="3:3" ht="15.75" customHeight="1" x14ac:dyDescent="0.25">
      <c r="C633" s="145"/>
    </row>
    <row r="634" spans="3:3" ht="15.75" customHeight="1" x14ac:dyDescent="0.25">
      <c r="C634" s="145"/>
    </row>
    <row r="635" spans="3:3" ht="15.75" customHeight="1" x14ac:dyDescent="0.25">
      <c r="C635" s="145"/>
    </row>
    <row r="636" spans="3:3" ht="15.75" customHeight="1" x14ac:dyDescent="0.25">
      <c r="C636" s="145"/>
    </row>
    <row r="637" spans="3:3" ht="15.75" customHeight="1" x14ac:dyDescent="0.25">
      <c r="C637" s="145"/>
    </row>
    <row r="638" spans="3:3" ht="15.75" customHeight="1" x14ac:dyDescent="0.25">
      <c r="C638" s="145"/>
    </row>
    <row r="639" spans="3:3" ht="15.75" customHeight="1" x14ac:dyDescent="0.25">
      <c r="C639" s="145"/>
    </row>
    <row r="640" spans="3:3" ht="15.75" customHeight="1" x14ac:dyDescent="0.25">
      <c r="C640" s="145"/>
    </row>
    <row r="641" spans="3:3" ht="15.75" customHeight="1" x14ac:dyDescent="0.25">
      <c r="C641" s="145"/>
    </row>
    <row r="642" spans="3:3" ht="15.75" customHeight="1" x14ac:dyDescent="0.25">
      <c r="C642" s="145"/>
    </row>
    <row r="643" spans="3:3" ht="15.75" customHeight="1" x14ac:dyDescent="0.25">
      <c r="C643" s="145"/>
    </row>
    <row r="644" spans="3:3" ht="15.75" customHeight="1" x14ac:dyDescent="0.25">
      <c r="C644" s="145"/>
    </row>
    <row r="645" spans="3:3" ht="15.75" customHeight="1" x14ac:dyDescent="0.25">
      <c r="C645" s="145"/>
    </row>
    <row r="646" spans="3:3" ht="15.75" customHeight="1" x14ac:dyDescent="0.25">
      <c r="C646" s="145"/>
    </row>
    <row r="647" spans="3:3" ht="15.75" customHeight="1" x14ac:dyDescent="0.25">
      <c r="C647" s="145"/>
    </row>
    <row r="648" spans="3:3" ht="15.75" customHeight="1" x14ac:dyDescent="0.25">
      <c r="C648" s="145"/>
    </row>
    <row r="649" spans="3:3" ht="15.75" customHeight="1" x14ac:dyDescent="0.25">
      <c r="C649" s="145"/>
    </row>
    <row r="650" spans="3:3" ht="15.75" customHeight="1" x14ac:dyDescent="0.25">
      <c r="C650" s="145"/>
    </row>
    <row r="651" spans="3:3" ht="15.75" customHeight="1" x14ac:dyDescent="0.25">
      <c r="C651" s="145"/>
    </row>
    <row r="652" spans="3:3" ht="15.75" customHeight="1" x14ac:dyDescent="0.25">
      <c r="C652" s="145"/>
    </row>
    <row r="653" spans="3:3" ht="15.75" customHeight="1" x14ac:dyDescent="0.25">
      <c r="C653" s="145"/>
    </row>
    <row r="654" spans="3:3" ht="15.75" customHeight="1" x14ac:dyDescent="0.25">
      <c r="C654" s="145"/>
    </row>
    <row r="655" spans="3:3" ht="15.75" customHeight="1" x14ac:dyDescent="0.25">
      <c r="C655" s="145"/>
    </row>
    <row r="656" spans="3:3" ht="15.75" customHeight="1" x14ac:dyDescent="0.25">
      <c r="C656" s="145"/>
    </row>
    <row r="657" spans="3:3" ht="15.75" customHeight="1" x14ac:dyDescent="0.25">
      <c r="C657" s="145"/>
    </row>
    <row r="658" spans="3:3" ht="15.75" customHeight="1" x14ac:dyDescent="0.25">
      <c r="C658" s="145"/>
    </row>
    <row r="659" spans="3:3" ht="15.75" customHeight="1" x14ac:dyDescent="0.25">
      <c r="C659" s="145"/>
    </row>
    <row r="660" spans="3:3" ht="15.75" customHeight="1" x14ac:dyDescent="0.25">
      <c r="C660" s="145"/>
    </row>
    <row r="661" spans="3:3" ht="15.75" customHeight="1" x14ac:dyDescent="0.25">
      <c r="C661" s="145"/>
    </row>
    <row r="662" spans="3:3" ht="15.75" customHeight="1" x14ac:dyDescent="0.25">
      <c r="C662" s="145"/>
    </row>
    <row r="663" spans="3:3" ht="15.75" customHeight="1" x14ac:dyDescent="0.25">
      <c r="C663" s="145"/>
    </row>
    <row r="664" spans="3:3" ht="15.75" customHeight="1" x14ac:dyDescent="0.25">
      <c r="C664" s="145"/>
    </row>
    <row r="665" spans="3:3" ht="15.75" customHeight="1" x14ac:dyDescent="0.25">
      <c r="C665" s="145"/>
    </row>
    <row r="666" spans="3:3" ht="15.75" customHeight="1" x14ac:dyDescent="0.25">
      <c r="C666" s="145"/>
    </row>
    <row r="667" spans="3:3" ht="15.75" customHeight="1" x14ac:dyDescent="0.25">
      <c r="C667" s="145"/>
    </row>
    <row r="668" spans="3:3" ht="15.75" customHeight="1" x14ac:dyDescent="0.25">
      <c r="C668" s="145"/>
    </row>
    <row r="669" spans="3:3" ht="15.75" customHeight="1" x14ac:dyDescent="0.25">
      <c r="C669" s="145"/>
    </row>
    <row r="670" spans="3:3" ht="15.75" customHeight="1" x14ac:dyDescent="0.25">
      <c r="C670" s="145"/>
    </row>
    <row r="671" spans="3:3" ht="15.75" customHeight="1" x14ac:dyDescent="0.25">
      <c r="C671" s="145"/>
    </row>
    <row r="672" spans="3:3" ht="15.75" customHeight="1" x14ac:dyDescent="0.25">
      <c r="C672" s="145"/>
    </row>
    <row r="673" spans="3:3" ht="15.75" customHeight="1" x14ac:dyDescent="0.25">
      <c r="C673" s="145"/>
    </row>
    <row r="674" spans="3:3" ht="15.75" customHeight="1" x14ac:dyDescent="0.25">
      <c r="C674" s="145"/>
    </row>
    <row r="675" spans="3:3" ht="15.75" customHeight="1" x14ac:dyDescent="0.25">
      <c r="C675" s="145"/>
    </row>
    <row r="676" spans="3:3" ht="15.75" customHeight="1" x14ac:dyDescent="0.25">
      <c r="C676" s="145"/>
    </row>
    <row r="677" spans="3:3" ht="15.75" customHeight="1" x14ac:dyDescent="0.25">
      <c r="C677" s="145"/>
    </row>
    <row r="678" spans="3:3" ht="15.75" customHeight="1" x14ac:dyDescent="0.25">
      <c r="C678" s="145"/>
    </row>
    <row r="679" spans="3:3" ht="15.75" customHeight="1" x14ac:dyDescent="0.25">
      <c r="C679" s="145"/>
    </row>
    <row r="680" spans="3:3" ht="15.75" customHeight="1" x14ac:dyDescent="0.25">
      <c r="C680" s="145"/>
    </row>
    <row r="681" spans="3:3" ht="15.75" customHeight="1" x14ac:dyDescent="0.25">
      <c r="C681" s="145"/>
    </row>
    <row r="682" spans="3:3" ht="15.75" customHeight="1" x14ac:dyDescent="0.25">
      <c r="C682" s="145"/>
    </row>
    <row r="683" spans="3:3" ht="15.75" customHeight="1" x14ac:dyDescent="0.25">
      <c r="C683" s="145"/>
    </row>
    <row r="684" spans="3:3" ht="15.75" customHeight="1" x14ac:dyDescent="0.25">
      <c r="C684" s="145"/>
    </row>
    <row r="685" spans="3:3" ht="15.75" customHeight="1" x14ac:dyDescent="0.25">
      <c r="C685" s="145"/>
    </row>
    <row r="686" spans="3:3" ht="15.75" customHeight="1" x14ac:dyDescent="0.25">
      <c r="C686" s="145"/>
    </row>
    <row r="687" spans="3:3" ht="15.75" customHeight="1" x14ac:dyDescent="0.25">
      <c r="C687" s="145"/>
    </row>
    <row r="688" spans="3:3" ht="15.75" customHeight="1" x14ac:dyDescent="0.25">
      <c r="C688" s="145"/>
    </row>
    <row r="689" spans="3:3" ht="15.75" customHeight="1" x14ac:dyDescent="0.25">
      <c r="C689" s="145"/>
    </row>
    <row r="690" spans="3:3" ht="15.75" customHeight="1" x14ac:dyDescent="0.25">
      <c r="C690" s="145"/>
    </row>
    <row r="691" spans="3:3" ht="15.75" customHeight="1" x14ac:dyDescent="0.25">
      <c r="C691" s="145"/>
    </row>
    <row r="692" spans="3:3" ht="15.75" customHeight="1" x14ac:dyDescent="0.25">
      <c r="C692" s="145"/>
    </row>
    <row r="693" spans="3:3" ht="15.75" customHeight="1" x14ac:dyDescent="0.25">
      <c r="C693" s="145"/>
    </row>
    <row r="694" spans="3:3" ht="15.75" customHeight="1" x14ac:dyDescent="0.25">
      <c r="C694" s="145"/>
    </row>
    <row r="695" spans="3:3" ht="15.75" customHeight="1" x14ac:dyDescent="0.25">
      <c r="C695" s="145"/>
    </row>
    <row r="696" spans="3:3" ht="15.75" customHeight="1" x14ac:dyDescent="0.25">
      <c r="C696" s="145"/>
    </row>
    <row r="697" spans="3:3" ht="15.75" customHeight="1" x14ac:dyDescent="0.25">
      <c r="C697" s="145"/>
    </row>
    <row r="698" spans="3:3" ht="15.75" customHeight="1" x14ac:dyDescent="0.25">
      <c r="C698" s="145"/>
    </row>
    <row r="699" spans="3:3" ht="15.75" customHeight="1" x14ac:dyDescent="0.25">
      <c r="C699" s="145"/>
    </row>
    <row r="700" spans="3:3" ht="15.75" customHeight="1" x14ac:dyDescent="0.25">
      <c r="C700" s="145"/>
    </row>
    <row r="701" spans="3:3" ht="15.75" customHeight="1" x14ac:dyDescent="0.25">
      <c r="C701" s="145"/>
    </row>
    <row r="702" spans="3:3" ht="15.75" customHeight="1" x14ac:dyDescent="0.25">
      <c r="C702" s="145"/>
    </row>
    <row r="703" spans="3:3" ht="15.75" customHeight="1" x14ac:dyDescent="0.25">
      <c r="C703" s="145"/>
    </row>
    <row r="704" spans="3:3" ht="15.75" customHeight="1" x14ac:dyDescent="0.25">
      <c r="C704" s="145"/>
    </row>
    <row r="705" spans="3:3" ht="15.75" customHeight="1" x14ac:dyDescent="0.25">
      <c r="C705" s="145"/>
    </row>
    <row r="706" spans="3:3" ht="15.75" customHeight="1" x14ac:dyDescent="0.25">
      <c r="C706" s="145"/>
    </row>
    <row r="707" spans="3:3" ht="15.75" customHeight="1" x14ac:dyDescent="0.25">
      <c r="C707" s="145"/>
    </row>
    <row r="708" spans="3:3" ht="15.75" customHeight="1" x14ac:dyDescent="0.25">
      <c r="C708" s="145"/>
    </row>
    <row r="709" spans="3:3" ht="15.75" customHeight="1" x14ac:dyDescent="0.25">
      <c r="C709" s="145"/>
    </row>
    <row r="710" spans="3:3" ht="15.75" customHeight="1" x14ac:dyDescent="0.25">
      <c r="C710" s="145"/>
    </row>
    <row r="711" spans="3:3" ht="15.75" customHeight="1" x14ac:dyDescent="0.25">
      <c r="C711" s="145"/>
    </row>
    <row r="712" spans="3:3" ht="15.75" customHeight="1" x14ac:dyDescent="0.25">
      <c r="C712" s="145"/>
    </row>
    <row r="713" spans="3:3" ht="15.75" customHeight="1" x14ac:dyDescent="0.25">
      <c r="C713" s="145"/>
    </row>
    <row r="714" spans="3:3" ht="15.75" customHeight="1" x14ac:dyDescent="0.25">
      <c r="C714" s="145"/>
    </row>
    <row r="715" spans="3:3" ht="15.75" customHeight="1" x14ac:dyDescent="0.25">
      <c r="C715" s="145"/>
    </row>
    <row r="716" spans="3:3" ht="15.75" customHeight="1" x14ac:dyDescent="0.25">
      <c r="C716" s="145"/>
    </row>
    <row r="717" spans="3:3" ht="15.75" customHeight="1" x14ac:dyDescent="0.25">
      <c r="C717" s="145"/>
    </row>
    <row r="718" spans="3:3" ht="15.75" customHeight="1" x14ac:dyDescent="0.25">
      <c r="C718" s="145"/>
    </row>
    <row r="719" spans="3:3" ht="15.75" customHeight="1" x14ac:dyDescent="0.25">
      <c r="C719" s="145"/>
    </row>
    <row r="720" spans="3:3" ht="15.75" customHeight="1" x14ac:dyDescent="0.25">
      <c r="C720" s="145"/>
    </row>
    <row r="721" spans="3:3" ht="15.75" customHeight="1" x14ac:dyDescent="0.25">
      <c r="C721" s="145"/>
    </row>
    <row r="722" spans="3:3" ht="15.75" customHeight="1" x14ac:dyDescent="0.25">
      <c r="C722" s="145"/>
    </row>
    <row r="723" spans="3:3" ht="15.75" customHeight="1" x14ac:dyDescent="0.25">
      <c r="C723" s="145"/>
    </row>
    <row r="724" spans="3:3" ht="15.75" customHeight="1" x14ac:dyDescent="0.25">
      <c r="C724" s="145"/>
    </row>
    <row r="725" spans="3:3" ht="15.75" customHeight="1" x14ac:dyDescent="0.25">
      <c r="C725" s="145"/>
    </row>
    <row r="726" spans="3:3" ht="15.75" customHeight="1" x14ac:dyDescent="0.25">
      <c r="C726" s="145"/>
    </row>
    <row r="727" spans="3:3" ht="15.75" customHeight="1" x14ac:dyDescent="0.25">
      <c r="C727" s="145"/>
    </row>
    <row r="728" spans="3:3" ht="15.75" customHeight="1" x14ac:dyDescent="0.25">
      <c r="C728" s="145"/>
    </row>
    <row r="729" spans="3:3" ht="15.75" customHeight="1" x14ac:dyDescent="0.25">
      <c r="C729" s="145"/>
    </row>
    <row r="730" spans="3:3" ht="15.75" customHeight="1" x14ac:dyDescent="0.25">
      <c r="C730" s="145"/>
    </row>
    <row r="731" spans="3:3" ht="15.75" customHeight="1" x14ac:dyDescent="0.25">
      <c r="C731" s="145"/>
    </row>
    <row r="732" spans="3:3" ht="15.75" customHeight="1" x14ac:dyDescent="0.25">
      <c r="C732" s="145"/>
    </row>
    <row r="733" spans="3:3" ht="15.75" customHeight="1" x14ac:dyDescent="0.25">
      <c r="C733" s="145"/>
    </row>
    <row r="734" spans="3:3" ht="15.75" customHeight="1" x14ac:dyDescent="0.25">
      <c r="C734" s="145"/>
    </row>
    <row r="735" spans="3:3" ht="15.75" customHeight="1" x14ac:dyDescent="0.25">
      <c r="C735" s="145"/>
    </row>
    <row r="736" spans="3:3" ht="15.75" customHeight="1" x14ac:dyDescent="0.25">
      <c r="C736" s="145"/>
    </row>
    <row r="737" spans="3:3" ht="15.75" customHeight="1" x14ac:dyDescent="0.25">
      <c r="C737" s="145"/>
    </row>
    <row r="738" spans="3:3" ht="15.75" customHeight="1" x14ac:dyDescent="0.25">
      <c r="C738" s="145"/>
    </row>
    <row r="739" spans="3:3" ht="15.75" customHeight="1" x14ac:dyDescent="0.25">
      <c r="C739" s="145"/>
    </row>
    <row r="740" spans="3:3" ht="15.75" customHeight="1" x14ac:dyDescent="0.25">
      <c r="C740" s="145"/>
    </row>
    <row r="741" spans="3:3" ht="15.75" customHeight="1" x14ac:dyDescent="0.25">
      <c r="C741" s="145"/>
    </row>
    <row r="742" spans="3:3" ht="15.75" customHeight="1" x14ac:dyDescent="0.25">
      <c r="C742" s="145"/>
    </row>
    <row r="743" spans="3:3" ht="15.75" customHeight="1" x14ac:dyDescent="0.25">
      <c r="C743" s="145"/>
    </row>
    <row r="744" spans="3:3" ht="15.75" customHeight="1" x14ac:dyDescent="0.25">
      <c r="C744" s="145"/>
    </row>
    <row r="745" spans="3:3" ht="15.75" customHeight="1" x14ac:dyDescent="0.25">
      <c r="C745" s="145"/>
    </row>
    <row r="746" spans="3:3" ht="15.75" customHeight="1" x14ac:dyDescent="0.25">
      <c r="C746" s="145"/>
    </row>
    <row r="747" spans="3:3" ht="15.75" customHeight="1" x14ac:dyDescent="0.25">
      <c r="C747" s="145"/>
    </row>
    <row r="748" spans="3:3" ht="15.75" customHeight="1" x14ac:dyDescent="0.25">
      <c r="C748" s="145"/>
    </row>
    <row r="749" spans="3:3" ht="15.75" customHeight="1" x14ac:dyDescent="0.25">
      <c r="C749" s="145"/>
    </row>
    <row r="750" spans="3:3" ht="15.75" customHeight="1" x14ac:dyDescent="0.25">
      <c r="C750" s="145"/>
    </row>
    <row r="751" spans="3:3" ht="15.75" customHeight="1" x14ac:dyDescent="0.25">
      <c r="C751" s="145"/>
    </row>
    <row r="752" spans="3:3" ht="15.75" customHeight="1" x14ac:dyDescent="0.25">
      <c r="C752" s="145"/>
    </row>
    <row r="753" spans="3:3" ht="15.75" customHeight="1" x14ac:dyDescent="0.25">
      <c r="C753" s="145"/>
    </row>
    <row r="754" spans="3:3" ht="15.75" customHeight="1" x14ac:dyDescent="0.25">
      <c r="C754" s="145"/>
    </row>
    <row r="755" spans="3:3" ht="15.75" customHeight="1" x14ac:dyDescent="0.25">
      <c r="C755" s="145"/>
    </row>
    <row r="756" spans="3:3" ht="15.75" customHeight="1" x14ac:dyDescent="0.25">
      <c r="C756" s="145"/>
    </row>
    <row r="757" spans="3:3" ht="15.75" customHeight="1" x14ac:dyDescent="0.25">
      <c r="C757" s="145"/>
    </row>
    <row r="758" spans="3:3" ht="15.75" customHeight="1" x14ac:dyDescent="0.25">
      <c r="C758" s="145"/>
    </row>
    <row r="759" spans="3:3" ht="15.75" customHeight="1" x14ac:dyDescent="0.25">
      <c r="C759" s="145"/>
    </row>
    <row r="760" spans="3:3" ht="15.75" customHeight="1" x14ac:dyDescent="0.25">
      <c r="C760" s="145"/>
    </row>
    <row r="761" spans="3:3" ht="15.75" customHeight="1" x14ac:dyDescent="0.25">
      <c r="C761" s="145"/>
    </row>
    <row r="762" spans="3:3" ht="15.75" customHeight="1" x14ac:dyDescent="0.25">
      <c r="C762" s="145"/>
    </row>
    <row r="763" spans="3:3" ht="15.75" customHeight="1" x14ac:dyDescent="0.25">
      <c r="C763" s="145"/>
    </row>
    <row r="764" spans="3:3" ht="15.75" customHeight="1" x14ac:dyDescent="0.25">
      <c r="C764" s="145"/>
    </row>
    <row r="765" spans="3:3" ht="15.75" customHeight="1" x14ac:dyDescent="0.25">
      <c r="C765" s="145"/>
    </row>
    <row r="766" spans="3:3" ht="15.75" customHeight="1" x14ac:dyDescent="0.25">
      <c r="C766" s="145"/>
    </row>
    <row r="767" spans="3:3" ht="15.75" customHeight="1" x14ac:dyDescent="0.25">
      <c r="C767" s="145"/>
    </row>
    <row r="768" spans="3:3" ht="15.75" customHeight="1" x14ac:dyDescent="0.25">
      <c r="C768" s="145"/>
    </row>
    <row r="769" spans="3:3" ht="15.75" customHeight="1" x14ac:dyDescent="0.25">
      <c r="C769" s="145"/>
    </row>
    <row r="770" spans="3:3" ht="15.75" customHeight="1" x14ac:dyDescent="0.25">
      <c r="C770" s="145"/>
    </row>
    <row r="771" spans="3:3" ht="15.75" customHeight="1" x14ac:dyDescent="0.25">
      <c r="C771" s="145"/>
    </row>
    <row r="772" spans="3:3" ht="15.75" customHeight="1" x14ac:dyDescent="0.25">
      <c r="C772" s="145"/>
    </row>
    <row r="773" spans="3:3" ht="15.75" customHeight="1" x14ac:dyDescent="0.25">
      <c r="C773" s="145"/>
    </row>
    <row r="774" spans="3:3" ht="15.75" customHeight="1" x14ac:dyDescent="0.25">
      <c r="C774" s="145"/>
    </row>
    <row r="775" spans="3:3" ht="15.75" customHeight="1" x14ac:dyDescent="0.25">
      <c r="C775" s="145"/>
    </row>
    <row r="776" spans="3:3" ht="15.75" customHeight="1" x14ac:dyDescent="0.25">
      <c r="C776" s="145"/>
    </row>
    <row r="777" spans="3:3" ht="15.75" customHeight="1" x14ac:dyDescent="0.25">
      <c r="C777" s="145"/>
    </row>
    <row r="778" spans="3:3" ht="15.75" customHeight="1" x14ac:dyDescent="0.25">
      <c r="C778" s="145"/>
    </row>
    <row r="779" spans="3:3" ht="15.75" customHeight="1" x14ac:dyDescent="0.25">
      <c r="C779" s="145"/>
    </row>
    <row r="780" spans="3:3" ht="15.75" customHeight="1" x14ac:dyDescent="0.25">
      <c r="C780" s="145"/>
    </row>
    <row r="781" spans="3:3" ht="15.75" customHeight="1" x14ac:dyDescent="0.25">
      <c r="C781" s="145"/>
    </row>
    <row r="782" spans="3:3" ht="15.75" customHeight="1" x14ac:dyDescent="0.25">
      <c r="C782" s="145"/>
    </row>
    <row r="783" spans="3:3" ht="15.75" customHeight="1" x14ac:dyDescent="0.25">
      <c r="C783" s="145"/>
    </row>
    <row r="784" spans="3:3" ht="15.75" customHeight="1" x14ac:dyDescent="0.25">
      <c r="C784" s="145"/>
    </row>
    <row r="785" spans="3:3" ht="15.75" customHeight="1" x14ac:dyDescent="0.25">
      <c r="C785" s="145"/>
    </row>
    <row r="786" spans="3:3" ht="15.75" customHeight="1" x14ac:dyDescent="0.25">
      <c r="C786" s="145"/>
    </row>
    <row r="787" spans="3:3" ht="15.75" customHeight="1" x14ac:dyDescent="0.25">
      <c r="C787" s="145"/>
    </row>
    <row r="788" spans="3:3" ht="15.75" customHeight="1" x14ac:dyDescent="0.25">
      <c r="C788" s="145"/>
    </row>
    <row r="789" spans="3:3" ht="15.75" customHeight="1" x14ac:dyDescent="0.25">
      <c r="C789" s="145"/>
    </row>
    <row r="790" spans="3:3" ht="15.75" customHeight="1" x14ac:dyDescent="0.25">
      <c r="C790" s="145"/>
    </row>
    <row r="791" spans="3:3" ht="15.75" customHeight="1" x14ac:dyDescent="0.25">
      <c r="C791" s="145"/>
    </row>
    <row r="792" spans="3:3" ht="15.75" customHeight="1" x14ac:dyDescent="0.25">
      <c r="C792" s="145"/>
    </row>
    <row r="793" spans="3:3" ht="15.75" customHeight="1" x14ac:dyDescent="0.25">
      <c r="C793" s="145"/>
    </row>
    <row r="794" spans="3:3" ht="15.75" customHeight="1" x14ac:dyDescent="0.25">
      <c r="C794" s="145"/>
    </row>
    <row r="795" spans="3:3" ht="15.75" customHeight="1" x14ac:dyDescent="0.25">
      <c r="C795" s="145"/>
    </row>
    <row r="796" spans="3:3" ht="15.75" customHeight="1" x14ac:dyDescent="0.25">
      <c r="C796" s="145"/>
    </row>
    <row r="797" spans="3:3" ht="15.75" customHeight="1" x14ac:dyDescent="0.25">
      <c r="C797" s="145"/>
    </row>
    <row r="798" spans="3:3" ht="15.75" customHeight="1" x14ac:dyDescent="0.25">
      <c r="C798" s="145"/>
    </row>
    <row r="799" spans="3:3" ht="15.75" customHeight="1" x14ac:dyDescent="0.25">
      <c r="C799" s="145"/>
    </row>
    <row r="800" spans="3:3" ht="15.75" customHeight="1" x14ac:dyDescent="0.25">
      <c r="C800" s="145"/>
    </row>
    <row r="801" spans="3:3" ht="15.75" customHeight="1" x14ac:dyDescent="0.25">
      <c r="C801" s="145"/>
    </row>
    <row r="802" spans="3:3" ht="15.75" customHeight="1" x14ac:dyDescent="0.25">
      <c r="C802" s="145"/>
    </row>
    <row r="803" spans="3:3" ht="15.75" customHeight="1" x14ac:dyDescent="0.25">
      <c r="C803" s="145"/>
    </row>
    <row r="804" spans="3:3" ht="15.75" customHeight="1" x14ac:dyDescent="0.25">
      <c r="C804" s="145"/>
    </row>
    <row r="805" spans="3:3" ht="15.75" customHeight="1" x14ac:dyDescent="0.25">
      <c r="C805" s="145"/>
    </row>
    <row r="806" spans="3:3" ht="15.75" customHeight="1" x14ac:dyDescent="0.25">
      <c r="C806" s="145"/>
    </row>
    <row r="807" spans="3:3" ht="15.75" customHeight="1" x14ac:dyDescent="0.25">
      <c r="C807" s="145"/>
    </row>
    <row r="808" spans="3:3" ht="15.75" customHeight="1" x14ac:dyDescent="0.25">
      <c r="C808" s="145"/>
    </row>
    <row r="809" spans="3:3" ht="15.75" customHeight="1" x14ac:dyDescent="0.25">
      <c r="C809" s="145"/>
    </row>
    <row r="810" spans="3:3" ht="15.75" customHeight="1" x14ac:dyDescent="0.25">
      <c r="C810" s="145"/>
    </row>
    <row r="811" spans="3:3" ht="15.75" customHeight="1" x14ac:dyDescent="0.25">
      <c r="C811" s="145"/>
    </row>
    <row r="812" spans="3:3" ht="15.75" customHeight="1" x14ac:dyDescent="0.25">
      <c r="C812" s="145"/>
    </row>
    <row r="813" spans="3:3" ht="15.75" customHeight="1" x14ac:dyDescent="0.25">
      <c r="C813" s="145"/>
    </row>
    <row r="814" spans="3:3" ht="15.75" customHeight="1" x14ac:dyDescent="0.25">
      <c r="C814" s="145"/>
    </row>
    <row r="815" spans="3:3" ht="15.75" customHeight="1" x14ac:dyDescent="0.25">
      <c r="C815" s="145"/>
    </row>
    <row r="816" spans="3:3" ht="15.75" customHeight="1" x14ac:dyDescent="0.25">
      <c r="C816" s="145"/>
    </row>
    <row r="817" spans="3:3" ht="15.75" customHeight="1" x14ac:dyDescent="0.25">
      <c r="C817" s="145"/>
    </row>
    <row r="818" spans="3:3" ht="15.75" customHeight="1" x14ac:dyDescent="0.25">
      <c r="C818" s="145"/>
    </row>
    <row r="819" spans="3:3" ht="15.75" customHeight="1" x14ac:dyDescent="0.25">
      <c r="C819" s="145"/>
    </row>
    <row r="820" spans="3:3" ht="15.75" customHeight="1" x14ac:dyDescent="0.25">
      <c r="C820" s="145"/>
    </row>
    <row r="821" spans="3:3" ht="15.75" customHeight="1" x14ac:dyDescent="0.25">
      <c r="C821" s="145"/>
    </row>
    <row r="822" spans="3:3" ht="15.75" customHeight="1" x14ac:dyDescent="0.25">
      <c r="C822" s="145"/>
    </row>
    <row r="823" spans="3:3" ht="15.75" customHeight="1" x14ac:dyDescent="0.25">
      <c r="C823" s="145"/>
    </row>
    <row r="824" spans="3:3" ht="15.75" customHeight="1" x14ac:dyDescent="0.25">
      <c r="C824" s="145"/>
    </row>
    <row r="825" spans="3:3" ht="15.75" customHeight="1" x14ac:dyDescent="0.25">
      <c r="C825" s="145"/>
    </row>
    <row r="826" spans="3:3" ht="15.75" customHeight="1" x14ac:dyDescent="0.25">
      <c r="C826" s="145"/>
    </row>
    <row r="827" spans="3:3" ht="15.75" customHeight="1" x14ac:dyDescent="0.25">
      <c r="C827" s="145"/>
    </row>
    <row r="828" spans="3:3" ht="15.75" customHeight="1" x14ac:dyDescent="0.25">
      <c r="C828" s="145"/>
    </row>
    <row r="829" spans="3:3" ht="15.75" customHeight="1" x14ac:dyDescent="0.25">
      <c r="C829" s="145"/>
    </row>
    <row r="830" spans="3:3" ht="15.75" customHeight="1" x14ac:dyDescent="0.25">
      <c r="C830" s="145"/>
    </row>
    <row r="831" spans="3:3" ht="15.75" customHeight="1" x14ac:dyDescent="0.25">
      <c r="C831" s="145"/>
    </row>
    <row r="832" spans="3:3" ht="15.75" customHeight="1" x14ac:dyDescent="0.25">
      <c r="C832" s="145"/>
    </row>
    <row r="833" spans="3:3" ht="15.75" customHeight="1" x14ac:dyDescent="0.25">
      <c r="C833" s="145"/>
    </row>
    <row r="834" spans="3:3" ht="15.75" customHeight="1" x14ac:dyDescent="0.25">
      <c r="C834" s="145"/>
    </row>
    <row r="835" spans="3:3" ht="15.75" customHeight="1" x14ac:dyDescent="0.25">
      <c r="C835" s="145"/>
    </row>
    <row r="836" spans="3:3" ht="15.75" customHeight="1" x14ac:dyDescent="0.25">
      <c r="C836" s="145"/>
    </row>
    <row r="837" spans="3:3" ht="15.75" customHeight="1" x14ac:dyDescent="0.25">
      <c r="C837" s="145"/>
    </row>
    <row r="838" spans="3:3" ht="15.75" customHeight="1" x14ac:dyDescent="0.25">
      <c r="C838" s="145"/>
    </row>
    <row r="839" spans="3:3" ht="15.75" customHeight="1" x14ac:dyDescent="0.25">
      <c r="C839" s="145"/>
    </row>
    <row r="840" spans="3:3" ht="15.75" customHeight="1" x14ac:dyDescent="0.25">
      <c r="C840" s="145"/>
    </row>
    <row r="841" spans="3:3" ht="15.75" customHeight="1" x14ac:dyDescent="0.25">
      <c r="C841" s="145"/>
    </row>
    <row r="842" spans="3:3" ht="15.75" customHeight="1" x14ac:dyDescent="0.25">
      <c r="C842" s="145"/>
    </row>
    <row r="843" spans="3:3" ht="15.75" customHeight="1" x14ac:dyDescent="0.25">
      <c r="C843" s="145"/>
    </row>
    <row r="844" spans="3:3" ht="15.75" customHeight="1" x14ac:dyDescent="0.25">
      <c r="C844" s="145"/>
    </row>
    <row r="845" spans="3:3" ht="15.75" customHeight="1" x14ac:dyDescent="0.25">
      <c r="C845" s="145"/>
    </row>
    <row r="846" spans="3:3" ht="15.75" customHeight="1" x14ac:dyDescent="0.25">
      <c r="C846" s="145"/>
    </row>
    <row r="847" spans="3:3" ht="15.75" customHeight="1" x14ac:dyDescent="0.25">
      <c r="C847" s="145"/>
    </row>
    <row r="848" spans="3:3" ht="15.75" customHeight="1" x14ac:dyDescent="0.25">
      <c r="C848" s="145"/>
    </row>
    <row r="849" spans="3:3" ht="15.75" customHeight="1" x14ac:dyDescent="0.25">
      <c r="C849" s="145"/>
    </row>
    <row r="850" spans="3:3" ht="15.75" customHeight="1" x14ac:dyDescent="0.25">
      <c r="C850" s="145"/>
    </row>
    <row r="851" spans="3:3" ht="15.75" customHeight="1" x14ac:dyDescent="0.25">
      <c r="C851" s="145"/>
    </row>
    <row r="852" spans="3:3" ht="15.75" customHeight="1" x14ac:dyDescent="0.25">
      <c r="C852" s="145"/>
    </row>
    <row r="853" spans="3:3" ht="15.75" customHeight="1" x14ac:dyDescent="0.25">
      <c r="C853" s="145"/>
    </row>
    <row r="854" spans="3:3" ht="15.75" customHeight="1" x14ac:dyDescent="0.25">
      <c r="C854" s="145"/>
    </row>
    <row r="855" spans="3:3" ht="15.75" customHeight="1" x14ac:dyDescent="0.25">
      <c r="C855" s="145"/>
    </row>
    <row r="856" spans="3:3" ht="15.75" customHeight="1" x14ac:dyDescent="0.25">
      <c r="C856" s="145"/>
    </row>
    <row r="857" spans="3:3" ht="15.75" customHeight="1" x14ac:dyDescent="0.25">
      <c r="C857" s="145"/>
    </row>
    <row r="858" spans="3:3" ht="15.75" customHeight="1" x14ac:dyDescent="0.25">
      <c r="C858" s="145"/>
    </row>
    <row r="859" spans="3:3" ht="15.75" customHeight="1" x14ac:dyDescent="0.25">
      <c r="C859" s="145"/>
    </row>
    <row r="860" spans="3:3" ht="15.75" customHeight="1" x14ac:dyDescent="0.25">
      <c r="C860" s="145"/>
    </row>
    <row r="861" spans="3:3" ht="15.75" customHeight="1" x14ac:dyDescent="0.25">
      <c r="C861" s="145"/>
    </row>
    <row r="862" spans="3:3" ht="15.75" customHeight="1" x14ac:dyDescent="0.25">
      <c r="C862" s="145"/>
    </row>
    <row r="863" spans="3:3" ht="15.75" customHeight="1" x14ac:dyDescent="0.25">
      <c r="C863" s="145"/>
    </row>
    <row r="864" spans="3:3" ht="15.75" customHeight="1" x14ac:dyDescent="0.25">
      <c r="C864" s="145"/>
    </row>
    <row r="865" spans="3:3" ht="15.75" customHeight="1" x14ac:dyDescent="0.25">
      <c r="C865" s="145"/>
    </row>
    <row r="866" spans="3:3" ht="15.75" customHeight="1" x14ac:dyDescent="0.25">
      <c r="C866" s="145"/>
    </row>
    <row r="867" spans="3:3" ht="15.75" customHeight="1" x14ac:dyDescent="0.25">
      <c r="C867" s="145"/>
    </row>
    <row r="868" spans="3:3" ht="15.75" customHeight="1" x14ac:dyDescent="0.25">
      <c r="C868" s="145"/>
    </row>
    <row r="869" spans="3:3" ht="15.75" customHeight="1" x14ac:dyDescent="0.25">
      <c r="C869" s="145"/>
    </row>
    <row r="870" spans="3:3" ht="15.75" customHeight="1" x14ac:dyDescent="0.25">
      <c r="C870" s="145"/>
    </row>
    <row r="871" spans="3:3" ht="15.75" customHeight="1" x14ac:dyDescent="0.25">
      <c r="C871" s="145"/>
    </row>
    <row r="872" spans="3:3" ht="15.75" customHeight="1" x14ac:dyDescent="0.25">
      <c r="C872" s="145"/>
    </row>
    <row r="873" spans="3:3" ht="15.75" customHeight="1" x14ac:dyDescent="0.25">
      <c r="C873" s="145"/>
    </row>
    <row r="874" spans="3:3" ht="15.75" customHeight="1" x14ac:dyDescent="0.25">
      <c r="C874" s="145"/>
    </row>
    <row r="875" spans="3:3" ht="15.75" customHeight="1" x14ac:dyDescent="0.25">
      <c r="C875" s="145"/>
    </row>
    <row r="876" spans="3:3" ht="15.75" customHeight="1" x14ac:dyDescent="0.25">
      <c r="C876" s="145"/>
    </row>
    <row r="877" spans="3:3" ht="15.75" customHeight="1" x14ac:dyDescent="0.25">
      <c r="C877" s="145"/>
    </row>
    <row r="878" spans="3:3" ht="15.75" customHeight="1" x14ac:dyDescent="0.25">
      <c r="C878" s="145"/>
    </row>
    <row r="879" spans="3:3" ht="15.75" customHeight="1" x14ac:dyDescent="0.25">
      <c r="C879" s="145"/>
    </row>
    <row r="880" spans="3:3" ht="15.75" customHeight="1" x14ac:dyDescent="0.25">
      <c r="C880" s="145"/>
    </row>
    <row r="881" spans="3:3" ht="15.75" customHeight="1" x14ac:dyDescent="0.25">
      <c r="C881" s="145"/>
    </row>
    <row r="882" spans="3:3" ht="15.75" customHeight="1" x14ac:dyDescent="0.25">
      <c r="C882" s="145"/>
    </row>
    <row r="883" spans="3:3" ht="15.75" customHeight="1" x14ac:dyDescent="0.25">
      <c r="C883" s="145"/>
    </row>
    <row r="884" spans="3:3" ht="15.75" customHeight="1" x14ac:dyDescent="0.25">
      <c r="C884" s="145"/>
    </row>
    <row r="885" spans="3:3" ht="15.75" customHeight="1" x14ac:dyDescent="0.25">
      <c r="C885" s="145"/>
    </row>
    <row r="886" spans="3:3" ht="15.75" customHeight="1" x14ac:dyDescent="0.25">
      <c r="C886" s="145"/>
    </row>
    <row r="887" spans="3:3" ht="15.75" customHeight="1" x14ac:dyDescent="0.25">
      <c r="C887" s="145"/>
    </row>
    <row r="888" spans="3:3" ht="15.75" customHeight="1" x14ac:dyDescent="0.25">
      <c r="C888" s="145"/>
    </row>
    <row r="889" spans="3:3" ht="15.75" customHeight="1" x14ac:dyDescent="0.25">
      <c r="C889" s="145"/>
    </row>
    <row r="890" spans="3:3" ht="15.75" customHeight="1" x14ac:dyDescent="0.25">
      <c r="C890" s="145"/>
    </row>
    <row r="891" spans="3:3" ht="15.75" customHeight="1" x14ac:dyDescent="0.25">
      <c r="C891" s="145"/>
    </row>
    <row r="892" spans="3:3" ht="15.75" customHeight="1" x14ac:dyDescent="0.25">
      <c r="C892" s="145"/>
    </row>
    <row r="893" spans="3:3" ht="15.75" customHeight="1" x14ac:dyDescent="0.25">
      <c r="C893" s="145"/>
    </row>
    <row r="894" spans="3:3" ht="15.75" customHeight="1" x14ac:dyDescent="0.25">
      <c r="C894" s="145"/>
    </row>
    <row r="895" spans="3:3" ht="15.75" customHeight="1" x14ac:dyDescent="0.25">
      <c r="C895" s="145"/>
    </row>
    <row r="896" spans="3:3" ht="15.75" customHeight="1" x14ac:dyDescent="0.25">
      <c r="C896" s="145"/>
    </row>
    <row r="897" spans="3:3" ht="15.75" customHeight="1" x14ac:dyDescent="0.25">
      <c r="C897" s="145"/>
    </row>
    <row r="898" spans="3:3" ht="15.75" customHeight="1" x14ac:dyDescent="0.25">
      <c r="C898" s="145"/>
    </row>
    <row r="899" spans="3:3" ht="15.75" customHeight="1" x14ac:dyDescent="0.25">
      <c r="C899" s="145"/>
    </row>
    <row r="900" spans="3:3" ht="15.75" customHeight="1" x14ac:dyDescent="0.25">
      <c r="C900" s="145"/>
    </row>
    <row r="901" spans="3:3" ht="15.75" customHeight="1" x14ac:dyDescent="0.25">
      <c r="C901" s="145"/>
    </row>
    <row r="902" spans="3:3" ht="15.75" customHeight="1" x14ac:dyDescent="0.25">
      <c r="C902" s="145"/>
    </row>
    <row r="903" spans="3:3" ht="15.75" customHeight="1" x14ac:dyDescent="0.25">
      <c r="C903" s="145"/>
    </row>
    <row r="904" spans="3:3" ht="15.75" customHeight="1" x14ac:dyDescent="0.25">
      <c r="C904" s="145"/>
    </row>
    <row r="905" spans="3:3" ht="15.75" customHeight="1" x14ac:dyDescent="0.25">
      <c r="C905" s="145"/>
    </row>
    <row r="906" spans="3:3" ht="15.75" customHeight="1" x14ac:dyDescent="0.25">
      <c r="C906" s="145"/>
    </row>
    <row r="907" spans="3:3" ht="15.75" customHeight="1" x14ac:dyDescent="0.25">
      <c r="C907" s="145"/>
    </row>
    <row r="908" spans="3:3" ht="15.75" customHeight="1" x14ac:dyDescent="0.25">
      <c r="C908" s="145"/>
    </row>
    <row r="909" spans="3:3" ht="15.75" customHeight="1" x14ac:dyDescent="0.25">
      <c r="C909" s="145"/>
    </row>
    <row r="910" spans="3:3" ht="15.75" customHeight="1" x14ac:dyDescent="0.25">
      <c r="C910" s="145"/>
    </row>
    <row r="911" spans="3:3" ht="15.75" customHeight="1" x14ac:dyDescent="0.25">
      <c r="C911" s="145"/>
    </row>
    <row r="912" spans="3:3" ht="15.75" customHeight="1" x14ac:dyDescent="0.25">
      <c r="C912" s="145"/>
    </row>
    <row r="913" spans="3:3" ht="15.75" customHeight="1" x14ac:dyDescent="0.25">
      <c r="C913" s="145"/>
    </row>
    <row r="914" spans="3:3" ht="15.75" customHeight="1" x14ac:dyDescent="0.25">
      <c r="C914" s="145"/>
    </row>
    <row r="915" spans="3:3" ht="15.75" customHeight="1" x14ac:dyDescent="0.25">
      <c r="C915" s="145"/>
    </row>
    <row r="916" spans="3:3" ht="15.75" customHeight="1" x14ac:dyDescent="0.25">
      <c r="C916" s="145"/>
    </row>
    <row r="917" spans="3:3" ht="15.75" customHeight="1" x14ac:dyDescent="0.25">
      <c r="C917" s="145"/>
    </row>
    <row r="918" spans="3:3" ht="15.75" customHeight="1" x14ac:dyDescent="0.25">
      <c r="C918" s="145"/>
    </row>
    <row r="919" spans="3:3" ht="15.75" customHeight="1" x14ac:dyDescent="0.25">
      <c r="C919" s="145"/>
    </row>
    <row r="920" spans="3:3" ht="15.75" customHeight="1" x14ac:dyDescent="0.25">
      <c r="C920" s="145"/>
    </row>
    <row r="921" spans="3:3" ht="15.75" customHeight="1" x14ac:dyDescent="0.25">
      <c r="C921" s="145"/>
    </row>
    <row r="922" spans="3:3" ht="15.75" customHeight="1" x14ac:dyDescent="0.25">
      <c r="C922" s="145"/>
    </row>
    <row r="923" spans="3:3" ht="15.75" customHeight="1" x14ac:dyDescent="0.25">
      <c r="C923" s="145"/>
    </row>
    <row r="924" spans="3:3" ht="15.75" customHeight="1" x14ac:dyDescent="0.25">
      <c r="C924" s="145"/>
    </row>
    <row r="925" spans="3:3" ht="15.75" customHeight="1" x14ac:dyDescent="0.25">
      <c r="C925" s="145"/>
    </row>
    <row r="926" spans="3:3" ht="15.75" customHeight="1" x14ac:dyDescent="0.25">
      <c r="C926" s="145"/>
    </row>
    <row r="927" spans="3:3" ht="15.75" customHeight="1" x14ac:dyDescent="0.25">
      <c r="C927" s="145"/>
    </row>
    <row r="928" spans="3:3" ht="15.75" customHeight="1" x14ac:dyDescent="0.25">
      <c r="C928" s="145"/>
    </row>
    <row r="929" spans="3:3" ht="15.75" customHeight="1" x14ac:dyDescent="0.25">
      <c r="C929" s="145"/>
    </row>
    <row r="930" spans="3:3" ht="15.75" customHeight="1" x14ac:dyDescent="0.25">
      <c r="C930" s="145"/>
    </row>
    <row r="931" spans="3:3" ht="15.75" customHeight="1" x14ac:dyDescent="0.25">
      <c r="C931" s="145"/>
    </row>
    <row r="932" spans="3:3" ht="15.75" customHeight="1" x14ac:dyDescent="0.25">
      <c r="C932" s="145"/>
    </row>
    <row r="933" spans="3:3" ht="15.75" customHeight="1" x14ac:dyDescent="0.25">
      <c r="C933" s="145"/>
    </row>
    <row r="934" spans="3:3" ht="15.75" customHeight="1" x14ac:dyDescent="0.25">
      <c r="C934" s="145"/>
    </row>
    <row r="935" spans="3:3" ht="15.75" customHeight="1" x14ac:dyDescent="0.25">
      <c r="C935" s="145"/>
    </row>
    <row r="936" spans="3:3" ht="15.75" customHeight="1" x14ac:dyDescent="0.25">
      <c r="C936" s="145"/>
    </row>
    <row r="937" spans="3:3" ht="15.75" customHeight="1" x14ac:dyDescent="0.25">
      <c r="C937" s="145"/>
    </row>
    <row r="938" spans="3:3" ht="15.75" customHeight="1" x14ac:dyDescent="0.25">
      <c r="C938" s="145"/>
    </row>
    <row r="939" spans="3:3" ht="15.75" customHeight="1" x14ac:dyDescent="0.25">
      <c r="C939" s="145"/>
    </row>
    <row r="940" spans="3:3" ht="15.75" customHeight="1" x14ac:dyDescent="0.25">
      <c r="C940" s="145"/>
    </row>
    <row r="941" spans="3:3" ht="15.75" customHeight="1" x14ac:dyDescent="0.25">
      <c r="C941" s="145"/>
    </row>
    <row r="942" spans="3:3" ht="15.75" customHeight="1" x14ac:dyDescent="0.25">
      <c r="C942" s="145"/>
    </row>
    <row r="943" spans="3:3" ht="15.75" customHeight="1" x14ac:dyDescent="0.25">
      <c r="C943" s="145"/>
    </row>
    <row r="944" spans="3:3" ht="15.75" customHeight="1" x14ac:dyDescent="0.25">
      <c r="C944" s="145"/>
    </row>
    <row r="945" spans="3:3" ht="15.75" customHeight="1" x14ac:dyDescent="0.25">
      <c r="C945" s="145"/>
    </row>
    <row r="946" spans="3:3" ht="15.75" customHeight="1" x14ac:dyDescent="0.25">
      <c r="C946" s="145"/>
    </row>
    <row r="947" spans="3:3" ht="15.75" customHeight="1" x14ac:dyDescent="0.25">
      <c r="C947" s="145"/>
    </row>
    <row r="948" spans="3:3" ht="15.75" customHeight="1" x14ac:dyDescent="0.25">
      <c r="C948" s="145"/>
    </row>
    <row r="949" spans="3:3" ht="15.75" customHeight="1" x14ac:dyDescent="0.25">
      <c r="C949" s="145"/>
    </row>
    <row r="950" spans="3:3" ht="15.75" customHeight="1" x14ac:dyDescent="0.25">
      <c r="C950" s="145"/>
    </row>
    <row r="951" spans="3:3" ht="15.75" customHeight="1" x14ac:dyDescent="0.25">
      <c r="C951" s="145"/>
    </row>
    <row r="952" spans="3:3" ht="15.75" customHeight="1" x14ac:dyDescent="0.25">
      <c r="C952" s="145"/>
    </row>
    <row r="953" spans="3:3" ht="15.75" customHeight="1" x14ac:dyDescent="0.25">
      <c r="C953" s="145"/>
    </row>
    <row r="954" spans="3:3" ht="15.75" customHeight="1" x14ac:dyDescent="0.25">
      <c r="C954" s="145"/>
    </row>
    <row r="955" spans="3:3" ht="15.75" customHeight="1" x14ac:dyDescent="0.25">
      <c r="C955" s="145"/>
    </row>
    <row r="956" spans="3:3" ht="15.75" customHeight="1" x14ac:dyDescent="0.25">
      <c r="C956" s="145"/>
    </row>
    <row r="957" spans="3:3" ht="15.75" customHeight="1" x14ac:dyDescent="0.25">
      <c r="C957" s="145"/>
    </row>
    <row r="958" spans="3:3" ht="15.75" customHeight="1" x14ac:dyDescent="0.25">
      <c r="C958" s="145"/>
    </row>
    <row r="959" spans="3:3" ht="15.75" customHeight="1" x14ac:dyDescent="0.25">
      <c r="C959" s="145"/>
    </row>
    <row r="960" spans="3:3" ht="15.75" customHeight="1" x14ac:dyDescent="0.25">
      <c r="C960" s="145"/>
    </row>
    <row r="961" spans="3:3" ht="15.75" customHeight="1" x14ac:dyDescent="0.25">
      <c r="C961" s="145"/>
    </row>
    <row r="962" spans="3:3" ht="15.75" customHeight="1" x14ac:dyDescent="0.25">
      <c r="C962" s="145"/>
    </row>
    <row r="963" spans="3:3" ht="15.75" customHeight="1" x14ac:dyDescent="0.25">
      <c r="C963" s="145"/>
    </row>
    <row r="964" spans="3:3" ht="15.75" customHeight="1" x14ac:dyDescent="0.25">
      <c r="C964" s="145"/>
    </row>
    <row r="965" spans="3:3" ht="15.75" customHeight="1" x14ac:dyDescent="0.25">
      <c r="C965" s="145"/>
    </row>
    <row r="966" spans="3:3" ht="15.75" customHeight="1" x14ac:dyDescent="0.25">
      <c r="C966" s="145"/>
    </row>
    <row r="967" spans="3:3" ht="15.75" customHeight="1" x14ac:dyDescent="0.25">
      <c r="C967" s="145"/>
    </row>
    <row r="968" spans="3:3" ht="15.75" customHeight="1" x14ac:dyDescent="0.25">
      <c r="C968" s="145"/>
    </row>
    <row r="969" spans="3:3" ht="15.75" customHeight="1" x14ac:dyDescent="0.25">
      <c r="C969" s="145"/>
    </row>
    <row r="970" spans="3:3" ht="15.75" customHeight="1" x14ac:dyDescent="0.25">
      <c r="C970" s="145"/>
    </row>
    <row r="971" spans="3:3" ht="15.75" customHeight="1" x14ac:dyDescent="0.25">
      <c r="C971" s="145"/>
    </row>
    <row r="972" spans="3:3" ht="15.75" customHeight="1" x14ac:dyDescent="0.25">
      <c r="C972" s="145"/>
    </row>
    <row r="973" spans="3:3" ht="15.75" customHeight="1" x14ac:dyDescent="0.25">
      <c r="C973" s="145"/>
    </row>
    <row r="974" spans="3:3" ht="15.75" customHeight="1" x14ac:dyDescent="0.25">
      <c r="C974" s="145"/>
    </row>
    <row r="975" spans="3:3" ht="15.75" customHeight="1" x14ac:dyDescent="0.25">
      <c r="C975" s="145"/>
    </row>
    <row r="976" spans="3:3" ht="15.75" customHeight="1" x14ac:dyDescent="0.25">
      <c r="C976" s="145"/>
    </row>
    <row r="977" spans="3:3" ht="15.75" customHeight="1" x14ac:dyDescent="0.25">
      <c r="C977" s="145"/>
    </row>
    <row r="978" spans="3:3" ht="15.75" customHeight="1" x14ac:dyDescent="0.25">
      <c r="C978" s="145"/>
    </row>
    <row r="979" spans="3:3" ht="15.75" customHeight="1" x14ac:dyDescent="0.25">
      <c r="C979" s="145"/>
    </row>
    <row r="980" spans="3:3" ht="15.75" customHeight="1" x14ac:dyDescent="0.25">
      <c r="C980" s="145"/>
    </row>
    <row r="981" spans="3:3" ht="15.75" customHeight="1" x14ac:dyDescent="0.25">
      <c r="C981" s="145"/>
    </row>
    <row r="982" spans="3:3" ht="15.75" customHeight="1" x14ac:dyDescent="0.25">
      <c r="C982" s="145"/>
    </row>
    <row r="983" spans="3:3" ht="15.75" customHeight="1" x14ac:dyDescent="0.25">
      <c r="C983" s="145"/>
    </row>
    <row r="984" spans="3:3" ht="15.75" customHeight="1" x14ac:dyDescent="0.25">
      <c r="C984" s="145"/>
    </row>
    <row r="985" spans="3:3" ht="15.75" customHeight="1" x14ac:dyDescent="0.25">
      <c r="C985" s="145"/>
    </row>
    <row r="986" spans="3:3" ht="15.75" customHeight="1" x14ac:dyDescent="0.25">
      <c r="C986" s="145"/>
    </row>
    <row r="987" spans="3:3" ht="15.75" customHeight="1" x14ac:dyDescent="0.25">
      <c r="C987" s="145"/>
    </row>
    <row r="988" spans="3:3" ht="15.75" customHeight="1" x14ac:dyDescent="0.25">
      <c r="C988" s="145"/>
    </row>
    <row r="989" spans="3:3" ht="15.75" customHeight="1" x14ac:dyDescent="0.25">
      <c r="C989" s="145"/>
    </row>
    <row r="990" spans="3:3" ht="15.75" customHeight="1" x14ac:dyDescent="0.25">
      <c r="C990" s="145"/>
    </row>
    <row r="991" spans="3:3" ht="15.75" customHeight="1" x14ac:dyDescent="0.25">
      <c r="C991" s="145"/>
    </row>
    <row r="992" spans="3:3" ht="15.75" customHeight="1" x14ac:dyDescent="0.25">
      <c r="C992" s="145"/>
    </row>
    <row r="993" spans="3:3" ht="15.75" customHeight="1" x14ac:dyDescent="0.25">
      <c r="C993" s="145"/>
    </row>
    <row r="994" spans="3:3" ht="15.75" customHeight="1" x14ac:dyDescent="0.25">
      <c r="C994" s="145"/>
    </row>
    <row r="995" spans="3:3" ht="15.75" customHeight="1" x14ac:dyDescent="0.25">
      <c r="C995" s="145"/>
    </row>
    <row r="996" spans="3:3" ht="15.75" customHeight="1" x14ac:dyDescent="0.25">
      <c r="C996" s="145"/>
    </row>
    <row r="997" spans="3:3" ht="15.75" customHeight="1" x14ac:dyDescent="0.25">
      <c r="C997" s="145"/>
    </row>
    <row r="998" spans="3:3" ht="15.75" customHeight="1" x14ac:dyDescent="0.25">
      <c r="C998" s="145"/>
    </row>
    <row r="999" spans="3:3" ht="15.75" customHeight="1" x14ac:dyDescent="0.25">
      <c r="C999" s="145"/>
    </row>
    <row r="1000" spans="3:3" ht="15.75" customHeight="1" x14ac:dyDescent="0.25">
      <c r="C1000" s="145"/>
    </row>
  </sheetData>
  <mergeCells count="32">
    <mergeCell ref="A1:P1"/>
    <mergeCell ref="A2:P2"/>
    <mergeCell ref="A3:P3"/>
    <mergeCell ref="A4:D4"/>
    <mergeCell ref="A5:P5"/>
    <mergeCell ref="B10:D10"/>
    <mergeCell ref="F10:R10"/>
    <mergeCell ref="F11:R11"/>
    <mergeCell ref="E12:R12"/>
    <mergeCell ref="E13:R13"/>
    <mergeCell ref="B15:B19"/>
    <mergeCell ref="D15:K15"/>
    <mergeCell ref="D16:K16"/>
    <mergeCell ref="D19:K19"/>
    <mergeCell ref="C20:C21"/>
    <mergeCell ref="D20:D21"/>
    <mergeCell ref="E20:E21"/>
    <mergeCell ref="F20:J20"/>
    <mergeCell ref="D31:K31"/>
    <mergeCell ref="D32:K32"/>
    <mergeCell ref="D33:K33"/>
    <mergeCell ref="B75:B76"/>
    <mergeCell ref="D75:D76"/>
    <mergeCell ref="B78:B91"/>
    <mergeCell ref="B92:B100"/>
    <mergeCell ref="B35:E35"/>
    <mergeCell ref="B36:B42"/>
    <mergeCell ref="B44:E44"/>
    <mergeCell ref="B45:B51"/>
    <mergeCell ref="B58:E59"/>
    <mergeCell ref="B61:D61"/>
    <mergeCell ref="B63:B74"/>
  </mergeCells>
  <conditionalFormatting sqref="E12:R12">
    <cfRule type="expression" dxfId="3" priority="2">
      <formula>E11="SI SE REPORTA"</formula>
    </cfRule>
  </conditionalFormatting>
  <conditionalFormatting sqref="F10:R11">
    <cfRule type="expression" dxfId="2" priority="3">
      <formula>E10="NO SE REPORTA"</formula>
    </cfRule>
    <cfRule type="expression" dxfId="1" priority="4">
      <formula>E9="NO APLICA"</formula>
    </cfRule>
  </conditionalFormatting>
  <conditionalFormatting sqref="H30">
    <cfRule type="containsText" dxfId="0" priority="1" operator="containsText" text="ERROR">
      <formula>NOT(ISERROR(SEARCH(("ERROR"),(H30))))</formula>
    </cfRule>
  </conditionalFormatting>
  <dataValidations count="4">
    <dataValidation type="decimal" allowBlank="1" showInputMessage="1" showErrorMessage="1" prompt="ERROR - Escriba un valor entre 0% y 100%" sqref="F22:H29">
      <formula1>0</formula1>
      <formula2>1</formula2>
    </dataValidation>
    <dataValidation type="list" allowBlank="1" showErrorMessage="1" sqref="E10">
      <formula1>SI</formula1>
    </dataValidation>
    <dataValidation type="list" allowBlank="1" showErrorMessage="1" sqref="E11">
      <formula1>REPORTE</formula1>
    </dataValidation>
    <dataValidation type="decimal" operator="greaterThanOrEqual" allowBlank="1" showInputMessage="1" showErrorMessage="1" prompt="ERROR - Escriba un número igual o mayor que 0" sqref="E18:H18">
      <formula1>0</formula1>
    </dataValidation>
  </dataValidations>
  <hyperlinks>
    <hyperlink ref="B9" location="null!A1" display="VOLVER AL INDICE"/>
  </hyperlinks>
  <pageMargins left="0.25" right="0.25"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6" width="11.42578125" customWidth="1"/>
    <col min="7" max="26" width="10.7109375" customWidth="1"/>
  </cols>
  <sheetData>
    <row r="1" spans="1:26" ht="12.75" customHeight="1" x14ac:dyDescent="0.25">
      <c r="A1" s="9" t="s">
        <v>66</v>
      </c>
      <c r="B1" s="10" t="s">
        <v>67</v>
      </c>
      <c r="C1" s="9"/>
      <c r="D1" s="9"/>
      <c r="E1" s="9"/>
      <c r="F1" s="9"/>
      <c r="G1" s="9"/>
      <c r="H1" s="9"/>
      <c r="I1" s="9"/>
      <c r="J1" s="9"/>
      <c r="K1" s="9"/>
      <c r="L1" s="9"/>
      <c r="M1" s="9"/>
      <c r="N1" s="9"/>
      <c r="O1" s="9"/>
      <c r="P1" s="9"/>
      <c r="Q1" s="9"/>
      <c r="R1" s="9"/>
      <c r="S1" s="9"/>
      <c r="T1" s="9"/>
      <c r="U1" s="9"/>
      <c r="V1" s="9"/>
      <c r="W1" s="9"/>
      <c r="X1" s="9"/>
      <c r="Y1" s="9"/>
      <c r="Z1" s="9"/>
    </row>
    <row r="2" spans="1:26" ht="12.75" customHeight="1" x14ac:dyDescent="0.25">
      <c r="A2" s="9" t="s">
        <v>68</v>
      </c>
      <c r="B2" s="10" t="s">
        <v>69</v>
      </c>
      <c r="C2" s="9"/>
      <c r="D2" s="9"/>
      <c r="E2" s="9"/>
      <c r="F2" s="9"/>
      <c r="G2" s="9"/>
      <c r="H2" s="9"/>
      <c r="I2" s="9"/>
      <c r="J2" s="9"/>
      <c r="K2" s="9"/>
      <c r="L2" s="9"/>
      <c r="M2" s="9"/>
      <c r="N2" s="9"/>
      <c r="O2" s="9"/>
      <c r="P2" s="9"/>
      <c r="Q2" s="9"/>
      <c r="R2" s="9"/>
      <c r="S2" s="9"/>
      <c r="T2" s="9"/>
      <c r="U2" s="9"/>
      <c r="V2" s="9"/>
      <c r="W2" s="9"/>
      <c r="X2" s="9"/>
      <c r="Y2" s="9"/>
      <c r="Z2" s="9"/>
    </row>
    <row r="3" spans="1:26" ht="12.75" customHeight="1" x14ac:dyDescent="0.25">
      <c r="A3" s="9" t="s">
        <v>70</v>
      </c>
      <c r="B3" s="10" t="s">
        <v>71</v>
      </c>
      <c r="C3" s="9"/>
      <c r="D3" s="9"/>
      <c r="E3" s="9"/>
      <c r="F3" s="9"/>
      <c r="G3" s="9"/>
      <c r="H3" s="9"/>
      <c r="I3" s="9"/>
      <c r="J3" s="9"/>
      <c r="K3" s="9"/>
      <c r="L3" s="9"/>
      <c r="M3" s="9"/>
      <c r="N3" s="9"/>
      <c r="O3" s="9"/>
      <c r="P3" s="9"/>
      <c r="Q3" s="9"/>
      <c r="R3" s="9"/>
      <c r="S3" s="9"/>
      <c r="T3" s="9"/>
      <c r="U3" s="9"/>
      <c r="V3" s="9"/>
      <c r="W3" s="9"/>
      <c r="X3" s="9"/>
      <c r="Y3" s="9"/>
      <c r="Z3" s="9"/>
    </row>
    <row r="4" spans="1:26" ht="12.75" customHeight="1" x14ac:dyDescent="0.25">
      <c r="A4" s="9" t="s">
        <v>72</v>
      </c>
      <c r="B4" s="10" t="s">
        <v>73</v>
      </c>
      <c r="C4" s="9"/>
      <c r="D4" s="9"/>
      <c r="E4" s="9"/>
      <c r="F4" s="9"/>
      <c r="G4" s="9"/>
      <c r="H4" s="9"/>
      <c r="I4" s="9"/>
      <c r="J4" s="9"/>
      <c r="K4" s="9"/>
      <c r="L4" s="9"/>
      <c r="M4" s="9"/>
      <c r="N4" s="9"/>
      <c r="O4" s="9"/>
      <c r="P4" s="9"/>
      <c r="Q4" s="9"/>
      <c r="R4" s="9"/>
      <c r="S4" s="9"/>
      <c r="T4" s="9"/>
      <c r="U4" s="9"/>
      <c r="V4" s="9"/>
      <c r="W4" s="9"/>
      <c r="X4" s="9"/>
      <c r="Y4" s="9"/>
      <c r="Z4" s="9"/>
    </row>
    <row r="5" spans="1:26" ht="12.75" customHeight="1" x14ac:dyDescent="0.25">
      <c r="A5" s="9" t="s">
        <v>74</v>
      </c>
      <c r="B5" s="10" t="s">
        <v>75</v>
      </c>
      <c r="C5" s="9"/>
      <c r="D5" s="9"/>
      <c r="E5" s="9"/>
      <c r="F5" s="9"/>
      <c r="G5" s="9"/>
      <c r="H5" s="9"/>
      <c r="I5" s="9"/>
      <c r="J5" s="9"/>
      <c r="K5" s="9"/>
      <c r="L5" s="9"/>
      <c r="M5" s="9"/>
      <c r="N5" s="9"/>
      <c r="O5" s="9"/>
      <c r="P5" s="9"/>
      <c r="Q5" s="9"/>
      <c r="R5" s="9"/>
      <c r="S5" s="9"/>
      <c r="T5" s="9"/>
      <c r="U5" s="9"/>
      <c r="V5" s="9"/>
      <c r="W5" s="9"/>
      <c r="X5" s="9"/>
      <c r="Y5" s="9"/>
      <c r="Z5" s="9"/>
    </row>
    <row r="6" spans="1:26" ht="12.75" customHeight="1" x14ac:dyDescent="0.25">
      <c r="A6" s="9" t="s">
        <v>76</v>
      </c>
      <c r="B6" s="10" t="s">
        <v>77</v>
      </c>
      <c r="C6" s="9"/>
      <c r="D6" s="9"/>
      <c r="E6" s="9"/>
      <c r="F6" s="9"/>
      <c r="G6" s="9"/>
      <c r="H6" s="9"/>
      <c r="I6" s="9"/>
      <c r="J6" s="9"/>
      <c r="K6" s="9"/>
      <c r="L6" s="9"/>
      <c r="M6" s="9"/>
      <c r="N6" s="9"/>
      <c r="O6" s="9"/>
      <c r="P6" s="9"/>
      <c r="Q6" s="9"/>
      <c r="R6" s="9"/>
      <c r="S6" s="9"/>
      <c r="T6" s="9"/>
      <c r="U6" s="9"/>
      <c r="V6" s="9"/>
      <c r="W6" s="9"/>
      <c r="X6" s="9"/>
      <c r="Y6" s="9"/>
      <c r="Z6" s="9"/>
    </row>
    <row r="7" spans="1:26" ht="12.75" customHeight="1" x14ac:dyDescent="0.25">
      <c r="A7" s="9" t="s">
        <v>78</v>
      </c>
      <c r="B7" s="10" t="s">
        <v>79</v>
      </c>
      <c r="C7" s="9"/>
      <c r="D7" s="9"/>
      <c r="E7" s="9"/>
      <c r="F7" s="9"/>
      <c r="G7" s="9"/>
      <c r="H7" s="9"/>
      <c r="I7" s="9"/>
      <c r="J7" s="9"/>
      <c r="K7" s="9"/>
      <c r="L7" s="9"/>
      <c r="M7" s="9"/>
      <c r="N7" s="9"/>
      <c r="O7" s="9"/>
      <c r="P7" s="9"/>
      <c r="Q7" s="9"/>
      <c r="R7" s="9"/>
      <c r="S7" s="9"/>
      <c r="T7" s="9"/>
      <c r="U7" s="9"/>
      <c r="V7" s="9"/>
      <c r="W7" s="9"/>
      <c r="X7" s="9"/>
      <c r="Y7" s="9"/>
      <c r="Z7" s="9"/>
    </row>
    <row r="8" spans="1:26" ht="12.75" customHeight="1" x14ac:dyDescent="0.25">
      <c r="A8" s="9" t="s">
        <v>80</v>
      </c>
      <c r="B8" s="10" t="s">
        <v>81</v>
      </c>
      <c r="C8" s="9"/>
      <c r="D8" s="9"/>
      <c r="E8" s="9"/>
      <c r="F8" s="9"/>
      <c r="G8" s="9"/>
      <c r="H8" s="9"/>
      <c r="I8" s="9"/>
      <c r="J8" s="9"/>
      <c r="K8" s="9"/>
      <c r="L8" s="9"/>
      <c r="M8" s="9"/>
      <c r="N8" s="9"/>
      <c r="O8" s="9"/>
      <c r="P8" s="9"/>
      <c r="Q8" s="9"/>
      <c r="R8" s="9"/>
      <c r="S8" s="9"/>
      <c r="T8" s="9"/>
      <c r="U8" s="9"/>
      <c r="V8" s="9"/>
      <c r="W8" s="9"/>
      <c r="X8" s="9"/>
      <c r="Y8" s="9"/>
      <c r="Z8" s="9"/>
    </row>
    <row r="9" spans="1:26" ht="12.75" customHeight="1" x14ac:dyDescent="0.25">
      <c r="A9" s="9" t="s">
        <v>82</v>
      </c>
      <c r="B9" s="10" t="s">
        <v>83</v>
      </c>
      <c r="C9" s="9"/>
      <c r="D9" s="9"/>
      <c r="E9" s="9"/>
      <c r="F9" s="9"/>
      <c r="G9" s="9"/>
      <c r="H9" s="9"/>
      <c r="I9" s="9"/>
      <c r="J9" s="9"/>
      <c r="K9" s="9"/>
      <c r="L9" s="9"/>
      <c r="M9" s="9"/>
      <c r="N9" s="9"/>
      <c r="O9" s="9"/>
      <c r="P9" s="9"/>
      <c r="Q9" s="9"/>
      <c r="R9" s="9"/>
      <c r="S9" s="9"/>
      <c r="T9" s="9"/>
      <c r="U9" s="9"/>
      <c r="V9" s="9"/>
      <c r="W9" s="9"/>
      <c r="X9" s="9"/>
      <c r="Y9" s="9"/>
      <c r="Z9" s="9"/>
    </row>
    <row r="10" spans="1:26" ht="12.75" customHeight="1" x14ac:dyDescent="0.25">
      <c r="A10" s="9" t="s">
        <v>84</v>
      </c>
      <c r="B10" s="10" t="s">
        <v>85</v>
      </c>
      <c r="C10" s="9"/>
      <c r="D10" s="9"/>
      <c r="E10" s="9"/>
      <c r="F10" s="9"/>
      <c r="G10" s="9"/>
      <c r="H10" s="9"/>
      <c r="I10" s="9"/>
      <c r="J10" s="9"/>
      <c r="K10" s="9"/>
      <c r="L10" s="9"/>
      <c r="M10" s="9"/>
      <c r="N10" s="9"/>
      <c r="O10" s="9"/>
      <c r="P10" s="9"/>
      <c r="Q10" s="9"/>
      <c r="R10" s="9"/>
      <c r="S10" s="9"/>
      <c r="T10" s="9"/>
      <c r="U10" s="9"/>
      <c r="V10" s="9"/>
      <c r="W10" s="9"/>
      <c r="X10" s="9"/>
      <c r="Y10" s="9"/>
      <c r="Z10" s="9"/>
    </row>
    <row r="11" spans="1:26" ht="12.75" customHeight="1" x14ac:dyDescent="0.25">
      <c r="A11" s="9"/>
      <c r="B11" s="10" t="s">
        <v>86</v>
      </c>
      <c r="C11" s="9"/>
      <c r="D11" s="9"/>
      <c r="E11" s="9"/>
      <c r="F11" s="9"/>
      <c r="G11" s="9"/>
      <c r="H11" s="9"/>
      <c r="I11" s="9"/>
      <c r="J11" s="9"/>
      <c r="K11" s="9"/>
      <c r="L11" s="9"/>
      <c r="M11" s="9"/>
      <c r="N11" s="9"/>
      <c r="O11" s="9"/>
      <c r="P11" s="9"/>
      <c r="Q11" s="9"/>
      <c r="R11" s="9"/>
      <c r="S11" s="9"/>
      <c r="T11" s="9"/>
      <c r="U11" s="9"/>
      <c r="V11" s="9"/>
      <c r="W11" s="9"/>
      <c r="X11" s="9"/>
      <c r="Y11" s="9"/>
      <c r="Z11" s="9"/>
    </row>
    <row r="12" spans="1:26" ht="12.75" customHeight="1" x14ac:dyDescent="0.25">
      <c r="A12" s="9"/>
      <c r="B12" s="10" t="s">
        <v>87</v>
      </c>
      <c r="C12" s="9"/>
      <c r="D12" s="9"/>
      <c r="E12" s="9"/>
      <c r="F12" s="9"/>
      <c r="G12" s="9"/>
      <c r="H12" s="9"/>
      <c r="I12" s="9"/>
      <c r="J12" s="9"/>
      <c r="K12" s="9"/>
      <c r="L12" s="9"/>
      <c r="M12" s="9"/>
      <c r="N12" s="9"/>
      <c r="O12" s="9"/>
      <c r="P12" s="9"/>
      <c r="Q12" s="9"/>
      <c r="R12" s="9"/>
      <c r="S12" s="9"/>
      <c r="T12" s="9"/>
      <c r="U12" s="9"/>
      <c r="V12" s="9"/>
      <c r="W12" s="9"/>
      <c r="X12" s="9"/>
      <c r="Y12" s="9"/>
      <c r="Z12" s="9"/>
    </row>
    <row r="13" spans="1:26" ht="12.75" customHeight="1" x14ac:dyDescent="0.25">
      <c r="A13" s="9"/>
      <c r="B13" s="10" t="s">
        <v>88</v>
      </c>
      <c r="C13" s="9"/>
      <c r="D13" s="9"/>
      <c r="E13" s="9"/>
      <c r="F13" s="9"/>
      <c r="G13" s="9"/>
      <c r="H13" s="9"/>
      <c r="I13" s="9"/>
      <c r="J13" s="9"/>
      <c r="K13" s="9"/>
      <c r="L13" s="9"/>
      <c r="M13" s="9"/>
      <c r="N13" s="9"/>
      <c r="O13" s="9"/>
      <c r="P13" s="9"/>
      <c r="Q13" s="9"/>
      <c r="R13" s="9"/>
      <c r="S13" s="9"/>
      <c r="T13" s="9"/>
      <c r="U13" s="9"/>
      <c r="V13" s="9"/>
      <c r="W13" s="9"/>
      <c r="X13" s="9"/>
      <c r="Y13" s="9"/>
      <c r="Z13" s="9"/>
    </row>
    <row r="14" spans="1:26" ht="12.75" customHeight="1" x14ac:dyDescent="0.25">
      <c r="A14" s="9"/>
      <c r="B14" s="10" t="s">
        <v>89</v>
      </c>
      <c r="C14" s="9"/>
      <c r="D14" s="9"/>
      <c r="E14" s="9"/>
      <c r="F14" s="9"/>
      <c r="G14" s="9"/>
      <c r="H14" s="9"/>
      <c r="I14" s="9"/>
      <c r="J14" s="9"/>
      <c r="K14" s="9"/>
      <c r="L14" s="9"/>
      <c r="M14" s="9"/>
      <c r="N14" s="9"/>
      <c r="O14" s="9"/>
      <c r="P14" s="9"/>
      <c r="Q14" s="9"/>
      <c r="R14" s="9"/>
      <c r="S14" s="9"/>
      <c r="T14" s="9"/>
      <c r="U14" s="9"/>
      <c r="V14" s="9"/>
      <c r="W14" s="9"/>
      <c r="X14" s="9"/>
      <c r="Y14" s="9"/>
      <c r="Z14" s="9"/>
    </row>
    <row r="15" spans="1:26" ht="12.75" customHeight="1" x14ac:dyDescent="0.25">
      <c r="A15" s="9"/>
      <c r="B15" s="10" t="s">
        <v>90</v>
      </c>
      <c r="C15" s="9"/>
      <c r="D15" s="9"/>
      <c r="E15" s="9"/>
      <c r="F15" s="9"/>
      <c r="G15" s="9"/>
      <c r="H15" s="9"/>
      <c r="I15" s="9"/>
      <c r="J15" s="9"/>
      <c r="K15" s="9"/>
      <c r="L15" s="9"/>
      <c r="M15" s="9"/>
      <c r="N15" s="9"/>
      <c r="O15" s="9"/>
      <c r="P15" s="9"/>
      <c r="Q15" s="9"/>
      <c r="R15" s="9"/>
      <c r="S15" s="9"/>
      <c r="T15" s="9"/>
      <c r="U15" s="9"/>
      <c r="V15" s="9"/>
      <c r="W15" s="9"/>
      <c r="X15" s="9"/>
      <c r="Y15" s="9"/>
      <c r="Z15" s="9"/>
    </row>
    <row r="16" spans="1:26" ht="12.75" customHeight="1" x14ac:dyDescent="0.25">
      <c r="A16" s="9"/>
      <c r="B16" s="10" t="s">
        <v>91</v>
      </c>
      <c r="C16" s="9"/>
      <c r="D16" s="9"/>
      <c r="E16" s="9"/>
      <c r="F16" s="9"/>
      <c r="G16" s="9"/>
      <c r="H16" s="9"/>
      <c r="I16" s="9"/>
      <c r="J16" s="9"/>
      <c r="K16" s="9"/>
      <c r="L16" s="9"/>
      <c r="M16" s="9"/>
      <c r="N16" s="9"/>
      <c r="O16" s="9"/>
      <c r="P16" s="9"/>
      <c r="Q16" s="9"/>
      <c r="R16" s="9"/>
      <c r="S16" s="9"/>
      <c r="T16" s="9"/>
      <c r="U16" s="9"/>
      <c r="V16" s="9"/>
      <c r="W16" s="9"/>
      <c r="X16" s="9"/>
      <c r="Y16" s="9"/>
      <c r="Z16" s="9"/>
    </row>
    <row r="17" spans="1:26" ht="12.75" customHeight="1" x14ac:dyDescent="0.25">
      <c r="A17" s="9"/>
      <c r="B17" s="10" t="s">
        <v>92</v>
      </c>
      <c r="C17" s="9"/>
      <c r="D17" s="9"/>
      <c r="E17" s="9"/>
      <c r="F17" s="9"/>
      <c r="G17" s="9"/>
      <c r="H17" s="9"/>
      <c r="I17" s="9"/>
      <c r="J17" s="9"/>
      <c r="K17" s="9"/>
      <c r="L17" s="9"/>
      <c r="M17" s="9"/>
      <c r="N17" s="9"/>
      <c r="O17" s="9"/>
      <c r="P17" s="9"/>
      <c r="Q17" s="9"/>
      <c r="R17" s="9"/>
      <c r="S17" s="9"/>
      <c r="T17" s="9"/>
      <c r="U17" s="9"/>
      <c r="V17" s="9"/>
      <c r="W17" s="9"/>
      <c r="X17" s="9"/>
      <c r="Y17" s="9"/>
      <c r="Z17" s="9"/>
    </row>
    <row r="18" spans="1:26" ht="12.75" customHeight="1" x14ac:dyDescent="0.25">
      <c r="A18" s="9"/>
      <c r="B18" s="10" t="s">
        <v>93</v>
      </c>
      <c r="C18" s="9"/>
      <c r="D18" s="9"/>
      <c r="E18" s="9"/>
      <c r="F18" s="9"/>
      <c r="G18" s="9"/>
      <c r="H18" s="9"/>
      <c r="I18" s="9"/>
      <c r="J18" s="9"/>
      <c r="K18" s="9"/>
      <c r="L18" s="9"/>
      <c r="M18" s="9"/>
      <c r="N18" s="9"/>
      <c r="O18" s="9"/>
      <c r="P18" s="9"/>
      <c r="Q18" s="9"/>
      <c r="R18" s="9"/>
      <c r="S18" s="9"/>
      <c r="T18" s="9"/>
      <c r="U18" s="9"/>
      <c r="V18" s="9"/>
      <c r="W18" s="9"/>
      <c r="X18" s="9"/>
      <c r="Y18" s="9"/>
      <c r="Z18" s="9"/>
    </row>
    <row r="19" spans="1:26" ht="12.75" customHeight="1" x14ac:dyDescent="0.25">
      <c r="A19" s="9"/>
      <c r="B19" s="10" t="s">
        <v>94</v>
      </c>
      <c r="C19" s="9"/>
      <c r="D19" s="9"/>
      <c r="E19" s="9"/>
      <c r="F19" s="9"/>
      <c r="G19" s="9"/>
      <c r="H19" s="9"/>
      <c r="I19" s="9"/>
      <c r="J19" s="9"/>
      <c r="K19" s="9"/>
      <c r="L19" s="9"/>
      <c r="M19" s="9"/>
      <c r="N19" s="9"/>
      <c r="O19" s="9"/>
      <c r="P19" s="9"/>
      <c r="Q19" s="9"/>
      <c r="R19" s="9"/>
      <c r="S19" s="9"/>
      <c r="T19" s="9"/>
      <c r="U19" s="9"/>
      <c r="V19" s="9"/>
      <c r="W19" s="9"/>
      <c r="X19" s="9"/>
      <c r="Y19" s="9"/>
      <c r="Z19" s="9"/>
    </row>
    <row r="20" spans="1:26" ht="12.75" customHeight="1" x14ac:dyDescent="0.25">
      <c r="A20" s="9"/>
      <c r="B20" s="10" t="s">
        <v>95</v>
      </c>
      <c r="C20" s="9"/>
      <c r="D20" s="9"/>
      <c r="E20" s="9"/>
      <c r="F20" s="9"/>
      <c r="G20" s="9"/>
      <c r="H20" s="9"/>
      <c r="I20" s="9"/>
      <c r="J20" s="9"/>
      <c r="K20" s="9"/>
      <c r="L20" s="9"/>
      <c r="M20" s="9"/>
      <c r="N20" s="9"/>
      <c r="O20" s="9"/>
      <c r="P20" s="9"/>
      <c r="Q20" s="9"/>
      <c r="R20" s="9"/>
      <c r="S20" s="9"/>
      <c r="T20" s="9"/>
      <c r="U20" s="9"/>
      <c r="V20" s="9"/>
      <c r="W20" s="9"/>
      <c r="X20" s="9"/>
      <c r="Y20" s="9"/>
      <c r="Z20" s="9"/>
    </row>
    <row r="21" spans="1:26" ht="12.75" customHeight="1" x14ac:dyDescent="0.25">
      <c r="A21" s="9"/>
      <c r="B21" s="10" t="s">
        <v>96</v>
      </c>
      <c r="C21" s="9"/>
      <c r="D21" s="9"/>
      <c r="E21" s="9"/>
      <c r="F21" s="9"/>
      <c r="G21" s="9"/>
      <c r="H21" s="9"/>
      <c r="I21" s="9"/>
      <c r="J21" s="9"/>
      <c r="K21" s="9"/>
      <c r="L21" s="9"/>
      <c r="M21" s="9"/>
      <c r="N21" s="9"/>
      <c r="O21" s="9"/>
      <c r="P21" s="9"/>
      <c r="Q21" s="9"/>
      <c r="R21" s="9"/>
      <c r="S21" s="9"/>
      <c r="T21" s="9"/>
      <c r="U21" s="9"/>
      <c r="V21" s="9"/>
      <c r="W21" s="9"/>
      <c r="X21" s="9"/>
      <c r="Y21" s="9"/>
      <c r="Z21" s="9"/>
    </row>
    <row r="22" spans="1:26" ht="12.75" customHeight="1" x14ac:dyDescent="0.25">
      <c r="A22" s="9"/>
      <c r="B22" s="10" t="s">
        <v>97</v>
      </c>
      <c r="C22" s="9"/>
      <c r="D22" s="9"/>
      <c r="E22" s="9"/>
      <c r="F22" s="9"/>
      <c r="G22" s="9"/>
      <c r="H22" s="9"/>
      <c r="I22" s="9"/>
      <c r="J22" s="9"/>
      <c r="K22" s="9"/>
      <c r="L22" s="9"/>
      <c r="M22" s="9"/>
      <c r="N22" s="9"/>
      <c r="O22" s="9"/>
      <c r="P22" s="9"/>
      <c r="Q22" s="9"/>
      <c r="R22" s="9"/>
      <c r="S22" s="9"/>
      <c r="T22" s="9"/>
      <c r="U22" s="9"/>
      <c r="V22" s="9"/>
      <c r="W22" s="9"/>
      <c r="X22" s="9"/>
      <c r="Y22" s="9"/>
      <c r="Z22" s="9"/>
    </row>
    <row r="23" spans="1:26" ht="12.75" customHeight="1" x14ac:dyDescent="0.25">
      <c r="A23" s="9"/>
      <c r="B23" s="10" t="s">
        <v>98</v>
      </c>
      <c r="C23" s="9"/>
      <c r="D23" s="9"/>
      <c r="E23" s="9"/>
      <c r="F23" s="9"/>
      <c r="G23" s="9"/>
      <c r="H23" s="9"/>
      <c r="I23" s="9"/>
      <c r="J23" s="9"/>
      <c r="K23" s="9"/>
      <c r="L23" s="9"/>
      <c r="M23" s="9"/>
      <c r="N23" s="9"/>
      <c r="O23" s="9"/>
      <c r="P23" s="9"/>
      <c r="Q23" s="9"/>
      <c r="R23" s="9"/>
      <c r="S23" s="9"/>
      <c r="T23" s="9"/>
      <c r="U23" s="9"/>
      <c r="V23" s="9"/>
      <c r="W23" s="9"/>
      <c r="X23" s="9"/>
      <c r="Y23" s="9"/>
      <c r="Z23" s="9"/>
    </row>
    <row r="24" spans="1:26" ht="12.75" customHeight="1" x14ac:dyDescent="0.25">
      <c r="A24" s="9"/>
      <c r="B24" s="10" t="s">
        <v>99</v>
      </c>
      <c r="C24" s="9"/>
      <c r="D24" s="9"/>
      <c r="E24" s="9"/>
      <c r="F24" s="9"/>
      <c r="G24" s="9"/>
      <c r="H24" s="9"/>
      <c r="I24" s="9"/>
      <c r="J24" s="9"/>
      <c r="K24" s="9"/>
      <c r="L24" s="9"/>
      <c r="M24" s="9"/>
      <c r="N24" s="9"/>
      <c r="O24" s="9"/>
      <c r="P24" s="9"/>
      <c r="Q24" s="9"/>
      <c r="R24" s="9"/>
      <c r="S24" s="9"/>
      <c r="T24" s="9"/>
      <c r="U24" s="9"/>
      <c r="V24" s="9"/>
      <c r="W24" s="9"/>
      <c r="X24" s="9"/>
      <c r="Y24" s="9"/>
      <c r="Z24" s="9"/>
    </row>
    <row r="25" spans="1:26" ht="12.75" customHeight="1" x14ac:dyDescent="0.25">
      <c r="A25" s="9"/>
      <c r="B25" s="10" t="s">
        <v>100</v>
      </c>
      <c r="C25" s="9"/>
      <c r="D25" s="9"/>
      <c r="E25" s="9"/>
      <c r="F25" s="9"/>
      <c r="G25" s="9"/>
      <c r="H25" s="9"/>
      <c r="I25" s="9"/>
      <c r="J25" s="9"/>
      <c r="K25" s="9"/>
      <c r="L25" s="9"/>
      <c r="M25" s="9"/>
      <c r="N25" s="9"/>
      <c r="O25" s="9"/>
      <c r="P25" s="9"/>
      <c r="Q25" s="9"/>
      <c r="R25" s="9"/>
      <c r="S25" s="9"/>
      <c r="T25" s="9"/>
      <c r="U25" s="9"/>
      <c r="V25" s="9"/>
      <c r="W25" s="9"/>
      <c r="X25" s="9"/>
      <c r="Y25" s="9"/>
      <c r="Z25" s="9"/>
    </row>
    <row r="26" spans="1:26" ht="12.75" customHeight="1" x14ac:dyDescent="0.25">
      <c r="A26" s="9"/>
      <c r="B26" s="10" t="s">
        <v>101</v>
      </c>
      <c r="C26" s="9"/>
      <c r="D26" s="9"/>
      <c r="E26" s="9"/>
      <c r="F26" s="9"/>
      <c r="G26" s="9"/>
      <c r="H26" s="9"/>
      <c r="I26" s="9"/>
      <c r="J26" s="9"/>
      <c r="K26" s="9"/>
      <c r="L26" s="9"/>
      <c r="M26" s="9"/>
      <c r="N26" s="9"/>
      <c r="O26" s="9"/>
      <c r="P26" s="9"/>
      <c r="Q26" s="9"/>
      <c r="R26" s="9"/>
      <c r="S26" s="9"/>
      <c r="T26" s="9"/>
      <c r="U26" s="9"/>
      <c r="V26" s="9"/>
      <c r="W26" s="9"/>
      <c r="X26" s="9"/>
      <c r="Y26" s="9"/>
      <c r="Z26" s="9"/>
    </row>
    <row r="27" spans="1:26" ht="12.75" customHeight="1" x14ac:dyDescent="0.25">
      <c r="A27" s="9"/>
      <c r="B27" s="10" t="s">
        <v>102</v>
      </c>
      <c r="C27" s="9"/>
      <c r="D27" s="9"/>
      <c r="E27" s="9"/>
      <c r="F27" s="9"/>
      <c r="G27" s="9"/>
      <c r="H27" s="9"/>
      <c r="I27" s="9"/>
      <c r="J27" s="9"/>
      <c r="K27" s="9"/>
      <c r="L27" s="9"/>
      <c r="M27" s="9"/>
      <c r="N27" s="9"/>
      <c r="O27" s="9"/>
      <c r="P27" s="9"/>
      <c r="Q27" s="9"/>
      <c r="R27" s="9"/>
      <c r="S27" s="9"/>
      <c r="T27" s="9"/>
      <c r="U27" s="9"/>
      <c r="V27" s="9"/>
      <c r="W27" s="9"/>
      <c r="X27" s="9"/>
      <c r="Y27" s="9"/>
      <c r="Z27" s="9"/>
    </row>
    <row r="28" spans="1:26" ht="12.75" customHeight="1" x14ac:dyDescent="0.25">
      <c r="A28" s="9"/>
      <c r="B28" s="9" t="s">
        <v>84</v>
      </c>
      <c r="C28" s="9"/>
      <c r="D28" s="9"/>
      <c r="E28" s="9"/>
      <c r="F28" s="9"/>
      <c r="G28" s="9"/>
      <c r="H28" s="9"/>
      <c r="I28" s="9"/>
      <c r="J28" s="9"/>
      <c r="K28" s="9"/>
      <c r="L28" s="9"/>
      <c r="M28" s="9"/>
      <c r="N28" s="9"/>
      <c r="O28" s="9"/>
      <c r="P28" s="9"/>
      <c r="Q28" s="9"/>
      <c r="R28" s="9"/>
      <c r="S28" s="9"/>
      <c r="T28" s="9"/>
      <c r="U28" s="9"/>
      <c r="V28" s="9"/>
      <c r="W28" s="9"/>
      <c r="X28" s="9"/>
      <c r="Y28" s="9"/>
      <c r="Z28" s="9"/>
    </row>
    <row r="29" spans="1:26" ht="12.75" customHeight="1"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customHeigh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customHeight="1"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customHeight="1"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customHeight="1"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customHeight="1"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customHeight="1"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customHeight="1"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customHeight="1"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customHeight="1"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customHeight="1"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customHeight="1"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customHeight="1"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customHeight="1"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customHeight="1"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customHeight="1"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customHeight="1"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customHeight="1"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customHeight="1"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customHeight="1"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customHeight="1"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customHeight="1"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customHeight="1"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customHeight="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hyperlinks>
    <hyperlink ref="B1" location="null!A1" display="Porcentaje de avance en la formulación y/o ajuste de los Planes de Ordenación y Manejo de Cuencas (POMCAS), Planes de Manejo de Acuíferos (PMA) y Planes de Manejo de Microcuencas (PMM)"/>
    <hyperlink ref="B2" location="null!A1" display="Porcentaje de cuerpos de agua con planes de ordenamiento del recurso hídrico (PORH) adoptados"/>
    <hyperlink ref="B3" location="null!_Toc467769470" display="Porcentaje de Planes de Saneamiento y Manejo de Vertimientos (PSMV) con seguimiento"/>
    <hyperlink ref="B4" location="null!_Toc467769471" display="Porcentaje de cuerpos de agua con reglamentación del uso de las aguas"/>
    <hyperlink ref="B5" location="null!_Toc467769472" display="Porcentaje de Programas de Uso Eficiente y Ahorro del Agua (PUEAA) con seguimiento"/>
    <hyperlink ref="B6" location="null!_Toc467769473" display="Porcentaje de Planes de Ordenación y Manejo de Cuencas (POMCAS), Planes de Manejo de Acuíferos (PMA) y Planes de Manejo de Microcuencas (PMM) en ejecución"/>
    <hyperlink ref="B7" location="null!_Toc467769474" display="Porcentaje de entes territoriales asesorados en la incorporación, planificación y ejecución de acciones relacionadas con cambio climático en el marco de los instrumentos de planificación territorial"/>
    <hyperlink ref="B8" location="null!_Toc467769475" display="Porcentaje de suelos degradados en recuperación o rehabilitación"/>
    <hyperlink ref="B9" location="null!_Toc467769476" display="Porcentaje de la superficie de áreas protegidas regionales declaradas, homologadas o recategorizadas, inscritas en el RUNAP"/>
    <hyperlink ref="B10" location="null!_Toc467769477" display="Porcentaje de páramos delimitados por el MADS, con zonificación y régimen de usos adoptados por la CAR"/>
    <hyperlink ref="B11" location="null!_Toc467769478" display="Porcentaje de avance en la formulación del Plan de Ordenación Forestal"/>
    <hyperlink ref="B12" location="null!_Toc467769479" display="Porcentaje de áreas protegidas con planes de manejo en ejecución"/>
    <hyperlink ref="B13" location="null!_Toc467769480" display="Porcentaje de especies amenazadas con medidas de conservación y manejo en ejecución"/>
    <hyperlink ref="B14" location="null!_Toc467769481" display="Porcentaje de especies invasoras con medidas de prevención, control y manejo en ejecución"/>
    <hyperlink ref="B15" location="null!_Toc467769482" display="Porcentaje de áreas de ecosistemas en restauración, rehabilitación y reforestación"/>
    <hyperlink ref="B16" location="16MIZC!_Toc467769483" display="Implementación de acciones en manejo integrado de zonas costeras"/>
    <hyperlink ref="B17" location="null!_Toc467769484" display="Porcentaje de Planes de Gestión Integral de Residuos Sólidos (PGIRS) con seguimiento a metas de aprovechamiento"/>
    <hyperlink ref="B18" location="null!_Toc467769485" display="Porcentaje de sectores con acompañamiento para la reconversión hacia sistemas sostenibles de producción"/>
    <hyperlink ref="B19" location="null!_Toc467769486" display="Porcentaje de ejecución de acciones en Gestión Ambiental Urbana"/>
    <hyperlink ref="B20" location="null!_Toc467769487" display="Implementación del Programa Regional de Negocios Verdes por la autoridad ambiental"/>
    <hyperlink ref="B21" location="null!_Toc467769488" display="Tiempo promedio de trámite para la resolución de autorizaciones ambientales otorgadas por la corporación"/>
    <hyperlink ref="B22" location="null!_Toc467769489" display="Porcentaje de autorizaciones ambientales con seguimiento"/>
    <hyperlink ref="B23" location="null!_Toc467769490" display="Porcentaje de Procesos Sancionatorios Resueltos"/>
    <hyperlink ref="B24" location="null!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null!_Toc467769492" display="Porcentaje de redes y estaciones de monitoreo en operación"/>
    <hyperlink ref="B26" location="null!_Toc467769493" display="Porcentaje de actualización y reporte de la información en el SIAC"/>
    <hyperlink ref="B27" location="null!_Toc467769494" display="Ejecución de Acciones en Educación Ambiental"/>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96"/>
  <sheetViews>
    <sheetView view="pageBreakPreview" topLeftCell="B195" zoomScale="70" zoomScaleNormal="100" zoomScaleSheetLayoutView="70" workbookViewId="0">
      <selection activeCell="C195" sqref="C195"/>
    </sheetView>
  </sheetViews>
  <sheetFormatPr baseColWidth="10" defaultRowHeight="18" x14ac:dyDescent="0.25"/>
  <cols>
    <col min="1" max="1" width="134.28515625" style="418" customWidth="1"/>
    <col min="2" max="2" width="30.85546875" style="309" customWidth="1"/>
    <col min="3" max="4" width="11.42578125" style="419"/>
    <col min="5" max="5" width="16.5703125" style="419" customWidth="1"/>
    <col min="6" max="6" width="148.28515625" style="317" customWidth="1"/>
    <col min="7" max="7" width="36.7109375" style="420" customWidth="1"/>
    <col min="8" max="8" width="32.42578125" style="421" customWidth="1"/>
    <col min="9" max="16384" width="11.42578125" style="317"/>
  </cols>
  <sheetData>
    <row r="1" spans="1:8" s="309" customFormat="1" ht="119.25" customHeight="1" x14ac:dyDescent="0.25">
      <c r="A1" s="304" t="s">
        <v>1455</v>
      </c>
      <c r="B1" s="305" t="s">
        <v>1454</v>
      </c>
      <c r="C1" s="1192" t="s">
        <v>1453</v>
      </c>
      <c r="D1" s="1193"/>
      <c r="E1" s="1194"/>
      <c r="F1" s="306" t="s">
        <v>1452</v>
      </c>
      <c r="G1" s="307" t="s">
        <v>1451</v>
      </c>
      <c r="H1" s="308" t="s">
        <v>104</v>
      </c>
    </row>
    <row r="2" spans="1:8" x14ac:dyDescent="0.25">
      <c r="A2" s="310" t="s">
        <v>116</v>
      </c>
      <c r="B2" s="311"/>
      <c r="C2" s="312"/>
      <c r="D2" s="312"/>
      <c r="E2" s="313">
        <f>+(E3*G3)+(E46*G46)</f>
        <v>0.61534077922077923</v>
      </c>
      <c r="F2" s="314"/>
      <c r="G2" s="315">
        <v>0.25</v>
      </c>
      <c r="H2" s="316"/>
    </row>
    <row r="3" spans="1:8" ht="45" customHeight="1" x14ac:dyDescent="0.25">
      <c r="A3" s="318" t="s">
        <v>117</v>
      </c>
      <c r="B3" s="319"/>
      <c r="C3" s="320"/>
      <c r="D3" s="320"/>
      <c r="E3" s="321">
        <f>+(E4*G4)+(E12*G12)+(E16*G16)+(E24*G24)+(E30*G30)+(E36*G36)</f>
        <v>0.51947272727272731</v>
      </c>
      <c r="F3" s="322"/>
      <c r="G3" s="323">
        <v>0.6</v>
      </c>
      <c r="H3" s="324"/>
    </row>
    <row r="4" spans="1:8" ht="58.5" customHeight="1" x14ac:dyDescent="0.25">
      <c r="A4" s="325" t="s">
        <v>118</v>
      </c>
      <c r="B4" s="326"/>
      <c r="C4" s="327"/>
      <c r="D4" s="327"/>
      <c r="E4" s="328">
        <f>+SUMPRODUCT(E5:E11,G5:G11)</f>
        <v>0.53181818181818186</v>
      </c>
      <c r="F4" s="329"/>
      <c r="G4" s="330">
        <v>0.15</v>
      </c>
      <c r="H4" s="331"/>
    </row>
    <row r="5" spans="1:8" ht="178.5" hidden="1" customHeight="1" x14ac:dyDescent="0.25">
      <c r="A5" s="332" t="s">
        <v>119</v>
      </c>
      <c r="B5" s="333" t="s">
        <v>120</v>
      </c>
      <c r="C5" s="334">
        <v>1</v>
      </c>
      <c r="D5" s="335">
        <v>1</v>
      </c>
      <c r="E5" s="336">
        <f>IF(D5/C5&gt;=100%,100%,D5/C5)</f>
        <v>1</v>
      </c>
      <c r="F5" s="337" t="s">
        <v>1423</v>
      </c>
      <c r="G5" s="338">
        <v>0.25</v>
      </c>
      <c r="H5" s="1190" t="s">
        <v>122</v>
      </c>
    </row>
    <row r="6" spans="1:8" ht="72.75" customHeight="1" x14ac:dyDescent="0.25">
      <c r="A6" s="332" t="s">
        <v>123</v>
      </c>
      <c r="B6" s="333" t="s">
        <v>124</v>
      </c>
      <c r="C6" s="334">
        <v>25</v>
      </c>
      <c r="D6" s="335">
        <v>0</v>
      </c>
      <c r="E6" s="336">
        <f>IF(D6/C6&gt;=100%,100%,D6/C6)</f>
        <v>0</v>
      </c>
      <c r="F6" s="339" t="s">
        <v>125</v>
      </c>
      <c r="G6" s="338">
        <v>0.25</v>
      </c>
      <c r="H6" s="1191"/>
    </row>
    <row r="7" spans="1:8" ht="98.25" customHeight="1" x14ac:dyDescent="0.25">
      <c r="A7" s="340" t="s">
        <v>126</v>
      </c>
      <c r="B7" s="333" t="s">
        <v>127</v>
      </c>
      <c r="C7" s="334">
        <v>2</v>
      </c>
      <c r="D7" s="341">
        <v>0</v>
      </c>
      <c r="E7" s="336">
        <f>IF(D7/C7&gt;=100%,100%,D7/C7)</f>
        <v>0</v>
      </c>
      <c r="F7" s="339" t="s">
        <v>125</v>
      </c>
      <c r="G7" s="338">
        <v>0.2</v>
      </c>
      <c r="H7" s="1191"/>
    </row>
    <row r="8" spans="1:8" ht="102" hidden="1" customHeight="1" x14ac:dyDescent="0.25">
      <c r="A8" s="332" t="s">
        <v>128</v>
      </c>
      <c r="B8" s="333" t="s">
        <v>129</v>
      </c>
      <c r="C8" s="334"/>
      <c r="D8" s="335"/>
      <c r="E8" s="336"/>
      <c r="F8" s="342"/>
      <c r="G8" s="338">
        <v>0</v>
      </c>
      <c r="H8" s="1191"/>
    </row>
    <row r="9" spans="1:8" ht="36" hidden="1" x14ac:dyDescent="0.25">
      <c r="A9" s="332" t="s">
        <v>132</v>
      </c>
      <c r="B9" s="333" t="s">
        <v>133</v>
      </c>
      <c r="C9" s="334">
        <v>1</v>
      </c>
      <c r="D9" s="335">
        <v>1</v>
      </c>
      <c r="E9" s="336">
        <f>IF(D9/C9&gt;=100%,100%,D9/C9)</f>
        <v>1</v>
      </c>
      <c r="F9" s="342" t="s">
        <v>134</v>
      </c>
      <c r="G9" s="338">
        <v>0.1</v>
      </c>
      <c r="H9" s="1191"/>
    </row>
    <row r="10" spans="1:8" ht="252" hidden="1" x14ac:dyDescent="0.25">
      <c r="A10" s="340" t="s">
        <v>135</v>
      </c>
      <c r="B10" s="333" t="s">
        <v>136</v>
      </c>
      <c r="C10" s="334">
        <v>11</v>
      </c>
      <c r="D10" s="343">
        <v>9</v>
      </c>
      <c r="E10" s="336">
        <f>IF(D10/C10&gt;=100%,100%,D10/C10)</f>
        <v>0.81818181818181823</v>
      </c>
      <c r="F10" s="342" t="s">
        <v>1439</v>
      </c>
      <c r="G10" s="338">
        <v>0.1</v>
      </c>
      <c r="H10" s="1191"/>
    </row>
    <row r="11" spans="1:8" ht="36" hidden="1" x14ac:dyDescent="0.25">
      <c r="A11" s="340" t="s">
        <v>137</v>
      </c>
      <c r="B11" s="333" t="s">
        <v>138</v>
      </c>
      <c r="C11" s="334">
        <v>1</v>
      </c>
      <c r="D11" s="335">
        <v>85</v>
      </c>
      <c r="E11" s="336">
        <f>IF(D11/C11&gt;=100%,100%,D11/C11)</f>
        <v>1</v>
      </c>
      <c r="F11" s="342" t="s">
        <v>139</v>
      </c>
      <c r="G11" s="338">
        <v>0.1</v>
      </c>
      <c r="H11" s="1191"/>
    </row>
    <row r="12" spans="1:8" ht="57.75" customHeight="1" x14ac:dyDescent="0.25">
      <c r="A12" s="344" t="s">
        <v>140</v>
      </c>
      <c r="B12" s="345"/>
      <c r="C12" s="346"/>
      <c r="D12" s="346"/>
      <c r="E12" s="347">
        <f>+SUMPRODUCT(E13:E15,G13:G15)</f>
        <v>0.75</v>
      </c>
      <c r="F12" s="348"/>
      <c r="G12" s="349">
        <v>0.15</v>
      </c>
      <c r="H12" s="350"/>
    </row>
    <row r="13" spans="1:8" ht="100.5" customHeight="1" x14ac:dyDescent="0.25">
      <c r="A13" s="332" t="s">
        <v>141</v>
      </c>
      <c r="B13" s="333" t="s">
        <v>142</v>
      </c>
      <c r="C13" s="351">
        <v>1</v>
      </c>
      <c r="D13" s="352">
        <v>0.5</v>
      </c>
      <c r="E13" s="336">
        <f>IF(D13/C13&gt;=100%,100%,D13/C13)</f>
        <v>0.5</v>
      </c>
      <c r="F13" s="342" t="s">
        <v>1440</v>
      </c>
      <c r="G13" s="338">
        <v>0.5</v>
      </c>
      <c r="H13" s="1190" t="s">
        <v>144</v>
      </c>
    </row>
    <row r="14" spans="1:8" ht="54" hidden="1" x14ac:dyDescent="0.25">
      <c r="A14" s="332" t="s">
        <v>145</v>
      </c>
      <c r="B14" s="333" t="s">
        <v>146</v>
      </c>
      <c r="C14" s="351">
        <v>1</v>
      </c>
      <c r="D14" s="352">
        <v>1</v>
      </c>
      <c r="E14" s="352">
        <f>IF(D14/C14&gt;=100%,100%,D14/C14)</f>
        <v>1</v>
      </c>
      <c r="F14" s="342" t="s">
        <v>1410</v>
      </c>
      <c r="G14" s="338">
        <v>0.5</v>
      </c>
      <c r="H14" s="1191"/>
    </row>
    <row r="15" spans="1:8" ht="89.25" hidden="1" customHeight="1" x14ac:dyDescent="0.25">
      <c r="A15" s="332" t="s">
        <v>147</v>
      </c>
      <c r="B15" s="333" t="s">
        <v>148</v>
      </c>
      <c r="C15" s="353"/>
      <c r="D15" s="335"/>
      <c r="E15" s="352"/>
      <c r="F15" s="342"/>
      <c r="G15" s="338">
        <v>0</v>
      </c>
      <c r="H15" s="1191"/>
    </row>
    <row r="16" spans="1:8" ht="78.75" customHeight="1" x14ac:dyDescent="0.25">
      <c r="A16" s="354" t="s">
        <v>149</v>
      </c>
      <c r="B16" s="355"/>
      <c r="C16" s="356"/>
      <c r="D16" s="356"/>
      <c r="E16" s="357">
        <f>+SUMPRODUCT(E17:E23,G17:G23)</f>
        <v>0.59600000000000009</v>
      </c>
      <c r="F16" s="358"/>
      <c r="G16" s="359">
        <v>0.2</v>
      </c>
      <c r="H16" s="360"/>
    </row>
    <row r="17" spans="1:8" ht="252" hidden="1" x14ac:dyDescent="0.25">
      <c r="A17" s="332" t="s">
        <v>150</v>
      </c>
      <c r="B17" s="333" t="s">
        <v>151</v>
      </c>
      <c r="C17" s="361">
        <v>2</v>
      </c>
      <c r="D17" s="335">
        <v>3</v>
      </c>
      <c r="E17" s="336">
        <f t="shared" ref="E17:E23" si="0">IF(D17/C17&gt;=100%,100%,D17/C17)</f>
        <v>1</v>
      </c>
      <c r="F17" s="342" t="s">
        <v>1456</v>
      </c>
      <c r="G17" s="338">
        <v>0.2</v>
      </c>
      <c r="H17" s="1190" t="s">
        <v>153</v>
      </c>
    </row>
    <row r="18" spans="1:8" ht="90" hidden="1" x14ac:dyDescent="0.25">
      <c r="A18" s="332" t="s">
        <v>154</v>
      </c>
      <c r="B18" s="333" t="s">
        <v>155</v>
      </c>
      <c r="C18" s="361">
        <v>2</v>
      </c>
      <c r="D18" s="335">
        <v>12</v>
      </c>
      <c r="E18" s="336">
        <f t="shared" si="0"/>
        <v>1</v>
      </c>
      <c r="F18" s="362" t="s">
        <v>1441</v>
      </c>
      <c r="G18" s="338">
        <v>0.2</v>
      </c>
      <c r="H18" s="1191"/>
    </row>
    <row r="19" spans="1:8" ht="89.25" hidden="1" customHeight="1" x14ac:dyDescent="0.25">
      <c r="A19" s="332" t="s">
        <v>157</v>
      </c>
      <c r="B19" s="363" t="s">
        <v>158</v>
      </c>
      <c r="C19" s="352">
        <v>1</v>
      </c>
      <c r="D19" s="364">
        <v>1</v>
      </c>
      <c r="E19" s="336">
        <f t="shared" si="0"/>
        <v>1</v>
      </c>
      <c r="F19" s="342" t="s">
        <v>1442</v>
      </c>
      <c r="G19" s="338">
        <v>0.1</v>
      </c>
      <c r="H19" s="1191"/>
    </row>
    <row r="20" spans="1:8" ht="54" hidden="1" x14ac:dyDescent="0.25">
      <c r="A20" s="340" t="s">
        <v>159</v>
      </c>
      <c r="B20" s="333" t="s">
        <v>160</v>
      </c>
      <c r="C20" s="361">
        <v>25</v>
      </c>
      <c r="D20" s="335">
        <v>23</v>
      </c>
      <c r="E20" s="336">
        <f t="shared" si="0"/>
        <v>0.92</v>
      </c>
      <c r="F20" s="342" t="s">
        <v>1369</v>
      </c>
      <c r="G20" s="338">
        <v>0.05</v>
      </c>
      <c r="H20" s="1191"/>
    </row>
    <row r="21" spans="1:8" ht="90" hidden="1" x14ac:dyDescent="0.25">
      <c r="A21" s="332" t="s">
        <v>161</v>
      </c>
      <c r="B21" s="333" t="s">
        <v>162</v>
      </c>
      <c r="C21" s="352">
        <v>1</v>
      </c>
      <c r="D21" s="364">
        <v>1</v>
      </c>
      <c r="E21" s="336">
        <f t="shared" si="0"/>
        <v>1</v>
      </c>
      <c r="F21" s="342" t="s">
        <v>1443</v>
      </c>
      <c r="G21" s="338">
        <v>0.05</v>
      </c>
      <c r="H21" s="1191"/>
    </row>
    <row r="22" spans="1:8" ht="124.5" customHeight="1" x14ac:dyDescent="0.25">
      <c r="A22" s="332" t="s">
        <v>164</v>
      </c>
      <c r="B22" s="333" t="s">
        <v>155</v>
      </c>
      <c r="C22" s="361">
        <v>1</v>
      </c>
      <c r="D22" s="335">
        <v>0</v>
      </c>
      <c r="E22" s="365">
        <f t="shared" si="0"/>
        <v>0</v>
      </c>
      <c r="F22" s="342" t="s">
        <v>1424</v>
      </c>
      <c r="G22" s="338">
        <v>0.2</v>
      </c>
      <c r="H22" s="1191"/>
    </row>
    <row r="23" spans="1:8" ht="127.5" customHeight="1" x14ac:dyDescent="0.25">
      <c r="A23" s="332" t="s">
        <v>165</v>
      </c>
      <c r="B23" s="333" t="s">
        <v>155</v>
      </c>
      <c r="C23" s="361">
        <v>1</v>
      </c>
      <c r="D23" s="335">
        <v>0</v>
      </c>
      <c r="E23" s="365">
        <f t="shared" si="0"/>
        <v>0</v>
      </c>
      <c r="F23" s="342" t="s">
        <v>1424</v>
      </c>
      <c r="G23" s="338">
        <v>0.2</v>
      </c>
      <c r="H23" s="1191"/>
    </row>
    <row r="24" spans="1:8" ht="50.25" hidden="1" customHeight="1" x14ac:dyDescent="0.25">
      <c r="A24" s="344" t="s">
        <v>166</v>
      </c>
      <c r="B24" s="345"/>
      <c r="C24" s="346"/>
      <c r="D24" s="346"/>
      <c r="E24" s="347">
        <f>+SUMPRODUCT(E25:E29,G25:G29)</f>
        <v>0.1</v>
      </c>
      <c r="F24" s="348"/>
      <c r="G24" s="349">
        <v>0.1</v>
      </c>
      <c r="H24" s="350"/>
    </row>
    <row r="25" spans="1:8" ht="81.75" hidden="1" customHeight="1" x14ac:dyDescent="0.25">
      <c r="A25" s="332" t="s">
        <v>167</v>
      </c>
      <c r="B25" s="333" t="s">
        <v>168</v>
      </c>
      <c r="C25" s="353">
        <v>1</v>
      </c>
      <c r="D25" s="335">
        <v>0</v>
      </c>
      <c r="E25" s="352">
        <f>IF(D25/C25&gt;=100%,100%,D25/C25)</f>
        <v>0</v>
      </c>
      <c r="F25" s="342" t="s">
        <v>169</v>
      </c>
      <c r="G25" s="338">
        <v>0.3</v>
      </c>
      <c r="H25" s="1190" t="s">
        <v>171</v>
      </c>
    </row>
    <row r="26" spans="1:8" ht="45.75" hidden="1" customHeight="1" x14ac:dyDescent="0.25">
      <c r="A26" s="332" t="s">
        <v>172</v>
      </c>
      <c r="B26" s="333" t="s">
        <v>173</v>
      </c>
      <c r="C26" s="353">
        <v>1</v>
      </c>
      <c r="D26" s="335">
        <v>0</v>
      </c>
      <c r="E26" s="352">
        <f>IF(D26/C26&gt;=100%,100%,D26/C26)</f>
        <v>0</v>
      </c>
      <c r="F26" s="342" t="s">
        <v>174</v>
      </c>
      <c r="G26" s="338">
        <v>0.3</v>
      </c>
      <c r="H26" s="1191"/>
    </row>
    <row r="27" spans="1:8" ht="45.75" hidden="1" customHeight="1" x14ac:dyDescent="0.25">
      <c r="A27" s="332" t="s">
        <v>176</v>
      </c>
      <c r="B27" s="333" t="s">
        <v>177</v>
      </c>
      <c r="C27" s="351">
        <v>0.2</v>
      </c>
      <c r="D27" s="352">
        <v>0</v>
      </c>
      <c r="E27" s="336">
        <v>0</v>
      </c>
      <c r="F27" s="342" t="s">
        <v>1444</v>
      </c>
      <c r="G27" s="338">
        <v>0.3</v>
      </c>
      <c r="H27" s="1191"/>
    </row>
    <row r="28" spans="1:8" ht="102" hidden="1" customHeight="1" x14ac:dyDescent="0.25">
      <c r="A28" s="332" t="s">
        <v>178</v>
      </c>
      <c r="B28" s="333" t="s">
        <v>179</v>
      </c>
      <c r="C28" s="351">
        <v>1</v>
      </c>
      <c r="D28" s="352">
        <v>1</v>
      </c>
      <c r="E28" s="352">
        <f>IF(D28/C28&gt;=100%,100%,D28/C28)</f>
        <v>1</v>
      </c>
      <c r="F28" s="342" t="s">
        <v>1445</v>
      </c>
      <c r="G28" s="338">
        <v>0.1</v>
      </c>
      <c r="H28" s="1190" t="s">
        <v>180</v>
      </c>
    </row>
    <row r="29" spans="1:8" ht="76.5" hidden="1" customHeight="1" x14ac:dyDescent="0.25">
      <c r="A29" s="332" t="s">
        <v>181</v>
      </c>
      <c r="B29" s="333" t="s">
        <v>182</v>
      </c>
      <c r="C29" s="351"/>
      <c r="D29" s="352"/>
      <c r="E29" s="336"/>
      <c r="F29" s="342"/>
      <c r="G29" s="338">
        <v>0</v>
      </c>
      <c r="H29" s="1191"/>
    </row>
    <row r="30" spans="1:8" ht="63.75" customHeight="1" x14ac:dyDescent="0.25">
      <c r="A30" s="354" t="s">
        <v>183</v>
      </c>
      <c r="B30" s="355"/>
      <c r="C30" s="356"/>
      <c r="D30" s="356"/>
      <c r="E30" s="357">
        <f>+SUMPRODUCT(E31:E35,G31:G35)</f>
        <v>0.4</v>
      </c>
      <c r="F30" s="358"/>
      <c r="G30" s="359">
        <v>0.2</v>
      </c>
      <c r="H30" s="360"/>
    </row>
    <row r="31" spans="1:8" ht="122.25" customHeight="1" x14ac:dyDescent="0.25">
      <c r="A31" s="332" t="s">
        <v>184</v>
      </c>
      <c r="B31" s="333" t="s">
        <v>185</v>
      </c>
      <c r="C31" s="353">
        <v>2</v>
      </c>
      <c r="D31" s="335">
        <v>0</v>
      </c>
      <c r="E31" s="336">
        <f>IF(D31/C31&gt;=100%,100%,D31/C31)</f>
        <v>0</v>
      </c>
      <c r="F31" s="342" t="s">
        <v>1374</v>
      </c>
      <c r="G31" s="338">
        <v>0.5</v>
      </c>
      <c r="H31" s="366" t="s">
        <v>187</v>
      </c>
    </row>
    <row r="32" spans="1:8" ht="72" hidden="1" x14ac:dyDescent="0.25">
      <c r="A32" s="367" t="s">
        <v>188</v>
      </c>
      <c r="B32" s="333" t="s">
        <v>189</v>
      </c>
      <c r="C32" s="353"/>
      <c r="D32" s="335"/>
      <c r="E32" s="336"/>
      <c r="F32" s="342" t="s">
        <v>1422</v>
      </c>
      <c r="G32" s="338">
        <v>0</v>
      </c>
      <c r="H32" s="366" t="s">
        <v>190</v>
      </c>
    </row>
    <row r="33" spans="1:8" ht="111" customHeight="1" x14ac:dyDescent="0.25">
      <c r="A33" s="332" t="s">
        <v>191</v>
      </c>
      <c r="B33" s="333" t="s">
        <v>192</v>
      </c>
      <c r="C33" s="353">
        <v>1</v>
      </c>
      <c r="D33" s="335">
        <v>0</v>
      </c>
      <c r="E33" s="336">
        <f>IF(D33/C33&gt;=100%,100%,D33/C33)</f>
        <v>0</v>
      </c>
      <c r="F33" s="342" t="s">
        <v>1375</v>
      </c>
      <c r="G33" s="338">
        <v>0.1</v>
      </c>
      <c r="H33" s="366" t="s">
        <v>187</v>
      </c>
    </row>
    <row r="34" spans="1:8" ht="76.5" hidden="1" customHeight="1" x14ac:dyDescent="0.25">
      <c r="A34" s="367" t="s">
        <v>194</v>
      </c>
      <c r="B34" s="333" t="s">
        <v>195</v>
      </c>
      <c r="C34" s="368">
        <v>1</v>
      </c>
      <c r="D34" s="335">
        <v>4</v>
      </c>
      <c r="E34" s="336">
        <f>IF(D34/C34&gt;=100%,100%,D34/C34)</f>
        <v>1</v>
      </c>
      <c r="F34" s="342" t="s">
        <v>1425</v>
      </c>
      <c r="G34" s="338">
        <v>0.1</v>
      </c>
      <c r="H34" s="1190" t="s">
        <v>190</v>
      </c>
    </row>
    <row r="35" spans="1:8" ht="51" hidden="1" customHeight="1" x14ac:dyDescent="0.25">
      <c r="A35" s="332" t="s">
        <v>196</v>
      </c>
      <c r="B35" s="333" t="s">
        <v>197</v>
      </c>
      <c r="C35" s="351">
        <v>1</v>
      </c>
      <c r="D35" s="351">
        <v>1</v>
      </c>
      <c r="E35" s="336">
        <f>IF(D35/C35&gt;=100%,100%,D35/C35)</f>
        <v>1</v>
      </c>
      <c r="F35" s="342" t="s">
        <v>1446</v>
      </c>
      <c r="G35" s="338">
        <v>0.3</v>
      </c>
      <c r="H35" s="1191"/>
    </row>
    <row r="36" spans="1:8" ht="54" customHeight="1" x14ac:dyDescent="0.25">
      <c r="A36" s="344" t="s">
        <v>198</v>
      </c>
      <c r="B36" s="345"/>
      <c r="C36" s="346"/>
      <c r="D36" s="346"/>
      <c r="E36" s="347">
        <f>+SUMPRODUCT(E37:E45,G37:G45)</f>
        <v>0.59000000000000008</v>
      </c>
      <c r="F36" s="369"/>
      <c r="G36" s="349">
        <v>0.2</v>
      </c>
      <c r="H36" s="350"/>
    </row>
    <row r="37" spans="1:8" ht="63.75" hidden="1" customHeight="1" x14ac:dyDescent="0.25">
      <c r="A37" s="367" t="s">
        <v>199</v>
      </c>
      <c r="B37" s="333" t="s">
        <v>200</v>
      </c>
      <c r="C37" s="353"/>
      <c r="D37" s="335"/>
      <c r="E37" s="336"/>
      <c r="F37" s="342"/>
      <c r="G37" s="338">
        <v>0</v>
      </c>
      <c r="H37" s="1190" t="s">
        <v>201</v>
      </c>
    </row>
    <row r="38" spans="1:8" ht="126" hidden="1" x14ac:dyDescent="0.25">
      <c r="A38" s="367" t="s">
        <v>202</v>
      </c>
      <c r="B38" s="333" t="s">
        <v>203</v>
      </c>
      <c r="C38" s="353">
        <v>1</v>
      </c>
      <c r="D38" s="341">
        <v>1</v>
      </c>
      <c r="E38" s="352">
        <f>IF(D38/C38&gt;=100%,100%,D38/C38)</f>
        <v>1</v>
      </c>
      <c r="F38" s="342" t="s">
        <v>1429</v>
      </c>
      <c r="G38" s="338">
        <v>0.1</v>
      </c>
      <c r="H38" s="1191"/>
    </row>
    <row r="39" spans="1:8" ht="47.25" customHeight="1" x14ac:dyDescent="0.25">
      <c r="A39" s="370" t="s">
        <v>204</v>
      </c>
      <c r="B39" s="333" t="s">
        <v>205</v>
      </c>
      <c r="C39" s="353">
        <v>1</v>
      </c>
      <c r="D39" s="341">
        <v>0</v>
      </c>
      <c r="E39" s="352">
        <f>IF(D39/C39&gt;=100%,100%,D39/C39)</f>
        <v>0</v>
      </c>
      <c r="F39" s="342" t="s">
        <v>1447</v>
      </c>
      <c r="G39" s="338">
        <v>0.05</v>
      </c>
      <c r="H39" s="1191"/>
    </row>
    <row r="40" spans="1:8" ht="20.25" hidden="1" customHeight="1" x14ac:dyDescent="0.25">
      <c r="A40" s="367" t="s">
        <v>206</v>
      </c>
      <c r="B40" s="333" t="s">
        <v>207</v>
      </c>
      <c r="C40" s="351">
        <v>1</v>
      </c>
      <c r="D40" s="341">
        <v>60</v>
      </c>
      <c r="E40" s="352">
        <v>0.6</v>
      </c>
      <c r="F40" s="342" t="s">
        <v>208</v>
      </c>
      <c r="G40" s="338">
        <v>0.5</v>
      </c>
      <c r="H40" s="1191"/>
    </row>
    <row r="41" spans="1:8" ht="49.5" customHeight="1" x14ac:dyDescent="0.25">
      <c r="A41" s="367" t="s">
        <v>209</v>
      </c>
      <c r="B41" s="333" t="s">
        <v>210</v>
      </c>
      <c r="C41" s="351">
        <v>0.5</v>
      </c>
      <c r="D41" s="341">
        <v>15</v>
      </c>
      <c r="E41" s="352">
        <v>0.3</v>
      </c>
      <c r="F41" s="342" t="s">
        <v>1430</v>
      </c>
      <c r="G41" s="338">
        <v>0.15</v>
      </c>
      <c r="H41" s="1191"/>
    </row>
    <row r="42" spans="1:8" ht="42.75" customHeight="1" x14ac:dyDescent="0.25">
      <c r="A42" s="370" t="s">
        <v>211</v>
      </c>
      <c r="B42" s="333" t="s">
        <v>212</v>
      </c>
      <c r="C42" s="353">
        <v>1</v>
      </c>
      <c r="D42" s="341">
        <v>0</v>
      </c>
      <c r="E42" s="336">
        <f>IF(D42/C42&gt;=100%,100%,D42/C42)</f>
        <v>0</v>
      </c>
      <c r="F42" s="342" t="s">
        <v>213</v>
      </c>
      <c r="G42" s="338">
        <v>0</v>
      </c>
      <c r="H42" s="1191"/>
    </row>
    <row r="43" spans="1:8" ht="126" hidden="1" x14ac:dyDescent="0.25">
      <c r="A43" s="367" t="s">
        <v>214</v>
      </c>
      <c r="B43" s="333" t="s">
        <v>215</v>
      </c>
      <c r="C43" s="353">
        <v>1</v>
      </c>
      <c r="D43" s="371">
        <v>0.7</v>
      </c>
      <c r="E43" s="352">
        <f>IF(D43/C43&gt;=100%,100%,D43/C43)</f>
        <v>0.7</v>
      </c>
      <c r="F43" s="342" t="s">
        <v>216</v>
      </c>
      <c r="G43" s="338">
        <v>0.1</v>
      </c>
      <c r="H43" s="1191"/>
    </row>
    <row r="44" spans="1:8" ht="90" hidden="1" x14ac:dyDescent="0.25">
      <c r="A44" s="370" t="s">
        <v>217</v>
      </c>
      <c r="B44" s="333" t="s">
        <v>218</v>
      </c>
      <c r="C44" s="351">
        <v>0.5</v>
      </c>
      <c r="D44" s="341">
        <v>100</v>
      </c>
      <c r="E44" s="352">
        <f>IF(D44/C44&gt;=100%,100%,D44/C44)</f>
        <v>1</v>
      </c>
      <c r="F44" s="342" t="s">
        <v>1438</v>
      </c>
      <c r="G44" s="338">
        <v>0.05</v>
      </c>
      <c r="H44" s="1191"/>
    </row>
    <row r="45" spans="1:8" ht="48" customHeight="1" x14ac:dyDescent="0.25">
      <c r="A45" s="367" t="s">
        <v>219</v>
      </c>
      <c r="B45" s="333" t="s">
        <v>220</v>
      </c>
      <c r="C45" s="351">
        <v>1</v>
      </c>
      <c r="D45" s="341">
        <v>50</v>
      </c>
      <c r="E45" s="352">
        <v>0.5</v>
      </c>
      <c r="F45" s="342" t="s">
        <v>1431</v>
      </c>
      <c r="G45" s="338">
        <v>0.05</v>
      </c>
      <c r="H45" s="1191"/>
    </row>
    <row r="46" spans="1:8" ht="52.5" customHeight="1" x14ac:dyDescent="0.25">
      <c r="A46" s="318" t="s">
        <v>221</v>
      </c>
      <c r="B46" s="372"/>
      <c r="C46" s="320"/>
      <c r="D46" s="320"/>
      <c r="E46" s="373">
        <f>+(E47*G47)+(E51*G51)+(E55*G55)</f>
        <v>0.75914285714285723</v>
      </c>
      <c r="F46" s="322"/>
      <c r="G46" s="323">
        <v>0.4</v>
      </c>
      <c r="H46" s="324"/>
    </row>
    <row r="47" spans="1:8" ht="50.25" customHeight="1" x14ac:dyDescent="0.25">
      <c r="A47" s="344" t="s">
        <v>222</v>
      </c>
      <c r="B47" s="345"/>
      <c r="C47" s="346"/>
      <c r="D47" s="347"/>
      <c r="E47" s="347">
        <f>+SUMPRODUCT(E48:E50,G48:G50)</f>
        <v>0.85714285714285721</v>
      </c>
      <c r="F47" s="348"/>
      <c r="G47" s="349">
        <v>0.3</v>
      </c>
      <c r="H47" s="350"/>
    </row>
    <row r="48" spans="1:8" ht="324" hidden="1" x14ac:dyDescent="0.25">
      <c r="A48" s="332" t="s">
        <v>223</v>
      </c>
      <c r="B48" s="333" t="s">
        <v>224</v>
      </c>
      <c r="C48" s="353">
        <v>5</v>
      </c>
      <c r="D48" s="335">
        <v>5</v>
      </c>
      <c r="E48" s="336">
        <f>IF(D48/C48&gt;=100%,100%,D48/C48)</f>
        <v>1</v>
      </c>
      <c r="F48" s="342" t="s">
        <v>1436</v>
      </c>
      <c r="G48" s="338">
        <v>0.6</v>
      </c>
      <c r="H48" s="1190" t="s">
        <v>226</v>
      </c>
    </row>
    <row r="49" spans="1:8" ht="139.5" customHeight="1" x14ac:dyDescent="0.25">
      <c r="A49" s="332" t="s">
        <v>227</v>
      </c>
      <c r="B49" s="333" t="s">
        <v>228</v>
      </c>
      <c r="C49" s="351">
        <v>0.7</v>
      </c>
      <c r="D49" s="352">
        <v>0.2</v>
      </c>
      <c r="E49" s="336">
        <f>IF(D49/C49&gt;=100%,100%,D49/C49)</f>
        <v>0.28571428571428575</v>
      </c>
      <c r="F49" s="342" t="s">
        <v>1448</v>
      </c>
      <c r="G49" s="338">
        <v>0.2</v>
      </c>
      <c r="H49" s="1191"/>
    </row>
    <row r="50" spans="1:8" ht="204" hidden="1" customHeight="1" x14ac:dyDescent="0.25">
      <c r="A50" s="332" t="s">
        <v>229</v>
      </c>
      <c r="B50" s="333" t="s">
        <v>230</v>
      </c>
      <c r="C50" s="351">
        <v>1</v>
      </c>
      <c r="D50" s="352">
        <v>1</v>
      </c>
      <c r="E50" s="336">
        <f>IF(D50/C50&gt;=100%,100%,D50/C50)</f>
        <v>1</v>
      </c>
      <c r="F50" s="342" t="s">
        <v>1437</v>
      </c>
      <c r="G50" s="338">
        <v>0.2</v>
      </c>
      <c r="H50" s="1191"/>
    </row>
    <row r="51" spans="1:8" ht="54.75" hidden="1" customHeight="1" x14ac:dyDescent="0.25">
      <c r="A51" s="354" t="s">
        <v>232</v>
      </c>
      <c r="B51" s="355"/>
      <c r="C51" s="356"/>
      <c r="D51" s="356"/>
      <c r="E51" s="357">
        <f>+SUMPRODUCT(E52:E54,G52:G54)</f>
        <v>0.74</v>
      </c>
      <c r="F51" s="358"/>
      <c r="G51" s="359">
        <v>0.3</v>
      </c>
      <c r="H51" s="360"/>
    </row>
    <row r="52" spans="1:8" ht="342" hidden="1" x14ac:dyDescent="0.25">
      <c r="A52" s="332" t="s">
        <v>233</v>
      </c>
      <c r="B52" s="333" t="s">
        <v>234</v>
      </c>
      <c r="C52" s="374">
        <v>1</v>
      </c>
      <c r="D52" s="352">
        <v>1</v>
      </c>
      <c r="E52" s="336">
        <f>IF(D52/C52&gt;=100%,100%,D52/C52)</f>
        <v>1</v>
      </c>
      <c r="F52" s="342" t="s">
        <v>1411</v>
      </c>
      <c r="G52" s="338">
        <v>0.35</v>
      </c>
      <c r="H52" s="1190" t="s">
        <v>236</v>
      </c>
    </row>
    <row r="53" spans="1:8" ht="180" hidden="1" x14ac:dyDescent="0.25">
      <c r="A53" s="332" t="s">
        <v>237</v>
      </c>
      <c r="B53" s="333" t="s">
        <v>238</v>
      </c>
      <c r="C53" s="374">
        <v>0.8</v>
      </c>
      <c r="D53" s="352">
        <v>0.3</v>
      </c>
      <c r="E53" s="336">
        <v>0.6</v>
      </c>
      <c r="F53" s="342" t="s">
        <v>239</v>
      </c>
      <c r="G53" s="338">
        <v>0.35</v>
      </c>
      <c r="H53" s="1191"/>
    </row>
    <row r="54" spans="1:8" ht="191.25" hidden="1" customHeight="1" x14ac:dyDescent="0.25">
      <c r="A54" s="332" t="s">
        <v>240</v>
      </c>
      <c r="B54" s="333" t="s">
        <v>241</v>
      </c>
      <c r="C54" s="334">
        <v>0.5</v>
      </c>
      <c r="D54" s="375">
        <v>0.3</v>
      </c>
      <c r="E54" s="336">
        <f>IF(D54/C54&gt;=100%,100%,D54/C54)</f>
        <v>0.6</v>
      </c>
      <c r="F54" s="342" t="s">
        <v>1412</v>
      </c>
      <c r="G54" s="338">
        <v>0.3</v>
      </c>
      <c r="H54" s="1191"/>
    </row>
    <row r="55" spans="1:8" ht="61.5" customHeight="1" x14ac:dyDescent="0.25">
      <c r="A55" s="344" t="s">
        <v>242</v>
      </c>
      <c r="B55" s="345"/>
      <c r="C55" s="346"/>
      <c r="D55" s="346"/>
      <c r="E55" s="347">
        <f>+SUMPRODUCT(E56:E59,G56:G59)</f>
        <v>0.70000000000000007</v>
      </c>
      <c r="F55" s="348"/>
      <c r="G55" s="349">
        <v>0.4</v>
      </c>
      <c r="H55" s="350"/>
    </row>
    <row r="56" spans="1:8" ht="123.75" customHeight="1" x14ac:dyDescent="0.25">
      <c r="A56" s="332" t="s">
        <v>243</v>
      </c>
      <c r="B56" s="363" t="s">
        <v>244</v>
      </c>
      <c r="C56" s="376">
        <v>1</v>
      </c>
      <c r="D56" s="371">
        <v>0</v>
      </c>
      <c r="E56" s="336">
        <f>IF(D56/C56&gt;=100%,100%,D56/C56)</f>
        <v>0</v>
      </c>
      <c r="F56" s="342" t="s">
        <v>1413</v>
      </c>
      <c r="G56" s="338">
        <v>0.3</v>
      </c>
      <c r="H56" s="1190" t="s">
        <v>245</v>
      </c>
    </row>
    <row r="57" spans="1:8" ht="108" hidden="1" x14ac:dyDescent="0.25">
      <c r="A57" s="332" t="s">
        <v>246</v>
      </c>
      <c r="B57" s="363" t="s">
        <v>247</v>
      </c>
      <c r="C57" s="377">
        <v>1</v>
      </c>
      <c r="D57" s="378">
        <v>100</v>
      </c>
      <c r="E57" s="336">
        <f>IF(D57/C57&gt;=100%,100%,D57/C57)</f>
        <v>1</v>
      </c>
      <c r="F57" s="342" t="s">
        <v>1418</v>
      </c>
      <c r="G57" s="338">
        <v>0.4</v>
      </c>
      <c r="H57" s="1191"/>
    </row>
    <row r="58" spans="1:8" ht="288" hidden="1" x14ac:dyDescent="0.25">
      <c r="A58" s="332" t="s">
        <v>248</v>
      </c>
      <c r="B58" s="363" t="s">
        <v>249</v>
      </c>
      <c r="C58" s="376">
        <v>2</v>
      </c>
      <c r="D58" s="341">
        <v>4</v>
      </c>
      <c r="E58" s="336">
        <f>IF(D58/C58&gt;=100%,100%,D58/C58)</f>
        <v>1</v>
      </c>
      <c r="F58" s="342" t="s">
        <v>1414</v>
      </c>
      <c r="G58" s="338">
        <v>0.15</v>
      </c>
      <c r="H58" s="1191"/>
    </row>
    <row r="59" spans="1:8" ht="198" hidden="1" x14ac:dyDescent="0.25">
      <c r="A59" s="332" t="s">
        <v>250</v>
      </c>
      <c r="B59" s="363" t="s">
        <v>251</v>
      </c>
      <c r="C59" s="376">
        <v>2</v>
      </c>
      <c r="D59" s="341">
        <v>2</v>
      </c>
      <c r="E59" s="336">
        <f>IF(D59/C59&gt;=100%,100%,D59/C59)</f>
        <v>1</v>
      </c>
      <c r="F59" s="342" t="s">
        <v>1415</v>
      </c>
      <c r="G59" s="338">
        <v>0.15</v>
      </c>
      <c r="H59" s="1191"/>
    </row>
    <row r="60" spans="1:8" ht="36.75" hidden="1" customHeight="1" x14ac:dyDescent="0.25">
      <c r="A60" s="310" t="s">
        <v>252</v>
      </c>
      <c r="B60" s="311"/>
      <c r="C60" s="312"/>
      <c r="D60" s="312"/>
      <c r="E60" s="313">
        <f>+(E61*G61)+(E102*G102)</f>
        <v>0.59971666666666656</v>
      </c>
      <c r="F60" s="314"/>
      <c r="G60" s="315">
        <v>0.35</v>
      </c>
      <c r="H60" s="316"/>
    </row>
    <row r="61" spans="1:8" ht="53.25" hidden="1" customHeight="1" x14ac:dyDescent="0.25">
      <c r="A61" s="318" t="s">
        <v>253</v>
      </c>
      <c r="B61" s="372"/>
      <c r="C61" s="320"/>
      <c r="D61" s="320"/>
      <c r="E61" s="373">
        <f>+(E62*G62)+(E67*G67)+(E72*G72)+(E81*G81)+(E86*G86)+(E98*G98)</f>
        <v>0.77099999999999991</v>
      </c>
      <c r="F61" s="322"/>
      <c r="G61" s="323">
        <v>0.56999999999999995</v>
      </c>
      <c r="H61" s="324"/>
    </row>
    <row r="62" spans="1:8" ht="45" hidden="1" customHeight="1" x14ac:dyDescent="0.25">
      <c r="A62" s="354" t="s">
        <v>254</v>
      </c>
      <c r="B62" s="355"/>
      <c r="C62" s="356"/>
      <c r="D62" s="356"/>
      <c r="E62" s="357">
        <f>+SUMPRODUCT(E63:E66,G63:G66)</f>
        <v>1</v>
      </c>
      <c r="F62" s="358"/>
      <c r="G62" s="359">
        <v>0.1</v>
      </c>
      <c r="H62" s="360"/>
    </row>
    <row r="63" spans="1:8" ht="165" hidden="1" customHeight="1" x14ac:dyDescent="0.25">
      <c r="A63" s="332" t="s">
        <v>255</v>
      </c>
      <c r="B63" s="363" t="s">
        <v>256</v>
      </c>
      <c r="C63" s="376">
        <v>2</v>
      </c>
      <c r="D63" s="335">
        <v>2</v>
      </c>
      <c r="E63" s="336">
        <f>IF(D63/C63&gt;=100%,100%,D63/C63)</f>
        <v>1</v>
      </c>
      <c r="F63" s="342" t="s">
        <v>257</v>
      </c>
      <c r="G63" s="338">
        <v>1</v>
      </c>
      <c r="H63" s="1190" t="s">
        <v>259</v>
      </c>
    </row>
    <row r="64" spans="1:8" ht="72" hidden="1" x14ac:dyDescent="0.25">
      <c r="A64" s="340" t="s">
        <v>260</v>
      </c>
      <c r="B64" s="363" t="s">
        <v>261</v>
      </c>
      <c r="C64" s="376"/>
      <c r="D64" s="335"/>
      <c r="E64" s="336"/>
      <c r="F64" s="342"/>
      <c r="G64" s="338">
        <v>0</v>
      </c>
      <c r="H64" s="1191"/>
    </row>
    <row r="65" spans="1:8" ht="76.5" hidden="1" customHeight="1" x14ac:dyDescent="0.25">
      <c r="A65" s="332" t="s">
        <v>262</v>
      </c>
      <c r="B65" s="363" t="s">
        <v>263</v>
      </c>
      <c r="C65" s="376"/>
      <c r="D65" s="335"/>
      <c r="E65" s="336"/>
      <c r="F65" s="342"/>
      <c r="G65" s="338">
        <v>0</v>
      </c>
      <c r="H65" s="1191"/>
    </row>
    <row r="66" spans="1:8" ht="76.5" hidden="1" customHeight="1" x14ac:dyDescent="0.25">
      <c r="A66" s="332" t="s">
        <v>264</v>
      </c>
      <c r="B66" s="363" t="s">
        <v>265</v>
      </c>
      <c r="C66" s="376"/>
      <c r="D66" s="335"/>
      <c r="E66" s="336"/>
      <c r="F66" s="342"/>
      <c r="G66" s="338">
        <v>0</v>
      </c>
      <c r="H66" s="1191"/>
    </row>
    <row r="67" spans="1:8" ht="36" hidden="1" x14ac:dyDescent="0.25">
      <c r="A67" s="354" t="s">
        <v>266</v>
      </c>
      <c r="B67" s="355"/>
      <c r="C67" s="356"/>
      <c r="D67" s="356"/>
      <c r="E67" s="357">
        <f>+SUMPRODUCT(E68:E71,G68:G71)</f>
        <v>1</v>
      </c>
      <c r="F67" s="358"/>
      <c r="G67" s="359">
        <v>0.1</v>
      </c>
      <c r="H67" s="360"/>
    </row>
    <row r="68" spans="1:8" ht="89.25" hidden="1" customHeight="1" x14ac:dyDescent="0.25">
      <c r="A68" s="332" t="s">
        <v>267</v>
      </c>
      <c r="B68" s="379" t="s">
        <v>268</v>
      </c>
      <c r="C68" s="376">
        <v>1</v>
      </c>
      <c r="D68" s="335">
        <v>2</v>
      </c>
      <c r="E68" s="336">
        <f>IF(D68/C68&gt;=100%,100%,D68/C68)</f>
        <v>1</v>
      </c>
      <c r="F68" s="342" t="s">
        <v>269</v>
      </c>
      <c r="G68" s="338">
        <v>0.2</v>
      </c>
      <c r="H68" s="1190" t="s">
        <v>259</v>
      </c>
    </row>
    <row r="69" spans="1:8" ht="36" hidden="1" x14ac:dyDescent="0.25">
      <c r="A69" s="332" t="s">
        <v>270</v>
      </c>
      <c r="B69" s="379" t="s">
        <v>271</v>
      </c>
      <c r="C69" s="377"/>
      <c r="D69" s="352"/>
      <c r="E69" s="336"/>
      <c r="F69" s="342"/>
      <c r="G69" s="338">
        <v>0</v>
      </c>
      <c r="H69" s="1191"/>
    </row>
    <row r="70" spans="1:8" ht="204" hidden="1" customHeight="1" x14ac:dyDescent="0.25">
      <c r="A70" s="332" t="s">
        <v>272</v>
      </c>
      <c r="B70" s="379" t="s">
        <v>273</v>
      </c>
      <c r="C70" s="376">
        <v>1</v>
      </c>
      <c r="D70" s="335">
        <v>2</v>
      </c>
      <c r="E70" s="336">
        <f>IF(D70/C70&gt;=100%,100%,D70/C70)</f>
        <v>1</v>
      </c>
      <c r="F70" s="342" t="s">
        <v>274</v>
      </c>
      <c r="G70" s="338">
        <v>0.4</v>
      </c>
      <c r="H70" s="1191"/>
    </row>
    <row r="71" spans="1:8" ht="89.25" hidden="1" customHeight="1" x14ac:dyDescent="0.25">
      <c r="A71" s="332" t="s">
        <v>275</v>
      </c>
      <c r="B71" s="379" t="s">
        <v>276</v>
      </c>
      <c r="C71" s="376">
        <v>2</v>
      </c>
      <c r="D71" s="335">
        <v>2</v>
      </c>
      <c r="E71" s="336">
        <f>IF(D71/C71&gt;=100%,100%,D71/C71)</f>
        <v>1</v>
      </c>
      <c r="F71" s="342" t="s">
        <v>269</v>
      </c>
      <c r="G71" s="338">
        <v>0.4</v>
      </c>
      <c r="H71" s="1191"/>
    </row>
    <row r="72" spans="1:8" ht="77.25" customHeight="1" x14ac:dyDescent="0.25">
      <c r="A72" s="354" t="s">
        <v>277</v>
      </c>
      <c r="B72" s="355"/>
      <c r="C72" s="356"/>
      <c r="D72" s="356"/>
      <c r="E72" s="357">
        <f>+SUMPRODUCT(E73:E80,G73:G80)</f>
        <v>0.67500000000000004</v>
      </c>
      <c r="F72" s="358"/>
      <c r="G72" s="359">
        <v>0.2</v>
      </c>
      <c r="H72" s="360"/>
    </row>
    <row r="73" spans="1:8" ht="147.75" customHeight="1" x14ac:dyDescent="0.25">
      <c r="A73" s="332" t="s">
        <v>278</v>
      </c>
      <c r="B73" s="379" t="s">
        <v>279</v>
      </c>
      <c r="C73" s="377">
        <v>1</v>
      </c>
      <c r="D73" s="336">
        <v>0</v>
      </c>
      <c r="E73" s="336">
        <f>IF(D73/C73&gt;=100%,100%,D73/C73)</f>
        <v>0</v>
      </c>
      <c r="F73" s="342" t="s">
        <v>1406</v>
      </c>
      <c r="G73" s="338">
        <v>0.2</v>
      </c>
      <c r="H73" s="1190" t="s">
        <v>280</v>
      </c>
    </row>
    <row r="74" spans="1:8" ht="90" hidden="1" x14ac:dyDescent="0.25">
      <c r="A74" s="340" t="s">
        <v>281</v>
      </c>
      <c r="B74" s="379" t="s">
        <v>282</v>
      </c>
      <c r="C74" s="377"/>
      <c r="D74" s="380"/>
      <c r="E74" s="336"/>
      <c r="F74" s="342"/>
      <c r="G74" s="338">
        <v>0</v>
      </c>
      <c r="H74" s="1191"/>
    </row>
    <row r="75" spans="1:8" ht="119.25" customHeight="1" x14ac:dyDescent="0.25">
      <c r="A75" s="340" t="s">
        <v>283</v>
      </c>
      <c r="B75" s="379" t="s">
        <v>284</v>
      </c>
      <c r="C75" s="377">
        <v>0.8</v>
      </c>
      <c r="D75" s="352">
        <v>0.3</v>
      </c>
      <c r="E75" s="336">
        <f>IF(D75/C75&gt;=100%,100%,D75/C75)</f>
        <v>0.37499999999999994</v>
      </c>
      <c r="F75" s="342" t="s">
        <v>1407</v>
      </c>
      <c r="G75" s="338">
        <v>0.2</v>
      </c>
      <c r="H75" s="1191"/>
    </row>
    <row r="76" spans="1:8" ht="76.5" hidden="1" customHeight="1" x14ac:dyDescent="0.25">
      <c r="A76" s="370" t="s">
        <v>285</v>
      </c>
      <c r="B76" s="379" t="s">
        <v>286</v>
      </c>
      <c r="C76" s="376"/>
      <c r="D76" s="335"/>
      <c r="E76" s="336"/>
      <c r="F76" s="342"/>
      <c r="G76" s="338">
        <v>0</v>
      </c>
      <c r="H76" s="1191"/>
    </row>
    <row r="77" spans="1:8" ht="126" hidden="1" x14ac:dyDescent="0.25">
      <c r="A77" s="370" t="s">
        <v>287</v>
      </c>
      <c r="B77" s="379" t="s">
        <v>288</v>
      </c>
      <c r="C77" s="376">
        <v>1</v>
      </c>
      <c r="D77" s="341">
        <v>4</v>
      </c>
      <c r="E77" s="336">
        <f>IF(D77/C77&gt;=100%,100%,D77/C77)</f>
        <v>1</v>
      </c>
      <c r="F77" s="342" t="s">
        <v>1419</v>
      </c>
      <c r="G77" s="338">
        <v>0.2</v>
      </c>
      <c r="H77" s="1191"/>
    </row>
    <row r="78" spans="1:8" ht="126" hidden="1" x14ac:dyDescent="0.25">
      <c r="A78" s="340" t="s">
        <v>289</v>
      </c>
      <c r="B78" s="379" t="s">
        <v>290</v>
      </c>
      <c r="C78" s="376">
        <v>1</v>
      </c>
      <c r="D78" s="343">
        <v>4</v>
      </c>
      <c r="E78" s="336">
        <f>IF(D78/C78&gt;=100%,100%,D78/C78)</f>
        <v>1</v>
      </c>
      <c r="F78" s="342" t="s">
        <v>1408</v>
      </c>
      <c r="G78" s="338">
        <v>0.2</v>
      </c>
      <c r="H78" s="1191"/>
    </row>
    <row r="79" spans="1:8" ht="36" hidden="1" x14ac:dyDescent="0.25">
      <c r="A79" s="340" t="s">
        <v>291</v>
      </c>
      <c r="B79" s="379" t="s">
        <v>292</v>
      </c>
      <c r="C79" s="376"/>
      <c r="D79" s="335"/>
      <c r="E79" s="336"/>
      <c r="F79" s="342"/>
      <c r="G79" s="338">
        <v>0</v>
      </c>
      <c r="H79" s="1191"/>
    </row>
    <row r="80" spans="1:8" ht="16.5" hidden="1" customHeight="1" x14ac:dyDescent="0.25">
      <c r="A80" s="332" t="s">
        <v>293</v>
      </c>
      <c r="B80" s="379" t="s">
        <v>294</v>
      </c>
      <c r="C80" s="376">
        <v>1</v>
      </c>
      <c r="D80" s="375">
        <v>3</v>
      </c>
      <c r="E80" s="336">
        <f>IF(D80/C80&gt;=100%,100%,D80/C80)</f>
        <v>1</v>
      </c>
      <c r="F80" s="342" t="s">
        <v>1409</v>
      </c>
      <c r="G80" s="338">
        <v>0.2</v>
      </c>
      <c r="H80" s="1191"/>
    </row>
    <row r="81" spans="1:8" ht="65.25" customHeight="1" x14ac:dyDescent="0.25">
      <c r="A81" s="354" t="s">
        <v>295</v>
      </c>
      <c r="B81" s="355"/>
      <c r="C81" s="356"/>
      <c r="D81" s="356"/>
      <c r="E81" s="357">
        <f>+SUMPRODUCT(E82:E85,G82:G85)</f>
        <v>0.64999999999999991</v>
      </c>
      <c r="F81" s="358"/>
      <c r="G81" s="359">
        <v>0.2</v>
      </c>
      <c r="H81" s="360"/>
    </row>
    <row r="82" spans="1:8" ht="228.75" customHeight="1" x14ac:dyDescent="0.25">
      <c r="A82" s="332" t="s">
        <v>296</v>
      </c>
      <c r="B82" s="379" t="s">
        <v>297</v>
      </c>
      <c r="C82" s="377">
        <v>0.6</v>
      </c>
      <c r="D82" s="352">
        <v>0</v>
      </c>
      <c r="E82" s="336">
        <f>IF(D82/C82&gt;=100%,100%,D82/C82)</f>
        <v>0</v>
      </c>
      <c r="F82" s="342" t="s">
        <v>1363</v>
      </c>
      <c r="G82" s="338">
        <v>0.35</v>
      </c>
      <c r="H82" s="1190" t="s">
        <v>280</v>
      </c>
    </row>
    <row r="83" spans="1:8" ht="36" hidden="1" x14ac:dyDescent="0.25">
      <c r="A83" s="332" t="s">
        <v>298</v>
      </c>
      <c r="B83" s="379" t="s">
        <v>292</v>
      </c>
      <c r="C83" s="376"/>
      <c r="D83" s="335"/>
      <c r="E83" s="336"/>
      <c r="F83" s="342"/>
      <c r="G83" s="338">
        <v>0</v>
      </c>
      <c r="H83" s="1191"/>
    </row>
    <row r="84" spans="1:8" ht="54" hidden="1" x14ac:dyDescent="0.25">
      <c r="A84" s="332" t="s">
        <v>299</v>
      </c>
      <c r="B84" s="379" t="s">
        <v>300</v>
      </c>
      <c r="C84" s="376">
        <v>1</v>
      </c>
      <c r="D84" s="341">
        <v>1</v>
      </c>
      <c r="E84" s="336">
        <f>IF(D84/C84&gt;=100%,100%,D84/C84)</f>
        <v>1</v>
      </c>
      <c r="F84" s="342" t="s">
        <v>1364</v>
      </c>
      <c r="G84" s="338">
        <v>0.35</v>
      </c>
      <c r="H84" s="1191"/>
    </row>
    <row r="85" spans="1:8" ht="162" hidden="1" x14ac:dyDescent="0.25">
      <c r="A85" s="332" t="s">
        <v>301</v>
      </c>
      <c r="B85" s="379" t="s">
        <v>302</v>
      </c>
      <c r="C85" s="376">
        <v>6</v>
      </c>
      <c r="D85" s="335">
        <v>7</v>
      </c>
      <c r="E85" s="336">
        <f>IF(D85/C85&gt;=100%,100%,D85/C85)</f>
        <v>1</v>
      </c>
      <c r="F85" s="342" t="s">
        <v>1365</v>
      </c>
      <c r="G85" s="338">
        <v>0.3</v>
      </c>
      <c r="H85" s="1191"/>
    </row>
    <row r="86" spans="1:8" ht="71.25" customHeight="1" x14ac:dyDescent="0.25">
      <c r="A86" s="344" t="s">
        <v>303</v>
      </c>
      <c r="B86" s="345"/>
      <c r="C86" s="346"/>
      <c r="D86" s="346"/>
      <c r="E86" s="347">
        <f>+SUMPRODUCT(E87:E97,G87:G97)</f>
        <v>0.53</v>
      </c>
      <c r="F86" s="348"/>
      <c r="G86" s="349">
        <v>0.2</v>
      </c>
      <c r="H86" s="350"/>
    </row>
    <row r="87" spans="1:8" ht="51" hidden="1" customHeight="1" x14ac:dyDescent="0.25">
      <c r="A87" s="367" t="s">
        <v>304</v>
      </c>
      <c r="B87" s="379" t="s">
        <v>305</v>
      </c>
      <c r="C87" s="377"/>
      <c r="D87" s="352"/>
      <c r="E87" s="336"/>
      <c r="F87" s="342"/>
      <c r="G87" s="338">
        <v>0</v>
      </c>
      <c r="H87" s="1190" t="s">
        <v>307</v>
      </c>
    </row>
    <row r="88" spans="1:8" ht="180" hidden="1" x14ac:dyDescent="0.25">
      <c r="A88" s="367" t="s">
        <v>308</v>
      </c>
      <c r="B88" s="333" t="s">
        <v>309</v>
      </c>
      <c r="C88" s="376">
        <v>2</v>
      </c>
      <c r="D88" s="341">
        <v>4</v>
      </c>
      <c r="E88" s="336">
        <f>IF(D88/C88&gt;=100%,100%,D88/C88)</f>
        <v>1</v>
      </c>
      <c r="F88" s="342" t="s">
        <v>1376</v>
      </c>
      <c r="G88" s="338">
        <v>0</v>
      </c>
      <c r="H88" s="1191"/>
    </row>
    <row r="89" spans="1:8" ht="36" hidden="1" x14ac:dyDescent="0.25">
      <c r="A89" s="367" t="s">
        <v>311</v>
      </c>
      <c r="B89" s="379" t="s">
        <v>312</v>
      </c>
      <c r="C89" s="376">
        <v>1</v>
      </c>
      <c r="D89" s="341">
        <v>1</v>
      </c>
      <c r="E89" s="336">
        <f>IF(D89/C89&gt;=100%,100%,D89/C89)</f>
        <v>1</v>
      </c>
      <c r="F89" s="342" t="s">
        <v>313</v>
      </c>
      <c r="G89" s="338">
        <v>0.15</v>
      </c>
      <c r="H89" s="1191"/>
    </row>
    <row r="90" spans="1:8" ht="54" hidden="1" x14ac:dyDescent="0.25">
      <c r="A90" s="367" t="s">
        <v>314</v>
      </c>
      <c r="B90" s="333" t="s">
        <v>309</v>
      </c>
      <c r="C90" s="376">
        <v>1</v>
      </c>
      <c r="D90" s="381">
        <v>1</v>
      </c>
      <c r="E90" s="336">
        <f>IF(D90/C90&gt;=100%,100%,D90/C90)</f>
        <v>1</v>
      </c>
      <c r="F90" s="342" t="s">
        <v>1379</v>
      </c>
      <c r="G90" s="338">
        <v>0.15</v>
      </c>
      <c r="H90" s="1191"/>
    </row>
    <row r="91" spans="1:8" ht="36" hidden="1" x14ac:dyDescent="0.25">
      <c r="A91" s="367" t="s">
        <v>315</v>
      </c>
      <c r="B91" s="379" t="s">
        <v>316</v>
      </c>
      <c r="C91" s="376"/>
      <c r="D91" s="341"/>
      <c r="E91" s="336"/>
      <c r="F91" s="342"/>
      <c r="G91" s="338">
        <v>0</v>
      </c>
      <c r="H91" s="1191"/>
    </row>
    <row r="92" spans="1:8" ht="95.25" customHeight="1" x14ac:dyDescent="0.25">
      <c r="A92" s="367" t="s">
        <v>317</v>
      </c>
      <c r="B92" s="379" t="s">
        <v>318</v>
      </c>
      <c r="C92" s="376">
        <v>1</v>
      </c>
      <c r="D92" s="341">
        <v>0</v>
      </c>
      <c r="E92" s="336">
        <f>IF(D92/C92&gt;=100%,100%,D92/C92)</f>
        <v>0</v>
      </c>
      <c r="F92" s="342" t="s">
        <v>319</v>
      </c>
      <c r="G92" s="338">
        <v>0.2</v>
      </c>
      <c r="H92" s="1191"/>
    </row>
    <row r="93" spans="1:8" hidden="1" x14ac:dyDescent="0.25">
      <c r="A93" s="370" t="s">
        <v>320</v>
      </c>
      <c r="B93" s="333" t="s">
        <v>321</v>
      </c>
      <c r="C93" s="376"/>
      <c r="D93" s="341"/>
      <c r="E93" s="336"/>
      <c r="F93" s="342"/>
      <c r="G93" s="338">
        <v>0</v>
      </c>
      <c r="H93" s="1191"/>
    </row>
    <row r="94" spans="1:8" ht="195.75" customHeight="1" x14ac:dyDescent="0.25">
      <c r="A94" s="367" t="s">
        <v>322</v>
      </c>
      <c r="B94" s="379" t="s">
        <v>323</v>
      </c>
      <c r="C94" s="376">
        <v>1</v>
      </c>
      <c r="D94" s="382">
        <v>0.1</v>
      </c>
      <c r="E94" s="336">
        <f>IF(D94/C94&gt;=100%,100%,D94/C94)</f>
        <v>0.1</v>
      </c>
      <c r="F94" s="342" t="s">
        <v>1377</v>
      </c>
      <c r="G94" s="383">
        <v>0.15</v>
      </c>
      <c r="H94" s="1191"/>
    </row>
    <row r="95" spans="1:8" ht="106.5" customHeight="1" x14ac:dyDescent="0.25">
      <c r="A95" s="367" t="s">
        <v>324</v>
      </c>
      <c r="B95" s="379" t="s">
        <v>325</v>
      </c>
      <c r="C95" s="376">
        <v>1</v>
      </c>
      <c r="D95" s="382">
        <v>0.1</v>
      </c>
      <c r="E95" s="336">
        <f>IF(D95/C95&gt;=100%,100%,D95/C95)</f>
        <v>0.1</v>
      </c>
      <c r="F95" s="342" t="s">
        <v>310</v>
      </c>
      <c r="G95" s="338">
        <v>0.15</v>
      </c>
      <c r="H95" s="1191"/>
    </row>
    <row r="96" spans="1:8" ht="234" hidden="1" x14ac:dyDescent="0.25">
      <c r="A96" s="367" t="s">
        <v>327</v>
      </c>
      <c r="B96" s="379" t="s">
        <v>325</v>
      </c>
      <c r="C96" s="376">
        <v>1</v>
      </c>
      <c r="D96" s="381">
        <v>4</v>
      </c>
      <c r="E96" s="336">
        <f>IF(D96/C96&gt;=100%,100%,D96/C96)</f>
        <v>1</v>
      </c>
      <c r="F96" s="342" t="s">
        <v>1380</v>
      </c>
      <c r="G96" s="338">
        <v>0.15</v>
      </c>
      <c r="H96" s="366" t="s">
        <v>328</v>
      </c>
    </row>
    <row r="97" spans="1:8" ht="90" hidden="1" x14ac:dyDescent="0.25">
      <c r="A97" s="367" t="s">
        <v>329</v>
      </c>
      <c r="B97" s="384" t="s">
        <v>330</v>
      </c>
      <c r="C97" s="376">
        <v>1</v>
      </c>
      <c r="D97" s="341">
        <v>1</v>
      </c>
      <c r="E97" s="336">
        <f>IF(D97/C97&gt;=100%,100%,D97/C97)</f>
        <v>1</v>
      </c>
      <c r="F97" s="342" t="s">
        <v>1378</v>
      </c>
      <c r="G97" s="385">
        <v>0.05</v>
      </c>
      <c r="H97" s="366" t="s">
        <v>307</v>
      </c>
    </row>
    <row r="98" spans="1:8" ht="36" hidden="1" x14ac:dyDescent="0.25">
      <c r="A98" s="354" t="s">
        <v>331</v>
      </c>
      <c r="B98" s="355"/>
      <c r="C98" s="356"/>
      <c r="D98" s="356"/>
      <c r="E98" s="357">
        <f>+SUMPRODUCT(E99:E101,G99:G101)</f>
        <v>1</v>
      </c>
      <c r="F98" s="358"/>
      <c r="G98" s="359">
        <v>0.2</v>
      </c>
      <c r="H98" s="360"/>
    </row>
    <row r="99" spans="1:8" ht="180" hidden="1" x14ac:dyDescent="0.25">
      <c r="A99" s="367" t="s">
        <v>332</v>
      </c>
      <c r="B99" s="363" t="s">
        <v>333</v>
      </c>
      <c r="C99" s="376">
        <v>1</v>
      </c>
      <c r="D99" s="335">
        <v>1</v>
      </c>
      <c r="E99" s="336">
        <f>IF(D99/C99&gt;=100%,100%,D99/C99)</f>
        <v>1</v>
      </c>
      <c r="F99" s="342" t="s">
        <v>1372</v>
      </c>
      <c r="G99" s="338">
        <v>0.6</v>
      </c>
      <c r="H99" s="1190" t="s">
        <v>334</v>
      </c>
    </row>
    <row r="100" spans="1:8" ht="108" hidden="1" x14ac:dyDescent="0.25">
      <c r="A100" s="332" t="s">
        <v>335</v>
      </c>
      <c r="B100" s="363" t="s">
        <v>336</v>
      </c>
      <c r="C100" s="376">
        <v>2</v>
      </c>
      <c r="D100" s="335">
        <v>3</v>
      </c>
      <c r="E100" s="336">
        <f>IF(D100/C100&gt;=100%,100%,D100/C100)</f>
        <v>1</v>
      </c>
      <c r="F100" s="342" t="s">
        <v>337</v>
      </c>
      <c r="G100" s="338">
        <v>0.2</v>
      </c>
      <c r="H100" s="1191"/>
    </row>
    <row r="101" spans="1:8" ht="72" hidden="1" x14ac:dyDescent="0.25">
      <c r="A101" s="332" t="s">
        <v>339</v>
      </c>
      <c r="B101" s="363" t="s">
        <v>336</v>
      </c>
      <c r="C101" s="376">
        <v>1</v>
      </c>
      <c r="D101" s="335">
        <v>1</v>
      </c>
      <c r="E101" s="336">
        <f>IF(D101/C101&gt;=100%,100%,D101/C101)</f>
        <v>1</v>
      </c>
      <c r="F101" s="342" t="s">
        <v>340</v>
      </c>
      <c r="G101" s="338">
        <v>0.2</v>
      </c>
      <c r="H101" s="1191"/>
    </row>
    <row r="102" spans="1:8" ht="38.25" customHeight="1" x14ac:dyDescent="0.25">
      <c r="A102" s="318" t="s">
        <v>341</v>
      </c>
      <c r="B102" s="372"/>
      <c r="C102" s="320"/>
      <c r="D102" s="320"/>
      <c r="E102" s="373">
        <f>+(E103*G103)</f>
        <v>0.37266666666666665</v>
      </c>
      <c r="F102" s="322"/>
      <c r="G102" s="323">
        <v>0.43</v>
      </c>
      <c r="H102" s="324"/>
    </row>
    <row r="103" spans="1:8" x14ac:dyDescent="0.25">
      <c r="A103" s="386" t="s">
        <v>342</v>
      </c>
      <c r="B103" s="387"/>
      <c r="C103" s="356"/>
      <c r="D103" s="356"/>
      <c r="E103" s="388">
        <f>+SUMPRODUCT(E104:E118,G104:G118)</f>
        <v>0.37266666666666665</v>
      </c>
      <c r="F103" s="358"/>
      <c r="G103" s="389">
        <v>1</v>
      </c>
      <c r="H103" s="360"/>
    </row>
    <row r="104" spans="1:8" ht="74.25" customHeight="1" x14ac:dyDescent="0.25">
      <c r="A104" s="340" t="s">
        <v>343</v>
      </c>
      <c r="B104" s="363" t="s">
        <v>344</v>
      </c>
      <c r="C104" s="376">
        <v>2</v>
      </c>
      <c r="D104" s="382">
        <v>0.2</v>
      </c>
      <c r="E104" s="352">
        <f t="shared" ref="E104:E118" si="1">IF(D104/C104&gt;=100%,100%,D104/C104)</f>
        <v>0.1</v>
      </c>
      <c r="F104" s="362" t="s">
        <v>1381</v>
      </c>
      <c r="G104" s="338">
        <v>0.1</v>
      </c>
      <c r="H104" s="1190" t="s">
        <v>346</v>
      </c>
    </row>
    <row r="105" spans="1:8" ht="180" hidden="1" x14ac:dyDescent="0.25">
      <c r="A105" s="340" t="s">
        <v>347</v>
      </c>
      <c r="B105" s="363" t="s">
        <v>348</v>
      </c>
      <c r="C105" s="376">
        <v>8</v>
      </c>
      <c r="D105" s="341">
        <v>6</v>
      </c>
      <c r="E105" s="352">
        <f t="shared" si="1"/>
        <v>0.75</v>
      </c>
      <c r="F105" s="342" t="s">
        <v>1382</v>
      </c>
      <c r="G105" s="338">
        <v>0.1</v>
      </c>
      <c r="H105" s="1191"/>
    </row>
    <row r="106" spans="1:8" ht="80.25" customHeight="1" x14ac:dyDescent="0.25">
      <c r="A106" s="340" t="s">
        <v>349</v>
      </c>
      <c r="B106" s="363" t="s">
        <v>350</v>
      </c>
      <c r="C106" s="376">
        <v>8</v>
      </c>
      <c r="D106" s="341">
        <v>4</v>
      </c>
      <c r="E106" s="352">
        <f t="shared" si="1"/>
        <v>0.5</v>
      </c>
      <c r="F106" s="342" t="s">
        <v>1383</v>
      </c>
      <c r="G106" s="338">
        <v>0.05</v>
      </c>
      <c r="H106" s="1191"/>
    </row>
    <row r="107" spans="1:8" ht="13.5" hidden="1" customHeight="1" x14ac:dyDescent="0.25">
      <c r="A107" s="340" t="s">
        <v>351</v>
      </c>
      <c r="B107" s="363" t="s">
        <v>352</v>
      </c>
      <c r="C107" s="376">
        <v>1</v>
      </c>
      <c r="D107" s="382">
        <v>0.7</v>
      </c>
      <c r="E107" s="352">
        <f t="shared" si="1"/>
        <v>0.7</v>
      </c>
      <c r="F107" s="362" t="s">
        <v>1384</v>
      </c>
      <c r="G107" s="338">
        <v>0.05</v>
      </c>
      <c r="H107" s="1191"/>
    </row>
    <row r="108" spans="1:8" ht="86.25" customHeight="1" x14ac:dyDescent="0.25">
      <c r="A108" s="340" t="s">
        <v>353</v>
      </c>
      <c r="B108" s="363" t="s">
        <v>354</v>
      </c>
      <c r="C108" s="376">
        <v>2</v>
      </c>
      <c r="D108" s="341">
        <v>0</v>
      </c>
      <c r="E108" s="352">
        <f t="shared" si="1"/>
        <v>0</v>
      </c>
      <c r="F108" s="342" t="s">
        <v>355</v>
      </c>
      <c r="G108" s="338">
        <v>0.1</v>
      </c>
      <c r="H108" s="1191"/>
    </row>
    <row r="109" spans="1:8" ht="409.5" hidden="1" x14ac:dyDescent="0.25">
      <c r="A109" s="340" t="s">
        <v>356</v>
      </c>
      <c r="B109" s="363" t="s">
        <v>357</v>
      </c>
      <c r="C109" s="376">
        <v>2</v>
      </c>
      <c r="D109" s="341">
        <v>4</v>
      </c>
      <c r="E109" s="352">
        <f t="shared" si="1"/>
        <v>1</v>
      </c>
      <c r="F109" s="342" t="s">
        <v>1416</v>
      </c>
      <c r="G109" s="338">
        <v>0.05</v>
      </c>
      <c r="H109" s="1190" t="s">
        <v>358</v>
      </c>
    </row>
    <row r="110" spans="1:8" ht="92.25" customHeight="1" x14ac:dyDescent="0.25">
      <c r="A110" s="340" t="s">
        <v>359</v>
      </c>
      <c r="B110" s="333" t="s">
        <v>360</v>
      </c>
      <c r="C110" s="376">
        <v>1</v>
      </c>
      <c r="D110" s="381">
        <v>0</v>
      </c>
      <c r="E110" s="352">
        <f t="shared" si="1"/>
        <v>0</v>
      </c>
      <c r="F110" s="362" t="s">
        <v>1449</v>
      </c>
      <c r="G110" s="338">
        <v>0.05</v>
      </c>
      <c r="H110" s="1191"/>
    </row>
    <row r="111" spans="1:8" ht="73.5" customHeight="1" x14ac:dyDescent="0.25">
      <c r="A111" s="340" t="s">
        <v>361</v>
      </c>
      <c r="B111" s="363" t="s">
        <v>362</v>
      </c>
      <c r="C111" s="376">
        <v>0.5</v>
      </c>
      <c r="D111" s="371">
        <v>0.05</v>
      </c>
      <c r="E111" s="352">
        <f t="shared" si="1"/>
        <v>0.1</v>
      </c>
      <c r="F111" s="362" t="s">
        <v>1385</v>
      </c>
      <c r="G111" s="338">
        <v>0.05</v>
      </c>
      <c r="H111" s="1190" t="s">
        <v>346</v>
      </c>
    </row>
    <row r="112" spans="1:8" ht="72" hidden="1" x14ac:dyDescent="0.25">
      <c r="A112" s="340" t="s">
        <v>363</v>
      </c>
      <c r="B112" s="333" t="s">
        <v>364</v>
      </c>
      <c r="C112" s="376">
        <v>3</v>
      </c>
      <c r="D112" s="341">
        <v>3</v>
      </c>
      <c r="E112" s="352">
        <f t="shared" si="1"/>
        <v>1</v>
      </c>
      <c r="F112" s="342" t="s">
        <v>365</v>
      </c>
      <c r="G112" s="338">
        <v>0.05</v>
      </c>
      <c r="H112" s="1191"/>
    </row>
    <row r="113" spans="1:8" ht="108" hidden="1" x14ac:dyDescent="0.25">
      <c r="A113" s="340" t="s">
        <v>366</v>
      </c>
      <c r="B113" s="363" t="s">
        <v>367</v>
      </c>
      <c r="C113" s="390">
        <v>100</v>
      </c>
      <c r="D113" s="341">
        <v>68</v>
      </c>
      <c r="E113" s="352">
        <f t="shared" si="1"/>
        <v>0.68</v>
      </c>
      <c r="F113" s="342" t="s">
        <v>1366</v>
      </c>
      <c r="G113" s="338">
        <v>0.04</v>
      </c>
      <c r="H113" s="366" t="s">
        <v>369</v>
      </c>
    </row>
    <row r="114" spans="1:8" ht="72" hidden="1" x14ac:dyDescent="0.25">
      <c r="A114" s="340" t="s">
        <v>370</v>
      </c>
      <c r="B114" s="363" t="s">
        <v>371</v>
      </c>
      <c r="C114" s="376">
        <v>25</v>
      </c>
      <c r="D114" s="335">
        <v>18</v>
      </c>
      <c r="E114" s="352">
        <f t="shared" si="1"/>
        <v>0.72</v>
      </c>
      <c r="F114" s="342" t="s">
        <v>1370</v>
      </c>
      <c r="G114" s="338">
        <v>0.04</v>
      </c>
      <c r="H114" s="1190" t="s">
        <v>373</v>
      </c>
    </row>
    <row r="115" spans="1:8" ht="142.5" customHeight="1" x14ac:dyDescent="0.25">
      <c r="A115" s="340" t="s">
        <v>374</v>
      </c>
      <c r="B115" s="333" t="s">
        <v>375</v>
      </c>
      <c r="C115" s="376">
        <v>1</v>
      </c>
      <c r="D115" s="335">
        <v>0</v>
      </c>
      <c r="E115" s="352">
        <f t="shared" si="1"/>
        <v>0</v>
      </c>
      <c r="F115" s="342" t="s">
        <v>1371</v>
      </c>
      <c r="G115" s="338">
        <v>0.02</v>
      </c>
      <c r="H115" s="1191"/>
    </row>
    <row r="116" spans="1:8" ht="76.5" customHeight="1" x14ac:dyDescent="0.25">
      <c r="A116" s="340" t="s">
        <v>376</v>
      </c>
      <c r="B116" s="333" t="s">
        <v>377</v>
      </c>
      <c r="C116" s="376">
        <v>0.7</v>
      </c>
      <c r="D116" s="335">
        <v>0</v>
      </c>
      <c r="E116" s="352">
        <f t="shared" si="1"/>
        <v>0</v>
      </c>
      <c r="F116" s="362" t="s">
        <v>1435</v>
      </c>
      <c r="G116" s="338">
        <v>0.15</v>
      </c>
      <c r="H116" s="366" t="s">
        <v>378</v>
      </c>
    </row>
    <row r="117" spans="1:8" ht="103.5" hidden="1" customHeight="1" x14ac:dyDescent="0.25">
      <c r="A117" s="340" t="s">
        <v>379</v>
      </c>
      <c r="B117" s="333" t="s">
        <v>380</v>
      </c>
      <c r="C117" s="377">
        <v>0.6</v>
      </c>
      <c r="D117" s="391">
        <v>0.1</v>
      </c>
      <c r="E117" s="352">
        <f t="shared" si="1"/>
        <v>0.16666666666666669</v>
      </c>
      <c r="F117" s="342" t="s">
        <v>381</v>
      </c>
      <c r="G117" s="338">
        <v>0.1</v>
      </c>
      <c r="H117" s="1190" t="s">
        <v>382</v>
      </c>
    </row>
    <row r="118" spans="1:8" ht="32.25" hidden="1" customHeight="1" x14ac:dyDescent="0.25">
      <c r="A118" s="340" t="s">
        <v>383</v>
      </c>
      <c r="B118" s="333" t="s">
        <v>384</v>
      </c>
      <c r="C118" s="376">
        <v>1</v>
      </c>
      <c r="D118" s="335">
        <v>1</v>
      </c>
      <c r="E118" s="352">
        <f t="shared" si="1"/>
        <v>1</v>
      </c>
      <c r="F118" s="342" t="s">
        <v>385</v>
      </c>
      <c r="G118" s="338">
        <v>0.05</v>
      </c>
      <c r="H118" s="1191"/>
    </row>
    <row r="119" spans="1:8" ht="63.75" hidden="1" customHeight="1" x14ac:dyDescent="0.25">
      <c r="A119" s="310" t="s">
        <v>386</v>
      </c>
      <c r="B119" s="311"/>
      <c r="C119" s="312"/>
      <c r="D119" s="312"/>
      <c r="E119" s="313">
        <f>+(E120*G120)</f>
        <v>0.52</v>
      </c>
      <c r="F119" s="314"/>
      <c r="G119" s="315">
        <v>0.1</v>
      </c>
      <c r="H119" s="316"/>
    </row>
    <row r="120" spans="1:8" ht="38.25" hidden="1" customHeight="1" x14ac:dyDescent="0.25">
      <c r="A120" s="318" t="s">
        <v>387</v>
      </c>
      <c r="B120" s="372"/>
      <c r="C120" s="320"/>
      <c r="D120" s="320"/>
      <c r="E120" s="373">
        <f>+(E121*G121)+(E126*G126)+(E131*G131)</f>
        <v>0.52</v>
      </c>
      <c r="F120" s="322"/>
      <c r="G120" s="323">
        <v>1</v>
      </c>
      <c r="H120" s="324"/>
    </row>
    <row r="121" spans="1:8" ht="36" hidden="1" x14ac:dyDescent="0.25">
      <c r="A121" s="354" t="s">
        <v>388</v>
      </c>
      <c r="B121" s="355"/>
      <c r="C121" s="356"/>
      <c r="D121" s="356"/>
      <c r="E121" s="357">
        <f>+SUMPRODUCT(E122:E125,G122:G125)</f>
        <v>0.8</v>
      </c>
      <c r="F121" s="358"/>
      <c r="G121" s="359">
        <v>0.4</v>
      </c>
      <c r="H121" s="360"/>
    </row>
    <row r="122" spans="1:8" ht="54" hidden="1" x14ac:dyDescent="0.25">
      <c r="A122" s="332" t="s">
        <v>389</v>
      </c>
      <c r="B122" s="363" t="s">
        <v>390</v>
      </c>
      <c r="C122" s="377"/>
      <c r="D122" s="352"/>
      <c r="E122" s="336"/>
      <c r="F122" s="342"/>
      <c r="G122" s="338">
        <v>0</v>
      </c>
      <c r="H122" s="1190" t="s">
        <v>391</v>
      </c>
    </row>
    <row r="123" spans="1:8" ht="54" hidden="1" x14ac:dyDescent="0.25">
      <c r="A123" s="332" t="s">
        <v>392</v>
      </c>
      <c r="B123" s="363" t="s">
        <v>393</v>
      </c>
      <c r="C123" s="377"/>
      <c r="D123" s="352"/>
      <c r="E123" s="336"/>
      <c r="F123" s="342"/>
      <c r="G123" s="338">
        <v>0</v>
      </c>
      <c r="H123" s="1191"/>
    </row>
    <row r="124" spans="1:8" ht="72" hidden="1" x14ac:dyDescent="0.25">
      <c r="A124" s="332" t="s">
        <v>394</v>
      </c>
      <c r="B124" s="333" t="s">
        <v>395</v>
      </c>
      <c r="C124" s="377">
        <v>1</v>
      </c>
      <c r="D124" s="352">
        <v>1</v>
      </c>
      <c r="E124" s="336">
        <f>IF(D124/C124&gt;=100%,100%,D124/C124)</f>
        <v>1</v>
      </c>
      <c r="F124" s="342" t="s">
        <v>1360</v>
      </c>
      <c r="G124" s="338">
        <v>0.5</v>
      </c>
      <c r="H124" s="1191"/>
    </row>
    <row r="125" spans="1:8" ht="72" hidden="1" x14ac:dyDescent="0.25">
      <c r="A125" s="332" t="s">
        <v>396</v>
      </c>
      <c r="B125" s="333" t="s">
        <v>397</v>
      </c>
      <c r="C125" s="377">
        <v>1</v>
      </c>
      <c r="D125" s="352">
        <v>0.6</v>
      </c>
      <c r="E125" s="336">
        <f>IF(D125/C125&gt;=100%,100%,D125/C125)</f>
        <v>0.6</v>
      </c>
      <c r="F125" s="342" t="s">
        <v>1361</v>
      </c>
      <c r="G125" s="338">
        <v>0.5</v>
      </c>
      <c r="H125" s="1191"/>
    </row>
    <row r="126" spans="1:8" ht="60.75" hidden="1" customHeight="1" x14ac:dyDescent="0.25">
      <c r="A126" s="354" t="s">
        <v>398</v>
      </c>
      <c r="B126" s="355"/>
      <c r="C126" s="356"/>
      <c r="D126" s="356"/>
      <c r="E126" s="357">
        <f>+SUMPRODUCT(E127:E130,G127:G130)</f>
        <v>0.5</v>
      </c>
      <c r="F126" s="358"/>
      <c r="G126" s="359">
        <v>0.4</v>
      </c>
      <c r="H126" s="360"/>
    </row>
    <row r="127" spans="1:8" ht="54" hidden="1" x14ac:dyDescent="0.25">
      <c r="A127" s="332" t="s">
        <v>399</v>
      </c>
      <c r="B127" s="363" t="s">
        <v>400</v>
      </c>
      <c r="C127" s="376">
        <v>25</v>
      </c>
      <c r="D127" s="335">
        <v>15</v>
      </c>
      <c r="E127" s="336">
        <f>IF(D127/C127&gt;=100%,100%,D127/C127)</f>
        <v>0.6</v>
      </c>
      <c r="F127" s="342" t="s">
        <v>1361</v>
      </c>
      <c r="G127" s="338">
        <v>0.5</v>
      </c>
      <c r="H127" s="1190" t="s">
        <v>391</v>
      </c>
    </row>
    <row r="128" spans="1:8" ht="42.75" hidden="1" customHeight="1" x14ac:dyDescent="0.25">
      <c r="A128" s="332" t="s">
        <v>401</v>
      </c>
      <c r="B128" s="363" t="s">
        <v>402</v>
      </c>
      <c r="C128" s="376">
        <v>8</v>
      </c>
      <c r="D128" s="375">
        <v>0</v>
      </c>
      <c r="E128" s="365">
        <f>IF(D128/C128&gt;=100%,100%,D128/C128)</f>
        <v>0</v>
      </c>
      <c r="F128" s="342" t="s">
        <v>1362</v>
      </c>
      <c r="G128" s="338">
        <v>0.2</v>
      </c>
      <c r="H128" s="1191"/>
    </row>
    <row r="129" spans="1:8" ht="45" hidden="1" customHeight="1" x14ac:dyDescent="0.25">
      <c r="A129" s="332" t="s">
        <v>403</v>
      </c>
      <c r="B129" s="363" t="s">
        <v>404</v>
      </c>
      <c r="C129" s="377">
        <v>1</v>
      </c>
      <c r="D129" s="377">
        <v>0</v>
      </c>
      <c r="E129" s="365">
        <v>0</v>
      </c>
      <c r="F129" s="342" t="s">
        <v>1362</v>
      </c>
      <c r="G129" s="338">
        <v>0.1</v>
      </c>
      <c r="H129" s="1191"/>
    </row>
    <row r="130" spans="1:8" ht="72" hidden="1" x14ac:dyDescent="0.25">
      <c r="A130" s="332" t="s">
        <v>405</v>
      </c>
      <c r="B130" s="363" t="s">
        <v>406</v>
      </c>
      <c r="C130" s="377">
        <v>1</v>
      </c>
      <c r="D130" s="352">
        <v>1</v>
      </c>
      <c r="E130" s="336">
        <f>IF(D130/C130&gt;=100%,100%,D130/C130)</f>
        <v>1</v>
      </c>
      <c r="F130" s="342" t="s">
        <v>407</v>
      </c>
      <c r="G130" s="338">
        <v>0.2</v>
      </c>
      <c r="H130" s="1191"/>
    </row>
    <row r="131" spans="1:8" ht="60.75" hidden="1" customHeight="1" x14ac:dyDescent="0.25">
      <c r="A131" s="344" t="s">
        <v>408</v>
      </c>
      <c r="B131" s="345"/>
      <c r="C131" s="346"/>
      <c r="D131" s="346"/>
      <c r="E131" s="347">
        <f>+SUMPRODUCT(E132:E133,G132:G133)</f>
        <v>0</v>
      </c>
      <c r="F131" s="348"/>
      <c r="G131" s="349">
        <v>0.2</v>
      </c>
      <c r="H131" s="350"/>
    </row>
    <row r="132" spans="1:8" ht="36" hidden="1" x14ac:dyDescent="0.25">
      <c r="A132" s="332" t="s">
        <v>409</v>
      </c>
      <c r="B132" s="379" t="s">
        <v>410</v>
      </c>
      <c r="C132" s="376"/>
      <c r="D132" s="335"/>
      <c r="E132" s="336"/>
      <c r="F132" s="342" t="s">
        <v>411</v>
      </c>
      <c r="G132" s="338">
        <v>0</v>
      </c>
      <c r="H132" s="1195" t="s">
        <v>391</v>
      </c>
    </row>
    <row r="133" spans="1:8" ht="74.25" hidden="1" customHeight="1" x14ac:dyDescent="0.25">
      <c r="A133" s="332" t="s">
        <v>412</v>
      </c>
      <c r="B133" s="379" t="s">
        <v>413</v>
      </c>
      <c r="C133" s="376">
        <v>1</v>
      </c>
      <c r="D133" s="335">
        <v>0</v>
      </c>
      <c r="E133" s="352">
        <v>0</v>
      </c>
      <c r="F133" s="337" t="s">
        <v>414</v>
      </c>
      <c r="G133" s="338">
        <v>1</v>
      </c>
      <c r="H133" s="1191"/>
    </row>
    <row r="134" spans="1:8" ht="45.75" customHeight="1" x14ac:dyDescent="0.25">
      <c r="A134" s="310" t="s">
        <v>415</v>
      </c>
      <c r="B134" s="311"/>
      <c r="C134" s="312"/>
      <c r="D134" s="312"/>
      <c r="E134" s="313">
        <f>+(E135*G135)</f>
        <v>0.76500000000000012</v>
      </c>
      <c r="F134" s="314"/>
      <c r="G134" s="315">
        <v>0.1</v>
      </c>
      <c r="H134" s="316"/>
    </row>
    <row r="135" spans="1:8" ht="25.5" customHeight="1" x14ac:dyDescent="0.25">
      <c r="A135" s="318" t="s">
        <v>416</v>
      </c>
      <c r="B135" s="372"/>
      <c r="C135" s="320"/>
      <c r="D135" s="320"/>
      <c r="E135" s="321">
        <f>+(E136*G136)+(E142*G142)+(E149*G149)</f>
        <v>0.76500000000000012</v>
      </c>
      <c r="F135" s="322"/>
      <c r="G135" s="323">
        <v>1</v>
      </c>
      <c r="H135" s="324"/>
    </row>
    <row r="136" spans="1:8" ht="75" customHeight="1" x14ac:dyDescent="0.25">
      <c r="A136" s="354" t="s">
        <v>417</v>
      </c>
      <c r="B136" s="355"/>
      <c r="C136" s="356"/>
      <c r="D136" s="356"/>
      <c r="E136" s="357">
        <f>+SUMPRODUCT(E137:E141,G137:G141)</f>
        <v>0.9</v>
      </c>
      <c r="F136" s="358"/>
      <c r="G136" s="359">
        <v>0.3</v>
      </c>
      <c r="H136" s="360"/>
    </row>
    <row r="137" spans="1:8" ht="288" hidden="1" x14ac:dyDescent="0.25">
      <c r="A137" s="332" t="s">
        <v>418</v>
      </c>
      <c r="B137" s="363" t="s">
        <v>419</v>
      </c>
      <c r="C137" s="376">
        <v>4</v>
      </c>
      <c r="D137" s="335">
        <v>8</v>
      </c>
      <c r="E137" s="336">
        <f>IF(D137/C137&gt;=100%,100%,D137/C137)</f>
        <v>1</v>
      </c>
      <c r="F137" s="342" t="s">
        <v>1390</v>
      </c>
      <c r="G137" s="338">
        <v>0.2</v>
      </c>
      <c r="H137" s="1190" t="s">
        <v>420</v>
      </c>
    </row>
    <row r="138" spans="1:8" ht="270" hidden="1" x14ac:dyDescent="0.25">
      <c r="A138" s="332" t="s">
        <v>421</v>
      </c>
      <c r="B138" s="363" t="s">
        <v>422</v>
      </c>
      <c r="C138" s="376">
        <v>1</v>
      </c>
      <c r="D138" s="341">
        <v>3</v>
      </c>
      <c r="E138" s="336">
        <f>IF(D138/C138&gt;=100%,100%,D138/C138)</f>
        <v>1</v>
      </c>
      <c r="F138" s="342" t="s">
        <v>1399</v>
      </c>
      <c r="G138" s="338">
        <v>0.2</v>
      </c>
      <c r="H138" s="1191"/>
    </row>
    <row r="139" spans="1:8" ht="108" hidden="1" x14ac:dyDescent="0.25">
      <c r="A139" s="332" t="s">
        <v>423</v>
      </c>
      <c r="B139" s="363" t="s">
        <v>424</v>
      </c>
      <c r="C139" s="376">
        <v>2</v>
      </c>
      <c r="D139" s="335">
        <v>4</v>
      </c>
      <c r="E139" s="336">
        <f>IF(D139/C139&gt;=100%,100%,D139/C139)</f>
        <v>1</v>
      </c>
      <c r="F139" s="342" t="s">
        <v>1391</v>
      </c>
      <c r="G139" s="338">
        <v>0.2</v>
      </c>
      <c r="H139" s="1191"/>
    </row>
    <row r="140" spans="1:8" ht="90" hidden="1" x14ac:dyDescent="0.25">
      <c r="A140" s="332" t="s">
        <v>425</v>
      </c>
      <c r="B140" s="363" t="s">
        <v>426</v>
      </c>
      <c r="C140" s="376">
        <v>1</v>
      </c>
      <c r="D140" s="335">
        <v>2</v>
      </c>
      <c r="E140" s="336">
        <f>IF(D140/C140&gt;=100%,100%,D140/C140)</f>
        <v>1</v>
      </c>
      <c r="F140" s="342" t="s">
        <v>1392</v>
      </c>
      <c r="G140" s="338">
        <v>0.2</v>
      </c>
      <c r="H140" s="1191"/>
    </row>
    <row r="141" spans="1:8" ht="107.25" customHeight="1" x14ac:dyDescent="0.25">
      <c r="A141" s="332" t="s">
        <v>427</v>
      </c>
      <c r="B141" s="363" t="s">
        <v>428</v>
      </c>
      <c r="C141" s="377">
        <v>1</v>
      </c>
      <c r="D141" s="335">
        <v>50</v>
      </c>
      <c r="E141" s="336">
        <v>0.5</v>
      </c>
      <c r="F141" s="342" t="s">
        <v>429</v>
      </c>
      <c r="G141" s="338">
        <v>0.2</v>
      </c>
      <c r="H141" s="1191"/>
    </row>
    <row r="142" spans="1:8" ht="96" customHeight="1" x14ac:dyDescent="0.25">
      <c r="A142" s="354" t="s">
        <v>430</v>
      </c>
      <c r="B142" s="355"/>
      <c r="C142" s="356"/>
      <c r="D142" s="356"/>
      <c r="E142" s="357">
        <f>+SUMPRODUCT(E143:E148,G143:G148)</f>
        <v>0.75000000000000011</v>
      </c>
      <c r="F142" s="358"/>
      <c r="G142" s="359">
        <v>0.6</v>
      </c>
      <c r="H142" s="360"/>
    </row>
    <row r="143" spans="1:8" ht="72" hidden="1" x14ac:dyDescent="0.25">
      <c r="A143" s="340" t="s">
        <v>431</v>
      </c>
      <c r="B143" s="363" t="s">
        <v>432</v>
      </c>
      <c r="C143" s="376">
        <v>1</v>
      </c>
      <c r="D143" s="335">
        <v>0.5</v>
      </c>
      <c r="E143" s="336">
        <v>1</v>
      </c>
      <c r="F143" s="342" t="s">
        <v>1393</v>
      </c>
      <c r="G143" s="338">
        <v>0.2</v>
      </c>
      <c r="H143" s="1190" t="s">
        <v>420</v>
      </c>
    </row>
    <row r="144" spans="1:8" ht="90" hidden="1" x14ac:dyDescent="0.25">
      <c r="A144" s="340" t="s">
        <v>433</v>
      </c>
      <c r="B144" s="363" t="s">
        <v>434</v>
      </c>
      <c r="C144" s="376">
        <v>5</v>
      </c>
      <c r="D144" s="335">
        <v>4</v>
      </c>
      <c r="E144" s="336">
        <f>IF(D144/C144&gt;=100%,100%,D144/C144)</f>
        <v>0.8</v>
      </c>
      <c r="F144" s="342" t="s">
        <v>1394</v>
      </c>
      <c r="G144" s="338">
        <v>0.25</v>
      </c>
      <c r="H144" s="1191"/>
    </row>
    <row r="145" spans="1:8" ht="108" hidden="1" x14ac:dyDescent="0.25">
      <c r="A145" s="340" t="s">
        <v>435</v>
      </c>
      <c r="B145" s="363" t="s">
        <v>436</v>
      </c>
      <c r="C145" s="376"/>
      <c r="D145" s="335"/>
      <c r="E145" s="336"/>
      <c r="F145" s="342" t="s">
        <v>437</v>
      </c>
      <c r="G145" s="338">
        <v>0</v>
      </c>
      <c r="H145" s="1191"/>
    </row>
    <row r="146" spans="1:8" ht="162" hidden="1" x14ac:dyDescent="0.25">
      <c r="A146" s="332" t="s">
        <v>438</v>
      </c>
      <c r="B146" s="363" t="s">
        <v>439</v>
      </c>
      <c r="C146" s="376">
        <v>15</v>
      </c>
      <c r="D146" s="341">
        <v>16</v>
      </c>
      <c r="E146" s="336">
        <f>IF(D146/C146&gt;=100%,100%,D146/C146)</f>
        <v>1</v>
      </c>
      <c r="F146" s="342" t="s">
        <v>1395</v>
      </c>
      <c r="G146" s="338">
        <v>0.2</v>
      </c>
      <c r="H146" s="1191"/>
    </row>
    <row r="147" spans="1:8" ht="126" x14ac:dyDescent="0.25">
      <c r="A147" s="340" t="s">
        <v>440</v>
      </c>
      <c r="B147" s="363" t="s">
        <v>441</v>
      </c>
      <c r="C147" s="376">
        <v>100</v>
      </c>
      <c r="D147" s="335">
        <v>40</v>
      </c>
      <c r="E147" s="336">
        <f>IF(D147/C147&gt;=100%,100%,D147/C147)</f>
        <v>0.4</v>
      </c>
      <c r="F147" s="342" t="s">
        <v>1396</v>
      </c>
      <c r="G147" s="338">
        <v>0.25</v>
      </c>
      <c r="H147" s="1191"/>
    </row>
    <row r="148" spans="1:8" ht="90" customHeight="1" x14ac:dyDescent="0.25">
      <c r="A148" s="332" t="s">
        <v>442</v>
      </c>
      <c r="B148" s="363" t="s">
        <v>443</v>
      </c>
      <c r="C148" s="376">
        <v>100</v>
      </c>
      <c r="D148" s="335">
        <v>50</v>
      </c>
      <c r="E148" s="336">
        <f>IF(D148/C148&gt;=100%,100%,D148/C148)</f>
        <v>0.5</v>
      </c>
      <c r="F148" s="342" t="s">
        <v>1397</v>
      </c>
      <c r="G148" s="338">
        <v>0.1</v>
      </c>
      <c r="H148" s="1191"/>
    </row>
    <row r="149" spans="1:8" ht="74.25" customHeight="1" x14ac:dyDescent="0.25">
      <c r="A149" s="354" t="s">
        <v>444</v>
      </c>
      <c r="B149" s="355"/>
      <c r="C149" s="356"/>
      <c r="D149" s="356"/>
      <c r="E149" s="357">
        <f>+SUMPRODUCT(E150:E152,G150:G152)</f>
        <v>0.45</v>
      </c>
      <c r="F149" s="358"/>
      <c r="G149" s="359">
        <v>0.1</v>
      </c>
      <c r="H149" s="360"/>
    </row>
    <row r="150" spans="1:8" ht="102" hidden="1" customHeight="1" x14ac:dyDescent="0.25">
      <c r="A150" s="332" t="s">
        <v>445</v>
      </c>
      <c r="B150" s="363" t="s">
        <v>446</v>
      </c>
      <c r="C150" s="376"/>
      <c r="D150" s="335"/>
      <c r="E150" s="336"/>
      <c r="F150" s="342"/>
      <c r="G150" s="338">
        <v>0</v>
      </c>
      <c r="H150" s="1190" t="s">
        <v>420</v>
      </c>
    </row>
    <row r="151" spans="1:8" ht="36" hidden="1" x14ac:dyDescent="0.25">
      <c r="A151" s="332" t="s">
        <v>447</v>
      </c>
      <c r="B151" s="363" t="s">
        <v>448</v>
      </c>
      <c r="C151" s="376"/>
      <c r="D151" s="335"/>
      <c r="E151" s="336"/>
      <c r="F151" s="342"/>
      <c r="G151" s="338">
        <v>0</v>
      </c>
      <c r="H151" s="1191"/>
    </row>
    <row r="152" spans="1:8" ht="113.25" customHeight="1" x14ac:dyDescent="0.25">
      <c r="A152" s="332" t="s">
        <v>449</v>
      </c>
      <c r="B152" s="363" t="s">
        <v>450</v>
      </c>
      <c r="C152" s="377">
        <v>1</v>
      </c>
      <c r="D152" s="352">
        <v>0.45</v>
      </c>
      <c r="E152" s="336">
        <f>IF(D152/C152&gt;=100%,100%,D152/C152)</f>
        <v>0.45</v>
      </c>
      <c r="F152" s="342" t="s">
        <v>1398</v>
      </c>
      <c r="G152" s="338">
        <v>1</v>
      </c>
      <c r="H152" s="1191"/>
    </row>
    <row r="153" spans="1:8" ht="51" customHeight="1" x14ac:dyDescent="0.25">
      <c r="A153" s="310" t="s">
        <v>451</v>
      </c>
      <c r="B153" s="392"/>
      <c r="C153" s="312"/>
      <c r="D153" s="312"/>
      <c r="E153" s="313">
        <f>+(E154*G154)+(E204*G204)</f>
        <v>0.76621699122807019</v>
      </c>
      <c r="F153" s="314"/>
      <c r="G153" s="315">
        <v>0.2</v>
      </c>
      <c r="H153" s="316"/>
    </row>
    <row r="154" spans="1:8" ht="53.25" customHeight="1" x14ac:dyDescent="0.25">
      <c r="A154" s="318" t="s">
        <v>452</v>
      </c>
      <c r="B154" s="372"/>
      <c r="C154" s="320"/>
      <c r="D154" s="320"/>
      <c r="E154" s="321">
        <f>+(E155*G155)+(E168*G168)+(E179*G179)+(E187*G187)+(E195*G195)+(E199*G199)</f>
        <v>0.69493398245614035</v>
      </c>
      <c r="F154" s="322"/>
      <c r="G154" s="323">
        <v>0.5</v>
      </c>
      <c r="H154" s="324"/>
    </row>
    <row r="155" spans="1:8" ht="58.5" customHeight="1" x14ac:dyDescent="0.25">
      <c r="A155" s="354" t="s">
        <v>453</v>
      </c>
      <c r="B155" s="355"/>
      <c r="C155" s="356"/>
      <c r="D155" s="356"/>
      <c r="E155" s="357">
        <f>+SUMPRODUCT(E156:E167,G156:G167)</f>
        <v>0.8238649122807018</v>
      </c>
      <c r="F155" s="358"/>
      <c r="G155" s="359">
        <v>0.2</v>
      </c>
      <c r="H155" s="360"/>
    </row>
    <row r="156" spans="1:8" ht="180" hidden="1" x14ac:dyDescent="0.25">
      <c r="A156" s="340" t="s">
        <v>454</v>
      </c>
      <c r="B156" s="333" t="s">
        <v>455</v>
      </c>
      <c r="C156" s="376">
        <v>1</v>
      </c>
      <c r="D156" s="335">
        <v>4</v>
      </c>
      <c r="E156" s="336">
        <f t="shared" ref="E156:E161" si="2">IF(D156/C156&gt;=100%,100%,D156/C156)</f>
        <v>1</v>
      </c>
      <c r="F156" s="342" t="s">
        <v>1389</v>
      </c>
      <c r="G156" s="338">
        <v>0.3</v>
      </c>
      <c r="H156" s="366" t="s">
        <v>456</v>
      </c>
    </row>
    <row r="157" spans="1:8" ht="54" hidden="1" x14ac:dyDescent="0.25">
      <c r="A157" s="332" t="s">
        <v>457</v>
      </c>
      <c r="B157" s="333" t="s">
        <v>458</v>
      </c>
      <c r="C157" s="377">
        <v>1</v>
      </c>
      <c r="D157" s="352">
        <v>1</v>
      </c>
      <c r="E157" s="336">
        <f t="shared" si="2"/>
        <v>1</v>
      </c>
      <c r="F157" s="342" t="s">
        <v>459</v>
      </c>
      <c r="G157" s="338">
        <v>0.3</v>
      </c>
      <c r="H157" s="1190" t="s">
        <v>460</v>
      </c>
    </row>
    <row r="158" spans="1:8" ht="60" hidden="1" customHeight="1" x14ac:dyDescent="0.25">
      <c r="A158" s="332" t="s">
        <v>461</v>
      </c>
      <c r="B158" s="333" t="s">
        <v>462</v>
      </c>
      <c r="C158" s="377">
        <v>1</v>
      </c>
      <c r="D158" s="352">
        <v>0.51</v>
      </c>
      <c r="E158" s="336">
        <f t="shared" si="2"/>
        <v>0.51</v>
      </c>
      <c r="F158" s="342" t="s">
        <v>1388</v>
      </c>
      <c r="G158" s="338">
        <v>0.1</v>
      </c>
      <c r="H158" s="1191"/>
    </row>
    <row r="159" spans="1:8" ht="108" hidden="1" x14ac:dyDescent="0.25">
      <c r="A159" s="332" t="s">
        <v>463</v>
      </c>
      <c r="B159" s="333" t="s">
        <v>464</v>
      </c>
      <c r="C159" s="377">
        <v>1</v>
      </c>
      <c r="D159" s="352">
        <v>1</v>
      </c>
      <c r="E159" s="336">
        <f t="shared" si="2"/>
        <v>1</v>
      </c>
      <c r="F159" s="342" t="s">
        <v>465</v>
      </c>
      <c r="G159" s="338">
        <v>0.1</v>
      </c>
      <c r="H159" s="1191"/>
    </row>
    <row r="160" spans="1:8" ht="58.5" hidden="1" customHeight="1" x14ac:dyDescent="0.25">
      <c r="A160" s="370" t="s">
        <v>466</v>
      </c>
      <c r="B160" s="333" t="s">
        <v>467</v>
      </c>
      <c r="C160" s="377">
        <v>0.95</v>
      </c>
      <c r="D160" s="393">
        <v>0.38100000000000001</v>
      </c>
      <c r="E160" s="394">
        <f t="shared" si="2"/>
        <v>0.40105263157894738</v>
      </c>
      <c r="F160" s="342" t="s">
        <v>1450</v>
      </c>
      <c r="G160" s="338">
        <v>0.03</v>
      </c>
      <c r="H160" s="1191"/>
    </row>
    <row r="161" spans="1:8" ht="54" hidden="1" x14ac:dyDescent="0.25">
      <c r="A161" s="370" t="s">
        <v>468</v>
      </c>
      <c r="B161" s="333" t="s">
        <v>469</v>
      </c>
      <c r="C161" s="377">
        <v>1</v>
      </c>
      <c r="D161" s="352">
        <v>1</v>
      </c>
      <c r="E161" s="336">
        <f t="shared" si="2"/>
        <v>1</v>
      </c>
      <c r="F161" s="342" t="s">
        <v>714</v>
      </c>
      <c r="G161" s="338">
        <v>0.02</v>
      </c>
      <c r="H161" s="1190" t="s">
        <v>470</v>
      </c>
    </row>
    <row r="162" spans="1:8" ht="36" hidden="1" x14ac:dyDescent="0.25">
      <c r="A162" s="370" t="s">
        <v>471</v>
      </c>
      <c r="B162" s="333" t="s">
        <v>472</v>
      </c>
      <c r="C162" s="395"/>
      <c r="D162" s="396"/>
      <c r="E162" s="336"/>
      <c r="F162" s="342" t="s">
        <v>473</v>
      </c>
      <c r="G162" s="338">
        <v>0.03</v>
      </c>
      <c r="H162" s="1191"/>
    </row>
    <row r="163" spans="1:8" ht="36" hidden="1" x14ac:dyDescent="0.25">
      <c r="A163" s="370" t="s">
        <v>474</v>
      </c>
      <c r="B163" s="333" t="s">
        <v>475</v>
      </c>
      <c r="C163" s="376"/>
      <c r="D163" s="335"/>
      <c r="E163" s="336"/>
      <c r="F163" s="342" t="s">
        <v>476</v>
      </c>
      <c r="G163" s="397">
        <v>0.02</v>
      </c>
      <c r="H163" s="1191"/>
    </row>
    <row r="164" spans="1:8" ht="36" hidden="1" x14ac:dyDescent="0.25">
      <c r="A164" s="370" t="s">
        <v>477</v>
      </c>
      <c r="B164" s="333" t="s">
        <v>478</v>
      </c>
      <c r="C164" s="376"/>
      <c r="D164" s="335"/>
      <c r="E164" s="398"/>
      <c r="F164" s="342"/>
      <c r="G164" s="397">
        <v>0</v>
      </c>
      <c r="H164" s="1191"/>
    </row>
    <row r="165" spans="1:8" ht="54" hidden="1" x14ac:dyDescent="0.25">
      <c r="A165" s="370" t="s">
        <v>479</v>
      </c>
      <c r="B165" s="379" t="s">
        <v>480</v>
      </c>
      <c r="C165" s="395"/>
      <c r="D165" s="335"/>
      <c r="E165" s="398"/>
      <c r="F165" s="342" t="s">
        <v>481</v>
      </c>
      <c r="G165" s="338">
        <v>0</v>
      </c>
      <c r="H165" s="399"/>
    </row>
    <row r="166" spans="1:8" ht="126" hidden="1" x14ac:dyDescent="0.25">
      <c r="A166" s="370" t="s">
        <v>482</v>
      </c>
      <c r="B166" s="379" t="s">
        <v>483</v>
      </c>
      <c r="C166" s="400">
        <v>0.2</v>
      </c>
      <c r="D166" s="352">
        <v>0.14000000000000001</v>
      </c>
      <c r="E166" s="336">
        <f>IF(D166/C166&gt;=100%,100%,D166/C166)</f>
        <v>0.70000000000000007</v>
      </c>
      <c r="F166" s="342" t="s">
        <v>1432</v>
      </c>
      <c r="G166" s="338">
        <v>0.05</v>
      </c>
      <c r="H166" s="1190" t="s">
        <v>484</v>
      </c>
    </row>
    <row r="167" spans="1:8" ht="72" x14ac:dyDescent="0.25">
      <c r="A167" s="367" t="s">
        <v>485</v>
      </c>
      <c r="B167" s="379" t="s">
        <v>486</v>
      </c>
      <c r="C167" s="400">
        <v>0.6</v>
      </c>
      <c r="D167" s="401">
        <v>7.0000000000000007E-2</v>
      </c>
      <c r="E167" s="336">
        <f>IF(D167/C167&gt;=100%,100%,D167/C167)</f>
        <v>0.11666666666666668</v>
      </c>
      <c r="F167" s="342" t="s">
        <v>1433</v>
      </c>
      <c r="G167" s="338">
        <v>0.05</v>
      </c>
      <c r="H167" s="1191"/>
    </row>
    <row r="168" spans="1:8" ht="67.5" hidden="1" customHeight="1" x14ac:dyDescent="0.25">
      <c r="A168" s="354" t="s">
        <v>487</v>
      </c>
      <c r="B168" s="355"/>
      <c r="C168" s="356"/>
      <c r="D168" s="356"/>
      <c r="E168" s="388">
        <f>+SUMPRODUCT(E169:E178,G169:G178)</f>
        <v>0.54500000000000004</v>
      </c>
      <c r="F168" s="358"/>
      <c r="G168" s="359">
        <v>0.2</v>
      </c>
      <c r="H168" s="360"/>
    </row>
    <row r="169" spans="1:8" ht="36" hidden="1" x14ac:dyDescent="0.25">
      <c r="A169" s="340" t="s">
        <v>488</v>
      </c>
      <c r="B169" s="379" t="s">
        <v>489</v>
      </c>
      <c r="C169" s="377"/>
      <c r="D169" s="352"/>
      <c r="E169" s="336"/>
      <c r="F169" s="342"/>
      <c r="G169" s="338">
        <v>0</v>
      </c>
      <c r="H169" s="1190" t="s">
        <v>470</v>
      </c>
    </row>
    <row r="170" spans="1:8" ht="72" hidden="1" x14ac:dyDescent="0.25">
      <c r="A170" s="340" t="s">
        <v>490</v>
      </c>
      <c r="B170" s="379" t="s">
        <v>491</v>
      </c>
      <c r="C170" s="376">
        <v>1</v>
      </c>
      <c r="D170" s="335">
        <v>1</v>
      </c>
      <c r="E170" s="336">
        <f t="shared" ref="E170:E176" si="3">IF(D170/C170&gt;=100%,100%,D170/C170)</f>
        <v>1</v>
      </c>
      <c r="F170" s="342" t="s">
        <v>1387</v>
      </c>
      <c r="G170" s="338">
        <v>0.1</v>
      </c>
      <c r="H170" s="1191"/>
    </row>
    <row r="171" spans="1:8" ht="90" hidden="1" x14ac:dyDescent="0.25">
      <c r="A171" s="332" t="s">
        <v>492</v>
      </c>
      <c r="B171" s="379" t="s">
        <v>493</v>
      </c>
      <c r="C171" s="376">
        <v>1</v>
      </c>
      <c r="D171" s="335">
        <v>1</v>
      </c>
      <c r="E171" s="336">
        <f t="shared" si="3"/>
        <v>1</v>
      </c>
      <c r="F171" s="342" t="s">
        <v>494</v>
      </c>
      <c r="G171" s="338">
        <v>0.15</v>
      </c>
      <c r="H171" s="366" t="s">
        <v>470</v>
      </c>
    </row>
    <row r="172" spans="1:8" ht="66.75" hidden="1" customHeight="1" x14ac:dyDescent="0.25">
      <c r="A172" s="340" t="s">
        <v>495</v>
      </c>
      <c r="B172" s="379" t="s">
        <v>496</v>
      </c>
      <c r="C172" s="376">
        <v>1</v>
      </c>
      <c r="D172" s="335">
        <v>0</v>
      </c>
      <c r="E172" s="336">
        <f t="shared" si="3"/>
        <v>0</v>
      </c>
      <c r="F172" s="342" t="s">
        <v>1373</v>
      </c>
      <c r="G172" s="338">
        <v>0.15</v>
      </c>
      <c r="H172" s="1190" t="s">
        <v>460</v>
      </c>
    </row>
    <row r="173" spans="1:8" ht="89.25" hidden="1" customHeight="1" x14ac:dyDescent="0.25">
      <c r="A173" s="340" t="s">
        <v>497</v>
      </c>
      <c r="B173" s="379" t="s">
        <v>498</v>
      </c>
      <c r="C173" s="376">
        <v>1</v>
      </c>
      <c r="D173" s="335">
        <v>0</v>
      </c>
      <c r="E173" s="336">
        <f t="shared" si="3"/>
        <v>0</v>
      </c>
      <c r="F173" s="342" t="s">
        <v>1373</v>
      </c>
      <c r="G173" s="338">
        <v>0.15</v>
      </c>
      <c r="H173" s="1191"/>
    </row>
    <row r="174" spans="1:8" ht="342" hidden="1" x14ac:dyDescent="0.25">
      <c r="A174" s="332" t="s">
        <v>499</v>
      </c>
      <c r="B174" s="379" t="s">
        <v>500</v>
      </c>
      <c r="C174" s="376">
        <v>100</v>
      </c>
      <c r="D174" s="335">
        <v>55</v>
      </c>
      <c r="E174" s="336">
        <f t="shared" si="3"/>
        <v>0.55000000000000004</v>
      </c>
      <c r="F174" s="342" t="s">
        <v>1420</v>
      </c>
      <c r="G174" s="338">
        <v>0.1</v>
      </c>
      <c r="H174" s="1191"/>
    </row>
    <row r="175" spans="1:8" ht="108" hidden="1" x14ac:dyDescent="0.25">
      <c r="A175" s="340" t="s">
        <v>501</v>
      </c>
      <c r="B175" s="379" t="s">
        <v>502</v>
      </c>
      <c r="C175" s="376">
        <v>100</v>
      </c>
      <c r="D175" s="335">
        <v>100</v>
      </c>
      <c r="E175" s="336">
        <f t="shared" si="3"/>
        <v>1</v>
      </c>
      <c r="F175" s="342" t="s">
        <v>503</v>
      </c>
      <c r="G175" s="338">
        <v>0.1</v>
      </c>
      <c r="H175" s="1191"/>
    </row>
    <row r="176" spans="1:8" ht="180" hidden="1" x14ac:dyDescent="0.25">
      <c r="A176" s="370" t="s">
        <v>504</v>
      </c>
      <c r="B176" s="379" t="s">
        <v>505</v>
      </c>
      <c r="C176" s="376">
        <v>100</v>
      </c>
      <c r="D176" s="341">
        <v>70</v>
      </c>
      <c r="E176" s="336">
        <f t="shared" si="3"/>
        <v>0.7</v>
      </c>
      <c r="F176" s="342" t="s">
        <v>1428</v>
      </c>
      <c r="G176" s="338">
        <v>0.1</v>
      </c>
      <c r="H176" s="366"/>
    </row>
    <row r="177" spans="1:8" ht="144" hidden="1" x14ac:dyDescent="0.25">
      <c r="A177" s="332" t="s">
        <v>506</v>
      </c>
      <c r="B177" s="379" t="s">
        <v>507</v>
      </c>
      <c r="C177" s="376">
        <v>100</v>
      </c>
      <c r="D177" s="341">
        <v>70</v>
      </c>
      <c r="E177" s="398">
        <v>0.7</v>
      </c>
      <c r="F177" s="342" t="s">
        <v>1386</v>
      </c>
      <c r="G177" s="338">
        <v>0.1</v>
      </c>
      <c r="H177" s="366" t="s">
        <v>508</v>
      </c>
    </row>
    <row r="178" spans="1:8" ht="54.75" hidden="1" customHeight="1" x14ac:dyDescent="0.25">
      <c r="A178" s="332" t="s">
        <v>509</v>
      </c>
      <c r="B178" s="379" t="s">
        <v>510</v>
      </c>
      <c r="C178" s="376">
        <v>50</v>
      </c>
      <c r="D178" s="341">
        <v>0</v>
      </c>
      <c r="E178" s="336">
        <f>IF(D178/C178&gt;=100%,100%,D178/C178)</f>
        <v>0</v>
      </c>
      <c r="F178" s="342" t="s">
        <v>511</v>
      </c>
      <c r="G178" s="338">
        <v>0.05</v>
      </c>
      <c r="H178" s="366" t="s">
        <v>460</v>
      </c>
    </row>
    <row r="179" spans="1:8" ht="36" hidden="1" x14ac:dyDescent="0.25">
      <c r="A179" s="354" t="s">
        <v>512</v>
      </c>
      <c r="B179" s="355"/>
      <c r="C179" s="356"/>
      <c r="D179" s="356"/>
      <c r="E179" s="357">
        <f>+SUMPRODUCT(E180:E186,G180:G186)</f>
        <v>0.89839999999999998</v>
      </c>
      <c r="F179" s="358"/>
      <c r="G179" s="359">
        <v>0.2</v>
      </c>
      <c r="H179" s="360"/>
    </row>
    <row r="180" spans="1:8" ht="72" hidden="1" x14ac:dyDescent="0.25">
      <c r="A180" s="332" t="s">
        <v>513</v>
      </c>
      <c r="B180" s="333" t="s">
        <v>514</v>
      </c>
      <c r="C180" s="376">
        <v>1</v>
      </c>
      <c r="D180" s="341">
        <v>1</v>
      </c>
      <c r="E180" s="336">
        <f>IF(D180/C180&gt;=100%,100%,D180/C180)</f>
        <v>1</v>
      </c>
      <c r="F180" s="342" t="s">
        <v>515</v>
      </c>
      <c r="G180" s="338">
        <v>0.3</v>
      </c>
      <c r="H180" s="1190" t="s">
        <v>516</v>
      </c>
    </row>
    <row r="181" spans="1:8" ht="54" hidden="1" x14ac:dyDescent="0.25">
      <c r="A181" s="332" t="s">
        <v>517</v>
      </c>
      <c r="B181" s="333" t="s">
        <v>518</v>
      </c>
      <c r="C181" s="377">
        <v>1</v>
      </c>
      <c r="D181" s="371">
        <v>84.2</v>
      </c>
      <c r="E181" s="336">
        <v>0.84199999999999997</v>
      </c>
      <c r="F181" s="342" t="s">
        <v>1358</v>
      </c>
      <c r="G181" s="338">
        <v>0.2</v>
      </c>
      <c r="H181" s="1191"/>
    </row>
    <row r="182" spans="1:8" ht="252" hidden="1" x14ac:dyDescent="0.25">
      <c r="A182" s="332" t="s">
        <v>519</v>
      </c>
      <c r="B182" s="333" t="s">
        <v>520</v>
      </c>
      <c r="C182" s="377">
        <v>1</v>
      </c>
      <c r="D182" s="341">
        <v>100</v>
      </c>
      <c r="E182" s="336">
        <f>IF(D182/C182&gt;=100%,100%,D182/C182)</f>
        <v>1</v>
      </c>
      <c r="F182" s="342" t="s">
        <v>1359</v>
      </c>
      <c r="G182" s="338">
        <v>0.15</v>
      </c>
      <c r="H182" s="1191"/>
    </row>
    <row r="183" spans="1:8" ht="162" hidden="1" x14ac:dyDescent="0.25">
      <c r="A183" s="332" t="s">
        <v>521</v>
      </c>
      <c r="B183" s="333" t="s">
        <v>522</v>
      </c>
      <c r="C183" s="377">
        <v>1</v>
      </c>
      <c r="D183" s="341">
        <v>80</v>
      </c>
      <c r="E183" s="398">
        <v>0.8</v>
      </c>
      <c r="F183" s="342" t="s">
        <v>1427</v>
      </c>
      <c r="G183" s="338">
        <v>0.2</v>
      </c>
      <c r="H183" s="1191"/>
    </row>
    <row r="184" spans="1:8" ht="54" hidden="1" x14ac:dyDescent="0.25">
      <c r="A184" s="332" t="s">
        <v>523</v>
      </c>
      <c r="B184" s="333" t="s">
        <v>524</v>
      </c>
      <c r="C184" s="376">
        <v>1</v>
      </c>
      <c r="D184" s="341">
        <v>1</v>
      </c>
      <c r="E184" s="398">
        <f>IF(D184/C184&gt;=100%,100%,D184/C184)</f>
        <v>1</v>
      </c>
      <c r="F184" s="342" t="s">
        <v>1434</v>
      </c>
      <c r="G184" s="338">
        <v>0.05</v>
      </c>
      <c r="H184" s="1191"/>
    </row>
    <row r="185" spans="1:8" ht="72" hidden="1" x14ac:dyDescent="0.25">
      <c r="A185" s="332" t="s">
        <v>525</v>
      </c>
      <c r="B185" s="333" t="s">
        <v>526</v>
      </c>
      <c r="C185" s="376">
        <v>1</v>
      </c>
      <c r="D185" s="371">
        <v>0.7</v>
      </c>
      <c r="E185" s="398">
        <f>IF(D185/C185&gt;=100%,100%,D185/C185)</f>
        <v>0.7</v>
      </c>
      <c r="F185" s="342" t="s">
        <v>1426</v>
      </c>
      <c r="G185" s="338">
        <v>0.1</v>
      </c>
      <c r="H185" s="1191"/>
    </row>
    <row r="186" spans="1:8" ht="36" hidden="1" x14ac:dyDescent="0.25">
      <c r="A186" s="367" t="s">
        <v>527</v>
      </c>
      <c r="B186" s="333" t="s">
        <v>528</v>
      </c>
      <c r="C186" s="376"/>
      <c r="D186" s="391"/>
      <c r="E186" s="336"/>
      <c r="F186" s="342"/>
      <c r="G186" s="338">
        <v>0</v>
      </c>
      <c r="H186" s="366" t="s">
        <v>529</v>
      </c>
    </row>
    <row r="187" spans="1:8" ht="93.75" customHeight="1" x14ac:dyDescent="0.25">
      <c r="A187" s="354" t="s">
        <v>530</v>
      </c>
      <c r="B187" s="355"/>
      <c r="C187" s="356"/>
      <c r="D187" s="356"/>
      <c r="E187" s="357">
        <f>+SUMPRODUCT(E188:E194,G188:G194)</f>
        <v>0.7</v>
      </c>
      <c r="F187" s="358"/>
      <c r="G187" s="359">
        <v>0.15</v>
      </c>
      <c r="H187" s="360"/>
    </row>
    <row r="188" spans="1:8" ht="252" hidden="1" x14ac:dyDescent="0.25">
      <c r="A188" s="332" t="s">
        <v>531</v>
      </c>
      <c r="B188" s="333" t="s">
        <v>532</v>
      </c>
      <c r="C188" s="376">
        <v>1</v>
      </c>
      <c r="D188" s="335">
        <v>2</v>
      </c>
      <c r="E188" s="336">
        <f>IF(D188/C188&gt;=100%,100%,D188/C188)</f>
        <v>1</v>
      </c>
      <c r="F188" s="342" t="s">
        <v>1400</v>
      </c>
      <c r="G188" s="338">
        <v>0.1</v>
      </c>
      <c r="H188" s="1190" t="s">
        <v>533</v>
      </c>
    </row>
    <row r="189" spans="1:8" ht="36" hidden="1" x14ac:dyDescent="0.25">
      <c r="A189" s="332" t="s">
        <v>534</v>
      </c>
      <c r="B189" s="333" t="s">
        <v>535</v>
      </c>
      <c r="C189" s="376"/>
      <c r="D189" s="335"/>
      <c r="E189" s="336"/>
      <c r="F189" s="342"/>
      <c r="G189" s="338">
        <v>0</v>
      </c>
      <c r="H189" s="1191"/>
    </row>
    <row r="190" spans="1:8" ht="144" hidden="1" x14ac:dyDescent="0.25">
      <c r="A190" s="332" t="s">
        <v>536</v>
      </c>
      <c r="B190" s="333" t="s">
        <v>537</v>
      </c>
      <c r="C190" s="376">
        <v>1</v>
      </c>
      <c r="D190" s="335">
        <v>1</v>
      </c>
      <c r="E190" s="336">
        <f>IF(D190/C190&gt;=100%,100%,D190/C190)</f>
        <v>1</v>
      </c>
      <c r="F190" s="342" t="s">
        <v>1401</v>
      </c>
      <c r="G190" s="338">
        <v>0.25</v>
      </c>
      <c r="H190" s="1191"/>
    </row>
    <row r="191" spans="1:8" ht="76.5" hidden="1" customHeight="1" x14ac:dyDescent="0.25">
      <c r="A191" s="332" t="s">
        <v>538</v>
      </c>
      <c r="B191" s="333" t="s">
        <v>539</v>
      </c>
      <c r="C191" s="376"/>
      <c r="D191" s="335"/>
      <c r="E191" s="336"/>
      <c r="F191" s="342"/>
      <c r="G191" s="338">
        <v>0</v>
      </c>
      <c r="H191" s="1191"/>
    </row>
    <row r="192" spans="1:8" ht="409.5" hidden="1" x14ac:dyDescent="0.25">
      <c r="A192" s="332" t="s">
        <v>540</v>
      </c>
      <c r="B192" s="333" t="s">
        <v>541</v>
      </c>
      <c r="C192" s="377">
        <v>0.3</v>
      </c>
      <c r="D192" s="402">
        <v>0.2</v>
      </c>
      <c r="E192" s="336">
        <f>IF(D192/C192&gt;=100%,100%,D192/C192)</f>
        <v>0.66666666666666674</v>
      </c>
      <c r="F192" s="342" t="s">
        <v>1402</v>
      </c>
      <c r="G192" s="338">
        <v>0.15</v>
      </c>
      <c r="H192" s="1191"/>
    </row>
    <row r="193" spans="1:8" ht="2.25" hidden="1" customHeight="1" x14ac:dyDescent="0.25">
      <c r="A193" s="332" t="s">
        <v>542</v>
      </c>
      <c r="B193" s="333" t="s">
        <v>543</v>
      </c>
      <c r="C193" s="376">
        <v>1</v>
      </c>
      <c r="D193" s="381">
        <v>1</v>
      </c>
      <c r="E193" s="336">
        <f>IF(D193/C193&gt;=100%,100%,D193/C193)</f>
        <v>1</v>
      </c>
      <c r="F193" s="342" t="s">
        <v>1403</v>
      </c>
      <c r="G193" s="338">
        <v>0.25</v>
      </c>
      <c r="H193" s="1191"/>
    </row>
    <row r="194" spans="1:8" ht="93.75" customHeight="1" x14ac:dyDescent="0.25">
      <c r="A194" s="332" t="s">
        <v>545</v>
      </c>
      <c r="B194" s="333" t="s">
        <v>546</v>
      </c>
      <c r="C194" s="376">
        <v>1</v>
      </c>
      <c r="D194" s="381">
        <v>0</v>
      </c>
      <c r="E194" s="336">
        <f>IF(D194/C194&gt;=100%,100%,D194/C194)</f>
        <v>0</v>
      </c>
      <c r="F194" s="342" t="s">
        <v>1404</v>
      </c>
      <c r="G194" s="338">
        <v>0.25</v>
      </c>
      <c r="H194" s="1191"/>
    </row>
    <row r="195" spans="1:8" ht="73.5" customHeight="1" x14ac:dyDescent="0.25">
      <c r="A195" s="354" t="s">
        <v>548</v>
      </c>
      <c r="B195" s="355"/>
      <c r="C195" s="356"/>
      <c r="D195" s="356"/>
      <c r="E195" s="357">
        <f>+SUMPRODUCT(E196:E198,G196:G198)</f>
        <v>0.5</v>
      </c>
      <c r="F195" s="358"/>
      <c r="G195" s="359">
        <v>0.15</v>
      </c>
      <c r="H195" s="360"/>
    </row>
    <row r="196" spans="1:8" ht="102" hidden="1" customHeight="1" x14ac:dyDescent="0.25">
      <c r="A196" s="332" t="s">
        <v>549</v>
      </c>
      <c r="B196" s="333" t="s">
        <v>550</v>
      </c>
      <c r="C196" s="376"/>
      <c r="D196" s="335"/>
      <c r="E196" s="336"/>
      <c r="F196" s="342"/>
      <c r="G196" s="338">
        <v>0</v>
      </c>
      <c r="H196" s="1190" t="s">
        <v>551</v>
      </c>
    </row>
    <row r="197" spans="1:8" ht="254.25" customHeight="1" x14ac:dyDescent="0.25">
      <c r="A197" s="332" t="s">
        <v>552</v>
      </c>
      <c r="B197" s="333" t="s">
        <v>553</v>
      </c>
      <c r="C197" s="376">
        <v>1</v>
      </c>
      <c r="D197" s="335">
        <v>0</v>
      </c>
      <c r="E197" s="336">
        <f>IF(D197/C197&gt;=100%,100%,D197/C197)</f>
        <v>0</v>
      </c>
      <c r="F197" s="337" t="s">
        <v>1405</v>
      </c>
      <c r="G197" s="338">
        <v>0.5</v>
      </c>
      <c r="H197" s="1191"/>
    </row>
    <row r="198" spans="1:8" ht="216" hidden="1" x14ac:dyDescent="0.25">
      <c r="A198" s="332" t="s">
        <v>554</v>
      </c>
      <c r="B198" s="333" t="s">
        <v>555</v>
      </c>
      <c r="C198" s="376">
        <v>1</v>
      </c>
      <c r="D198" s="335">
        <v>4</v>
      </c>
      <c r="E198" s="336">
        <f>IF(D198/C198&gt;=100%,100%,D198/C198)</f>
        <v>1</v>
      </c>
      <c r="F198" s="342" t="s">
        <v>556</v>
      </c>
      <c r="G198" s="338">
        <v>0.5</v>
      </c>
      <c r="H198" s="1191"/>
    </row>
    <row r="199" spans="1:8" s="404" customFormat="1" ht="60.75" hidden="1" customHeight="1" x14ac:dyDescent="0.25">
      <c r="A199" s="354" t="s">
        <v>557</v>
      </c>
      <c r="B199" s="355"/>
      <c r="C199" s="356"/>
      <c r="D199" s="356"/>
      <c r="E199" s="357">
        <f>+SUMPRODUCT(E200:E203,G200:G203)</f>
        <v>0.61480999999999997</v>
      </c>
      <c r="F199" s="403"/>
      <c r="G199" s="359">
        <v>0.1</v>
      </c>
      <c r="H199" s="360"/>
    </row>
    <row r="200" spans="1:8" ht="105.75" hidden="1" customHeight="1" x14ac:dyDescent="0.25">
      <c r="A200" s="367" t="s">
        <v>558</v>
      </c>
      <c r="B200" s="333" t="s">
        <v>559</v>
      </c>
      <c r="C200" s="377">
        <v>1</v>
      </c>
      <c r="D200" s="352">
        <v>0.41789999999999999</v>
      </c>
      <c r="E200" s="352">
        <f>IF(D200/C200&gt;=100%,100%,D200/C200)</f>
        <v>0.41789999999999999</v>
      </c>
      <c r="F200" s="337" t="s">
        <v>560</v>
      </c>
      <c r="G200" s="338">
        <v>0.3</v>
      </c>
      <c r="H200" s="1190" t="s">
        <v>561</v>
      </c>
    </row>
    <row r="201" spans="1:8" ht="54" hidden="1" x14ac:dyDescent="0.25">
      <c r="A201" s="332" t="s">
        <v>562</v>
      </c>
      <c r="B201" s="333" t="s">
        <v>563</v>
      </c>
      <c r="C201" s="377">
        <v>1</v>
      </c>
      <c r="D201" s="401">
        <v>0.7</v>
      </c>
      <c r="E201" s="336">
        <f>IF(D201/C201&gt;=100%,100%,D201/C201)</f>
        <v>0.7</v>
      </c>
      <c r="F201" s="342" t="s">
        <v>564</v>
      </c>
      <c r="G201" s="338">
        <v>0.3</v>
      </c>
      <c r="H201" s="1191"/>
    </row>
    <row r="202" spans="1:8" ht="54" hidden="1" x14ac:dyDescent="0.25">
      <c r="A202" s="332" t="s">
        <v>565</v>
      </c>
      <c r="B202" s="333" t="s">
        <v>566</v>
      </c>
      <c r="C202" s="377">
        <v>1</v>
      </c>
      <c r="D202" s="352">
        <v>0.59719999999999995</v>
      </c>
      <c r="E202" s="352">
        <f>IF(D202/C202&gt;=100%,100%,D202/C202)</f>
        <v>0.59719999999999995</v>
      </c>
      <c r="F202" s="342" t="s">
        <v>567</v>
      </c>
      <c r="G202" s="338">
        <v>0.2</v>
      </c>
      <c r="H202" s="1191"/>
    </row>
    <row r="203" spans="1:8" ht="198" hidden="1" x14ac:dyDescent="0.25">
      <c r="A203" s="332" t="s">
        <v>568</v>
      </c>
      <c r="B203" s="333" t="s">
        <v>569</v>
      </c>
      <c r="C203" s="377">
        <v>0.4</v>
      </c>
      <c r="D203" s="352">
        <v>0.32</v>
      </c>
      <c r="E203" s="336">
        <f>IF(D203/C203&gt;=100%,100%,D203/C203)</f>
        <v>0.79999999999999993</v>
      </c>
      <c r="F203" s="342" t="s">
        <v>1421</v>
      </c>
      <c r="G203" s="338">
        <v>0.2</v>
      </c>
      <c r="H203" s="1191"/>
    </row>
    <row r="204" spans="1:8" ht="44.25" customHeight="1" x14ac:dyDescent="0.25">
      <c r="A204" s="318" t="s">
        <v>570</v>
      </c>
      <c r="B204" s="372"/>
      <c r="C204" s="320"/>
      <c r="D204" s="320"/>
      <c r="E204" s="373">
        <f>+(E205*G205)+(E212*G212)</f>
        <v>0.83750000000000002</v>
      </c>
      <c r="F204" s="322"/>
      <c r="G204" s="323">
        <v>0.5</v>
      </c>
      <c r="H204" s="316"/>
    </row>
    <row r="205" spans="1:8" ht="55.5" customHeight="1" x14ac:dyDescent="0.25">
      <c r="A205" s="354" t="s">
        <v>571</v>
      </c>
      <c r="B205" s="355"/>
      <c r="C205" s="356"/>
      <c r="D205" s="356"/>
      <c r="E205" s="357">
        <f>+SUMPRODUCT(E206:E211,G206:G211)</f>
        <v>0.8</v>
      </c>
      <c r="F205" s="405"/>
      <c r="G205" s="359">
        <v>0.5</v>
      </c>
      <c r="H205" s="360"/>
    </row>
    <row r="206" spans="1:8" ht="89.25" hidden="1" customHeight="1" x14ac:dyDescent="0.25">
      <c r="A206" s="340" t="s">
        <v>572</v>
      </c>
      <c r="B206" s="333" t="s">
        <v>573</v>
      </c>
      <c r="C206" s="376"/>
      <c r="D206" s="335"/>
      <c r="E206" s="336"/>
      <c r="F206" s="342"/>
      <c r="G206" s="338">
        <v>0</v>
      </c>
      <c r="H206" s="1190" t="s">
        <v>574</v>
      </c>
    </row>
    <row r="207" spans="1:8" ht="395.25" customHeight="1" x14ac:dyDescent="0.25">
      <c r="A207" s="340" t="s">
        <v>575</v>
      </c>
      <c r="B207" s="333" t="s">
        <v>576</v>
      </c>
      <c r="C207" s="376">
        <v>1</v>
      </c>
      <c r="D207" s="371">
        <v>0.5</v>
      </c>
      <c r="E207" s="352">
        <f>IF(D207/C207&gt;=100%,100%,D207/C207)</f>
        <v>0.5</v>
      </c>
      <c r="F207" s="342" t="s">
        <v>577</v>
      </c>
      <c r="G207" s="338">
        <v>0.2</v>
      </c>
      <c r="H207" s="1191"/>
    </row>
    <row r="208" spans="1:8" ht="306" hidden="1" x14ac:dyDescent="0.25">
      <c r="A208" s="332" t="s">
        <v>578</v>
      </c>
      <c r="B208" s="333" t="s">
        <v>579</v>
      </c>
      <c r="C208" s="376">
        <v>2</v>
      </c>
      <c r="D208" s="341">
        <v>3</v>
      </c>
      <c r="E208" s="352">
        <f>IF(D208/C208&gt;=100%,100%,D208/C208)</f>
        <v>1</v>
      </c>
      <c r="F208" s="342" t="s">
        <v>1417</v>
      </c>
      <c r="G208" s="338">
        <v>0.2</v>
      </c>
      <c r="H208" s="1191"/>
    </row>
    <row r="209" spans="1:8" ht="2.25" hidden="1" customHeight="1" x14ac:dyDescent="0.25">
      <c r="A209" s="340" t="s">
        <v>580</v>
      </c>
      <c r="B209" s="333" t="s">
        <v>581</v>
      </c>
      <c r="C209" s="376">
        <v>1</v>
      </c>
      <c r="D209" s="341">
        <v>1</v>
      </c>
      <c r="E209" s="352">
        <v>1</v>
      </c>
      <c r="F209" s="342" t="s">
        <v>582</v>
      </c>
      <c r="G209" s="338">
        <v>0.2</v>
      </c>
      <c r="H209" s="1191"/>
    </row>
    <row r="210" spans="1:8" ht="186.75" customHeight="1" x14ac:dyDescent="0.25">
      <c r="A210" s="332" t="s">
        <v>583</v>
      </c>
      <c r="B210" s="333" t="s">
        <v>584</v>
      </c>
      <c r="C210" s="376">
        <v>1</v>
      </c>
      <c r="D210" s="371">
        <v>0.5</v>
      </c>
      <c r="E210" s="352">
        <f>IF(D210/C210&gt;=100%,100%,D210/C210)</f>
        <v>0.5</v>
      </c>
      <c r="F210" s="342" t="s">
        <v>585</v>
      </c>
      <c r="G210" s="338">
        <v>0.2</v>
      </c>
      <c r="H210" s="1191"/>
    </row>
    <row r="211" spans="1:8" ht="36" hidden="1" x14ac:dyDescent="0.25">
      <c r="A211" s="332" t="s">
        <v>586</v>
      </c>
      <c r="B211" s="333" t="s">
        <v>587</v>
      </c>
      <c r="C211" s="376">
        <v>1</v>
      </c>
      <c r="D211" s="341">
        <v>1</v>
      </c>
      <c r="E211" s="352">
        <f>IF(D211/C211&gt;=100%,100%,D211/C211)</f>
        <v>1</v>
      </c>
      <c r="F211" s="342" t="s">
        <v>588</v>
      </c>
      <c r="G211" s="338">
        <v>0.2</v>
      </c>
      <c r="H211" s="366" t="s">
        <v>470</v>
      </c>
    </row>
    <row r="212" spans="1:8" ht="49.5" hidden="1" customHeight="1" x14ac:dyDescent="0.25">
      <c r="A212" s="406" t="s">
        <v>589</v>
      </c>
      <c r="B212" s="407"/>
      <c r="C212" s="408"/>
      <c r="D212" s="409"/>
      <c r="E212" s="410">
        <f>+SUMPRODUCT(E213:E216,G213:G216)</f>
        <v>0.875</v>
      </c>
      <c r="F212" s="411"/>
      <c r="G212" s="412">
        <v>0.5</v>
      </c>
      <c r="H212" s="413"/>
    </row>
    <row r="213" spans="1:8" ht="120.75" hidden="1" customHeight="1" x14ac:dyDescent="0.25">
      <c r="A213" s="332" t="s">
        <v>590</v>
      </c>
      <c r="B213" s="333" t="s">
        <v>591</v>
      </c>
      <c r="C213" s="376">
        <v>2</v>
      </c>
      <c r="D213" s="341">
        <v>1</v>
      </c>
      <c r="E213" s="336">
        <f>IF(D213/C213&gt;=100%,100%,D213/C213)</f>
        <v>0.5</v>
      </c>
      <c r="F213" s="342" t="s">
        <v>592</v>
      </c>
      <c r="G213" s="338">
        <v>0.25</v>
      </c>
      <c r="H213" s="366" t="s">
        <v>593</v>
      </c>
    </row>
    <row r="214" spans="1:8" ht="90" hidden="1" x14ac:dyDescent="0.25">
      <c r="A214" s="332" t="s">
        <v>594</v>
      </c>
      <c r="B214" s="333" t="s">
        <v>595</v>
      </c>
      <c r="C214" s="376">
        <v>1</v>
      </c>
      <c r="D214" s="341">
        <v>3</v>
      </c>
      <c r="E214" s="336">
        <f>IF(D214/C214&gt;=100%,100%,D214/C214)</f>
        <v>1</v>
      </c>
      <c r="F214" s="342" t="s">
        <v>1368</v>
      </c>
      <c r="G214" s="338">
        <v>0.15</v>
      </c>
      <c r="H214" s="1190" t="s">
        <v>508</v>
      </c>
    </row>
    <row r="215" spans="1:8" ht="36" hidden="1" x14ac:dyDescent="0.25">
      <c r="A215" s="332" t="s">
        <v>596</v>
      </c>
      <c r="B215" s="333" t="s">
        <v>597</v>
      </c>
      <c r="C215" s="376">
        <v>1</v>
      </c>
      <c r="D215" s="341">
        <v>1</v>
      </c>
      <c r="E215" s="336">
        <f>IF(D215/C215&gt;=100%,100%,D215/C215)</f>
        <v>1</v>
      </c>
      <c r="F215" s="342" t="s">
        <v>1367</v>
      </c>
      <c r="G215" s="338">
        <v>0.4</v>
      </c>
      <c r="H215" s="1191"/>
    </row>
    <row r="216" spans="1:8" ht="36" hidden="1" x14ac:dyDescent="0.25">
      <c r="A216" s="332" t="s">
        <v>598</v>
      </c>
      <c r="B216" s="333" t="s">
        <v>599</v>
      </c>
      <c r="C216" s="377">
        <v>1</v>
      </c>
      <c r="D216" s="335">
        <v>100</v>
      </c>
      <c r="E216" s="336">
        <f>IF(D216/C216&gt;=100%,100%,D216/C216)</f>
        <v>1</v>
      </c>
      <c r="F216" s="342" t="s">
        <v>600</v>
      </c>
      <c r="G216" s="338">
        <v>0.2</v>
      </c>
      <c r="H216" s="366" t="s">
        <v>601</v>
      </c>
    </row>
    <row r="217" spans="1:8" x14ac:dyDescent="0.25">
      <c r="A217" s="1196" t="s">
        <v>602</v>
      </c>
      <c r="B217" s="1197"/>
      <c r="C217" s="414"/>
      <c r="D217" s="414"/>
      <c r="E217" s="415">
        <f>+E2*G2+E60*G60+E119*G119+E134*G134+E153*G153</f>
        <v>0.64547942638414213</v>
      </c>
      <c r="F217" s="416"/>
      <c r="G217" s="417"/>
      <c r="H217" s="360"/>
    </row>
    <row r="218" spans="1:8" ht="24.75" customHeight="1" x14ac:dyDescent="0.25">
      <c r="A218" s="1198" t="s">
        <v>603</v>
      </c>
      <c r="B218" s="1199"/>
      <c r="C218" s="1199"/>
      <c r="D218" s="1199"/>
      <c r="E218" s="1199"/>
      <c r="F218" s="1199"/>
      <c r="G218" s="1199"/>
      <c r="H218" s="1197"/>
    </row>
    <row r="219" spans="1:8" x14ac:dyDescent="0.25">
      <c r="H219" s="399"/>
    </row>
    <row r="220" spans="1:8" x14ac:dyDescent="0.25">
      <c r="H220" s="399"/>
    </row>
    <row r="221" spans="1:8" x14ac:dyDescent="0.25">
      <c r="H221" s="399"/>
    </row>
    <row r="222" spans="1:8" x14ac:dyDescent="0.25">
      <c r="H222" s="399"/>
    </row>
    <row r="223" spans="1:8" x14ac:dyDescent="0.25">
      <c r="H223" s="399"/>
    </row>
    <row r="224" spans="1:8" x14ac:dyDescent="0.25">
      <c r="H224" s="399"/>
    </row>
    <row r="225" spans="8:8" x14ac:dyDescent="0.25">
      <c r="H225" s="399"/>
    </row>
    <row r="226" spans="8:8" x14ac:dyDescent="0.25">
      <c r="H226" s="399"/>
    </row>
    <row r="227" spans="8:8" x14ac:dyDescent="0.25">
      <c r="H227" s="399"/>
    </row>
    <row r="228" spans="8:8" x14ac:dyDescent="0.25">
      <c r="H228" s="399"/>
    </row>
    <row r="229" spans="8:8" x14ac:dyDescent="0.25">
      <c r="H229" s="399"/>
    </row>
    <row r="230" spans="8:8" x14ac:dyDescent="0.25">
      <c r="H230" s="399"/>
    </row>
    <row r="231" spans="8:8" x14ac:dyDescent="0.25">
      <c r="H231" s="399"/>
    </row>
    <row r="232" spans="8:8" x14ac:dyDescent="0.25">
      <c r="H232" s="399"/>
    </row>
    <row r="233" spans="8:8" x14ac:dyDescent="0.25">
      <c r="H233" s="399"/>
    </row>
    <row r="234" spans="8:8" x14ac:dyDescent="0.25">
      <c r="H234" s="399"/>
    </row>
    <row r="235" spans="8:8" x14ac:dyDescent="0.25">
      <c r="H235" s="399"/>
    </row>
    <row r="236" spans="8:8" x14ac:dyDescent="0.25">
      <c r="H236" s="399"/>
    </row>
    <row r="237" spans="8:8" x14ac:dyDescent="0.25">
      <c r="H237" s="399"/>
    </row>
    <row r="238" spans="8:8" x14ac:dyDescent="0.25">
      <c r="H238" s="399"/>
    </row>
    <row r="239" spans="8:8" x14ac:dyDescent="0.25">
      <c r="H239" s="399"/>
    </row>
    <row r="240" spans="8:8" x14ac:dyDescent="0.25">
      <c r="H240" s="399"/>
    </row>
    <row r="241" spans="8:8" x14ac:dyDescent="0.25">
      <c r="H241" s="399"/>
    </row>
    <row r="242" spans="8:8" x14ac:dyDescent="0.25">
      <c r="H242" s="399"/>
    </row>
    <row r="243" spans="8:8" x14ac:dyDescent="0.25">
      <c r="H243" s="399"/>
    </row>
    <row r="244" spans="8:8" x14ac:dyDescent="0.25">
      <c r="H244" s="399"/>
    </row>
    <row r="245" spans="8:8" x14ac:dyDescent="0.25">
      <c r="H245" s="399"/>
    </row>
    <row r="246" spans="8:8" x14ac:dyDescent="0.25">
      <c r="H246" s="399"/>
    </row>
    <row r="247" spans="8:8" x14ac:dyDescent="0.25">
      <c r="H247" s="399"/>
    </row>
    <row r="248" spans="8:8" x14ac:dyDescent="0.25">
      <c r="H248" s="399"/>
    </row>
    <row r="249" spans="8:8" x14ac:dyDescent="0.25">
      <c r="H249" s="399"/>
    </row>
    <row r="250" spans="8:8" x14ac:dyDescent="0.25">
      <c r="H250" s="399"/>
    </row>
    <row r="251" spans="8:8" x14ac:dyDescent="0.25">
      <c r="H251" s="399"/>
    </row>
    <row r="252" spans="8:8" x14ac:dyDescent="0.25">
      <c r="H252" s="399"/>
    </row>
    <row r="253" spans="8:8" x14ac:dyDescent="0.25">
      <c r="H253" s="399"/>
    </row>
    <row r="254" spans="8:8" x14ac:dyDescent="0.25">
      <c r="H254" s="399"/>
    </row>
    <row r="255" spans="8:8" x14ac:dyDescent="0.25">
      <c r="H255" s="399"/>
    </row>
    <row r="256" spans="8:8" x14ac:dyDescent="0.25">
      <c r="H256" s="399"/>
    </row>
    <row r="257" spans="8:8" x14ac:dyDescent="0.25">
      <c r="H257" s="399"/>
    </row>
    <row r="258" spans="8:8" x14ac:dyDescent="0.25">
      <c r="H258" s="399"/>
    </row>
    <row r="259" spans="8:8" x14ac:dyDescent="0.25">
      <c r="H259" s="399"/>
    </row>
    <row r="260" spans="8:8" x14ac:dyDescent="0.25">
      <c r="H260" s="399"/>
    </row>
    <row r="261" spans="8:8" x14ac:dyDescent="0.25">
      <c r="H261" s="399"/>
    </row>
    <row r="262" spans="8:8" x14ac:dyDescent="0.25">
      <c r="H262" s="399"/>
    </row>
    <row r="263" spans="8:8" x14ac:dyDescent="0.25">
      <c r="H263" s="399"/>
    </row>
    <row r="264" spans="8:8" x14ac:dyDescent="0.25">
      <c r="H264" s="399"/>
    </row>
    <row r="265" spans="8:8" x14ac:dyDescent="0.25">
      <c r="H265" s="399"/>
    </row>
    <row r="266" spans="8:8" x14ac:dyDescent="0.25">
      <c r="H266" s="399"/>
    </row>
    <row r="267" spans="8:8" x14ac:dyDescent="0.25">
      <c r="H267" s="399"/>
    </row>
    <row r="268" spans="8:8" x14ac:dyDescent="0.25">
      <c r="H268" s="399"/>
    </row>
    <row r="269" spans="8:8" x14ac:dyDescent="0.25">
      <c r="H269" s="399"/>
    </row>
    <row r="270" spans="8:8" x14ac:dyDescent="0.25">
      <c r="H270" s="399"/>
    </row>
    <row r="271" spans="8:8" x14ac:dyDescent="0.25">
      <c r="H271" s="399"/>
    </row>
    <row r="272" spans="8:8" x14ac:dyDescent="0.25">
      <c r="H272" s="399"/>
    </row>
    <row r="273" spans="8:8" x14ac:dyDescent="0.25">
      <c r="H273" s="399"/>
    </row>
    <row r="274" spans="8:8" x14ac:dyDescent="0.25">
      <c r="H274" s="399"/>
    </row>
    <row r="275" spans="8:8" x14ac:dyDescent="0.25">
      <c r="H275" s="399"/>
    </row>
    <row r="276" spans="8:8" x14ac:dyDescent="0.25">
      <c r="H276" s="399"/>
    </row>
    <row r="277" spans="8:8" x14ac:dyDescent="0.25">
      <c r="H277" s="399"/>
    </row>
    <row r="278" spans="8:8" x14ac:dyDescent="0.25">
      <c r="H278" s="399"/>
    </row>
    <row r="279" spans="8:8" x14ac:dyDescent="0.25">
      <c r="H279" s="399"/>
    </row>
    <row r="280" spans="8:8" x14ac:dyDescent="0.25">
      <c r="H280" s="399"/>
    </row>
    <row r="281" spans="8:8" x14ac:dyDescent="0.25">
      <c r="H281" s="399"/>
    </row>
    <row r="282" spans="8:8" x14ac:dyDescent="0.25">
      <c r="H282" s="399"/>
    </row>
    <row r="283" spans="8:8" x14ac:dyDescent="0.25">
      <c r="H283" s="399"/>
    </row>
    <row r="284" spans="8:8" x14ac:dyDescent="0.25">
      <c r="H284" s="399"/>
    </row>
    <row r="285" spans="8:8" x14ac:dyDescent="0.25">
      <c r="H285" s="399"/>
    </row>
    <row r="286" spans="8:8" x14ac:dyDescent="0.25">
      <c r="H286" s="399"/>
    </row>
    <row r="287" spans="8:8" x14ac:dyDescent="0.25">
      <c r="H287" s="399"/>
    </row>
    <row r="288" spans="8:8" x14ac:dyDescent="0.25">
      <c r="H288" s="399"/>
    </row>
    <row r="289" spans="8:8" x14ac:dyDescent="0.25">
      <c r="H289" s="399"/>
    </row>
    <row r="290" spans="8:8" x14ac:dyDescent="0.25">
      <c r="H290" s="399"/>
    </row>
    <row r="291" spans="8:8" x14ac:dyDescent="0.25">
      <c r="H291" s="399"/>
    </row>
    <row r="292" spans="8:8" x14ac:dyDescent="0.25">
      <c r="H292" s="399"/>
    </row>
    <row r="293" spans="8:8" x14ac:dyDescent="0.25">
      <c r="H293" s="399"/>
    </row>
    <row r="294" spans="8:8" x14ac:dyDescent="0.25">
      <c r="H294" s="399"/>
    </row>
    <row r="295" spans="8:8" x14ac:dyDescent="0.25">
      <c r="H295" s="399"/>
    </row>
    <row r="296" spans="8:8" x14ac:dyDescent="0.25">
      <c r="H296" s="399"/>
    </row>
    <row r="297" spans="8:8" x14ac:dyDescent="0.25">
      <c r="H297" s="399"/>
    </row>
    <row r="298" spans="8:8" x14ac:dyDescent="0.25">
      <c r="H298" s="399"/>
    </row>
    <row r="299" spans="8:8" x14ac:dyDescent="0.25">
      <c r="H299" s="399"/>
    </row>
    <row r="300" spans="8:8" x14ac:dyDescent="0.25">
      <c r="H300" s="399"/>
    </row>
    <row r="301" spans="8:8" x14ac:dyDescent="0.25">
      <c r="H301" s="399"/>
    </row>
    <row r="302" spans="8:8" x14ac:dyDescent="0.25">
      <c r="H302" s="399"/>
    </row>
    <row r="303" spans="8:8" x14ac:dyDescent="0.25">
      <c r="H303" s="399"/>
    </row>
    <row r="304" spans="8:8" x14ac:dyDescent="0.25">
      <c r="H304" s="399"/>
    </row>
    <row r="305" spans="8:8" x14ac:dyDescent="0.25">
      <c r="H305" s="399"/>
    </row>
    <row r="306" spans="8:8" x14ac:dyDescent="0.25">
      <c r="H306" s="399"/>
    </row>
    <row r="307" spans="8:8" x14ac:dyDescent="0.25">
      <c r="H307" s="399"/>
    </row>
    <row r="308" spans="8:8" x14ac:dyDescent="0.25">
      <c r="H308" s="399"/>
    </row>
    <row r="309" spans="8:8" x14ac:dyDescent="0.25">
      <c r="H309" s="399"/>
    </row>
    <row r="310" spans="8:8" x14ac:dyDescent="0.25">
      <c r="H310" s="399"/>
    </row>
    <row r="311" spans="8:8" x14ac:dyDescent="0.25">
      <c r="H311" s="399"/>
    </row>
    <row r="312" spans="8:8" x14ac:dyDescent="0.25">
      <c r="H312" s="399"/>
    </row>
    <row r="313" spans="8:8" x14ac:dyDescent="0.25">
      <c r="H313" s="399"/>
    </row>
    <row r="314" spans="8:8" x14ac:dyDescent="0.25">
      <c r="H314" s="399"/>
    </row>
    <row r="315" spans="8:8" x14ac:dyDescent="0.25">
      <c r="H315" s="399"/>
    </row>
    <row r="316" spans="8:8" x14ac:dyDescent="0.25">
      <c r="H316" s="399"/>
    </row>
    <row r="317" spans="8:8" x14ac:dyDescent="0.25">
      <c r="H317" s="399"/>
    </row>
    <row r="318" spans="8:8" x14ac:dyDescent="0.25">
      <c r="H318" s="399"/>
    </row>
    <row r="319" spans="8:8" x14ac:dyDescent="0.25">
      <c r="H319" s="399"/>
    </row>
    <row r="320" spans="8:8" x14ac:dyDescent="0.25">
      <c r="H320" s="399"/>
    </row>
    <row r="321" spans="8:8" x14ac:dyDescent="0.25">
      <c r="H321" s="399"/>
    </row>
    <row r="322" spans="8:8" x14ac:dyDescent="0.25">
      <c r="H322" s="399"/>
    </row>
    <row r="323" spans="8:8" x14ac:dyDescent="0.25">
      <c r="H323" s="399"/>
    </row>
    <row r="324" spans="8:8" x14ac:dyDescent="0.25">
      <c r="H324" s="399"/>
    </row>
    <row r="325" spans="8:8" x14ac:dyDescent="0.25">
      <c r="H325" s="399"/>
    </row>
    <row r="326" spans="8:8" x14ac:dyDescent="0.25">
      <c r="H326" s="399"/>
    </row>
    <row r="327" spans="8:8" x14ac:dyDescent="0.25">
      <c r="H327" s="399"/>
    </row>
    <row r="328" spans="8:8" x14ac:dyDescent="0.25">
      <c r="H328" s="399"/>
    </row>
    <row r="329" spans="8:8" x14ac:dyDescent="0.25">
      <c r="H329" s="399"/>
    </row>
    <row r="330" spans="8:8" x14ac:dyDescent="0.25">
      <c r="H330" s="399"/>
    </row>
    <row r="331" spans="8:8" x14ac:dyDescent="0.25">
      <c r="H331" s="399"/>
    </row>
    <row r="332" spans="8:8" x14ac:dyDescent="0.25">
      <c r="H332" s="399"/>
    </row>
    <row r="333" spans="8:8" x14ac:dyDescent="0.25">
      <c r="H333" s="399"/>
    </row>
    <row r="334" spans="8:8" x14ac:dyDescent="0.25">
      <c r="H334" s="399"/>
    </row>
    <row r="335" spans="8:8" x14ac:dyDescent="0.25">
      <c r="H335" s="399"/>
    </row>
    <row r="336" spans="8:8" x14ac:dyDescent="0.25">
      <c r="H336" s="399"/>
    </row>
    <row r="337" spans="8:8" x14ac:dyDescent="0.25">
      <c r="H337" s="399"/>
    </row>
    <row r="338" spans="8:8" x14ac:dyDescent="0.25">
      <c r="H338" s="399"/>
    </row>
    <row r="339" spans="8:8" x14ac:dyDescent="0.25">
      <c r="H339" s="399"/>
    </row>
    <row r="340" spans="8:8" x14ac:dyDescent="0.25">
      <c r="H340" s="399"/>
    </row>
    <row r="341" spans="8:8" x14ac:dyDescent="0.25">
      <c r="H341" s="399"/>
    </row>
    <row r="342" spans="8:8" x14ac:dyDescent="0.25">
      <c r="H342" s="399"/>
    </row>
    <row r="343" spans="8:8" x14ac:dyDescent="0.25">
      <c r="H343" s="399"/>
    </row>
    <row r="344" spans="8:8" x14ac:dyDescent="0.25">
      <c r="H344" s="399"/>
    </row>
    <row r="345" spans="8:8" x14ac:dyDescent="0.25">
      <c r="H345" s="399"/>
    </row>
    <row r="346" spans="8:8" x14ac:dyDescent="0.25">
      <c r="H346" s="399"/>
    </row>
    <row r="347" spans="8:8" x14ac:dyDescent="0.25">
      <c r="H347" s="399"/>
    </row>
    <row r="348" spans="8:8" x14ac:dyDescent="0.25">
      <c r="H348" s="399"/>
    </row>
    <row r="349" spans="8:8" x14ac:dyDescent="0.25">
      <c r="H349" s="399"/>
    </row>
    <row r="350" spans="8:8" x14ac:dyDescent="0.25">
      <c r="H350" s="399"/>
    </row>
    <row r="351" spans="8:8" x14ac:dyDescent="0.25">
      <c r="H351" s="399"/>
    </row>
    <row r="352" spans="8:8" x14ac:dyDescent="0.25">
      <c r="H352" s="399"/>
    </row>
    <row r="353" spans="8:8" x14ac:dyDescent="0.25">
      <c r="H353" s="399"/>
    </row>
    <row r="354" spans="8:8" x14ac:dyDescent="0.25">
      <c r="H354" s="399"/>
    </row>
    <row r="355" spans="8:8" x14ac:dyDescent="0.25">
      <c r="H355" s="399"/>
    </row>
    <row r="356" spans="8:8" x14ac:dyDescent="0.25">
      <c r="H356" s="399"/>
    </row>
    <row r="357" spans="8:8" x14ac:dyDescent="0.25">
      <c r="H357" s="399"/>
    </row>
    <row r="358" spans="8:8" x14ac:dyDescent="0.25">
      <c r="H358" s="399"/>
    </row>
    <row r="359" spans="8:8" x14ac:dyDescent="0.25">
      <c r="H359" s="399"/>
    </row>
    <row r="360" spans="8:8" x14ac:dyDescent="0.25">
      <c r="H360" s="399"/>
    </row>
    <row r="361" spans="8:8" x14ac:dyDescent="0.25">
      <c r="H361" s="399"/>
    </row>
    <row r="362" spans="8:8" x14ac:dyDescent="0.25">
      <c r="H362" s="399"/>
    </row>
    <row r="363" spans="8:8" x14ac:dyDescent="0.25">
      <c r="H363" s="399"/>
    </row>
    <row r="364" spans="8:8" x14ac:dyDescent="0.25">
      <c r="H364" s="399"/>
    </row>
    <row r="365" spans="8:8" x14ac:dyDescent="0.25">
      <c r="H365" s="399"/>
    </row>
    <row r="366" spans="8:8" x14ac:dyDescent="0.25">
      <c r="H366" s="399"/>
    </row>
    <row r="367" spans="8:8" x14ac:dyDescent="0.25">
      <c r="H367" s="399"/>
    </row>
    <row r="368" spans="8:8" x14ac:dyDescent="0.25">
      <c r="H368" s="399"/>
    </row>
    <row r="369" spans="8:8" x14ac:dyDescent="0.25">
      <c r="H369" s="399"/>
    </row>
    <row r="370" spans="8:8" x14ac:dyDescent="0.25">
      <c r="H370" s="399"/>
    </row>
    <row r="371" spans="8:8" x14ac:dyDescent="0.25">
      <c r="H371" s="399"/>
    </row>
    <row r="372" spans="8:8" x14ac:dyDescent="0.25">
      <c r="H372" s="399"/>
    </row>
    <row r="373" spans="8:8" x14ac:dyDescent="0.25">
      <c r="H373" s="399"/>
    </row>
    <row r="374" spans="8:8" x14ac:dyDescent="0.25">
      <c r="H374" s="399"/>
    </row>
    <row r="375" spans="8:8" x14ac:dyDescent="0.25">
      <c r="H375" s="399"/>
    </row>
    <row r="376" spans="8:8" x14ac:dyDescent="0.25">
      <c r="H376" s="399"/>
    </row>
    <row r="377" spans="8:8" x14ac:dyDescent="0.25">
      <c r="H377" s="399"/>
    </row>
    <row r="378" spans="8:8" x14ac:dyDescent="0.25">
      <c r="H378" s="399"/>
    </row>
    <row r="379" spans="8:8" x14ac:dyDescent="0.25">
      <c r="H379" s="399"/>
    </row>
    <row r="380" spans="8:8" x14ac:dyDescent="0.25">
      <c r="H380" s="399"/>
    </row>
    <row r="381" spans="8:8" x14ac:dyDescent="0.25">
      <c r="H381" s="399"/>
    </row>
    <row r="382" spans="8:8" x14ac:dyDescent="0.25">
      <c r="H382" s="399"/>
    </row>
    <row r="383" spans="8:8" x14ac:dyDescent="0.25">
      <c r="H383" s="399"/>
    </row>
    <row r="384" spans="8:8" x14ac:dyDescent="0.25">
      <c r="H384" s="399"/>
    </row>
    <row r="385" spans="8:8" x14ac:dyDescent="0.25">
      <c r="H385" s="399"/>
    </row>
    <row r="386" spans="8:8" x14ac:dyDescent="0.25">
      <c r="H386" s="399"/>
    </row>
    <row r="387" spans="8:8" x14ac:dyDescent="0.25">
      <c r="H387" s="399"/>
    </row>
    <row r="388" spans="8:8" x14ac:dyDescent="0.25">
      <c r="H388" s="399"/>
    </row>
    <row r="389" spans="8:8" x14ac:dyDescent="0.25">
      <c r="H389" s="399"/>
    </row>
    <row r="390" spans="8:8" x14ac:dyDescent="0.25">
      <c r="H390" s="399"/>
    </row>
    <row r="391" spans="8:8" x14ac:dyDescent="0.25">
      <c r="H391" s="399"/>
    </row>
    <row r="392" spans="8:8" x14ac:dyDescent="0.25">
      <c r="H392" s="399"/>
    </row>
    <row r="393" spans="8:8" x14ac:dyDescent="0.25">
      <c r="H393" s="399"/>
    </row>
    <row r="394" spans="8:8" x14ac:dyDescent="0.25">
      <c r="H394" s="399"/>
    </row>
    <row r="395" spans="8:8" x14ac:dyDescent="0.25">
      <c r="H395" s="399"/>
    </row>
    <row r="396" spans="8:8" x14ac:dyDescent="0.25">
      <c r="H396" s="399"/>
    </row>
    <row r="397" spans="8:8" x14ac:dyDescent="0.25">
      <c r="H397" s="399"/>
    </row>
    <row r="398" spans="8:8" x14ac:dyDescent="0.25">
      <c r="H398" s="399"/>
    </row>
    <row r="399" spans="8:8" x14ac:dyDescent="0.25">
      <c r="H399" s="399"/>
    </row>
    <row r="400" spans="8:8" x14ac:dyDescent="0.25">
      <c r="H400" s="399"/>
    </row>
    <row r="401" spans="8:8" x14ac:dyDescent="0.25">
      <c r="H401" s="399"/>
    </row>
    <row r="402" spans="8:8" x14ac:dyDescent="0.25">
      <c r="H402" s="399"/>
    </row>
    <row r="403" spans="8:8" x14ac:dyDescent="0.25">
      <c r="H403" s="399"/>
    </row>
    <row r="404" spans="8:8" x14ac:dyDescent="0.25">
      <c r="H404" s="399"/>
    </row>
    <row r="405" spans="8:8" x14ac:dyDescent="0.25">
      <c r="H405" s="399"/>
    </row>
    <row r="406" spans="8:8" x14ac:dyDescent="0.25">
      <c r="H406" s="399"/>
    </row>
    <row r="407" spans="8:8" x14ac:dyDescent="0.25">
      <c r="H407" s="399"/>
    </row>
    <row r="408" spans="8:8" x14ac:dyDescent="0.25">
      <c r="H408" s="399"/>
    </row>
    <row r="409" spans="8:8" x14ac:dyDescent="0.25">
      <c r="H409" s="399"/>
    </row>
    <row r="410" spans="8:8" x14ac:dyDescent="0.25">
      <c r="H410" s="399"/>
    </row>
    <row r="411" spans="8:8" x14ac:dyDescent="0.25">
      <c r="H411" s="399"/>
    </row>
    <row r="412" spans="8:8" x14ac:dyDescent="0.25">
      <c r="H412" s="399"/>
    </row>
    <row r="413" spans="8:8" x14ac:dyDescent="0.25">
      <c r="H413" s="399"/>
    </row>
    <row r="414" spans="8:8" x14ac:dyDescent="0.25">
      <c r="H414" s="399"/>
    </row>
    <row r="415" spans="8:8" x14ac:dyDescent="0.25">
      <c r="H415" s="399"/>
    </row>
    <row r="416" spans="8:8" x14ac:dyDescent="0.25">
      <c r="H416" s="399"/>
    </row>
    <row r="417" spans="8:8" x14ac:dyDescent="0.25">
      <c r="H417" s="399"/>
    </row>
    <row r="418" spans="8:8" x14ac:dyDescent="0.25">
      <c r="H418" s="399"/>
    </row>
    <row r="419" spans="8:8" x14ac:dyDescent="0.25">
      <c r="H419" s="399"/>
    </row>
    <row r="420" spans="8:8" x14ac:dyDescent="0.25">
      <c r="H420" s="399"/>
    </row>
    <row r="421" spans="8:8" x14ac:dyDescent="0.25">
      <c r="H421" s="399"/>
    </row>
    <row r="422" spans="8:8" x14ac:dyDescent="0.25">
      <c r="H422" s="399"/>
    </row>
    <row r="423" spans="8:8" x14ac:dyDescent="0.25">
      <c r="H423" s="399"/>
    </row>
    <row r="424" spans="8:8" x14ac:dyDescent="0.25">
      <c r="H424" s="399"/>
    </row>
    <row r="425" spans="8:8" x14ac:dyDescent="0.25">
      <c r="H425" s="399"/>
    </row>
    <row r="426" spans="8:8" x14ac:dyDescent="0.25">
      <c r="H426" s="399"/>
    </row>
    <row r="427" spans="8:8" x14ac:dyDescent="0.25">
      <c r="H427" s="399"/>
    </row>
    <row r="428" spans="8:8" x14ac:dyDescent="0.25">
      <c r="H428" s="399"/>
    </row>
    <row r="429" spans="8:8" x14ac:dyDescent="0.25">
      <c r="H429" s="399"/>
    </row>
    <row r="430" spans="8:8" x14ac:dyDescent="0.25">
      <c r="H430" s="399"/>
    </row>
    <row r="431" spans="8:8" x14ac:dyDescent="0.25">
      <c r="H431" s="399"/>
    </row>
    <row r="432" spans="8:8" x14ac:dyDescent="0.25">
      <c r="H432" s="399"/>
    </row>
    <row r="433" spans="8:8" x14ac:dyDescent="0.25">
      <c r="H433" s="399"/>
    </row>
    <row r="434" spans="8:8" x14ac:dyDescent="0.25">
      <c r="H434" s="399"/>
    </row>
    <row r="435" spans="8:8" x14ac:dyDescent="0.25">
      <c r="H435" s="399"/>
    </row>
    <row r="436" spans="8:8" x14ac:dyDescent="0.25">
      <c r="H436" s="399"/>
    </row>
    <row r="437" spans="8:8" x14ac:dyDescent="0.25">
      <c r="H437" s="399"/>
    </row>
    <row r="438" spans="8:8" x14ac:dyDescent="0.25">
      <c r="H438" s="399"/>
    </row>
    <row r="439" spans="8:8" x14ac:dyDescent="0.25">
      <c r="H439" s="399"/>
    </row>
    <row r="440" spans="8:8" x14ac:dyDescent="0.25">
      <c r="H440" s="399"/>
    </row>
    <row r="441" spans="8:8" x14ac:dyDescent="0.25">
      <c r="H441" s="399"/>
    </row>
    <row r="442" spans="8:8" x14ac:dyDescent="0.25">
      <c r="H442" s="399"/>
    </row>
    <row r="443" spans="8:8" x14ac:dyDescent="0.25">
      <c r="H443" s="399"/>
    </row>
    <row r="444" spans="8:8" x14ac:dyDescent="0.25">
      <c r="H444" s="399"/>
    </row>
    <row r="445" spans="8:8" x14ac:dyDescent="0.25">
      <c r="H445" s="399"/>
    </row>
    <row r="446" spans="8:8" x14ac:dyDescent="0.25">
      <c r="H446" s="399"/>
    </row>
    <row r="447" spans="8:8" x14ac:dyDescent="0.25">
      <c r="H447" s="399"/>
    </row>
    <row r="448" spans="8:8" x14ac:dyDescent="0.25">
      <c r="H448" s="399"/>
    </row>
    <row r="449" spans="8:8" x14ac:dyDescent="0.25">
      <c r="H449" s="399"/>
    </row>
    <row r="450" spans="8:8" x14ac:dyDescent="0.25">
      <c r="H450" s="399"/>
    </row>
    <row r="451" spans="8:8" x14ac:dyDescent="0.25">
      <c r="H451" s="399"/>
    </row>
    <row r="452" spans="8:8" x14ac:dyDescent="0.25">
      <c r="H452" s="399"/>
    </row>
    <row r="453" spans="8:8" x14ac:dyDescent="0.25">
      <c r="H453" s="399"/>
    </row>
    <row r="454" spans="8:8" x14ac:dyDescent="0.25">
      <c r="H454" s="399"/>
    </row>
    <row r="455" spans="8:8" x14ac:dyDescent="0.25">
      <c r="H455" s="399"/>
    </row>
    <row r="456" spans="8:8" x14ac:dyDescent="0.25">
      <c r="H456" s="399"/>
    </row>
    <row r="457" spans="8:8" x14ac:dyDescent="0.25">
      <c r="H457" s="399"/>
    </row>
    <row r="458" spans="8:8" x14ac:dyDescent="0.25">
      <c r="H458" s="399"/>
    </row>
    <row r="459" spans="8:8" x14ac:dyDescent="0.25">
      <c r="H459" s="399"/>
    </row>
    <row r="460" spans="8:8" x14ac:dyDescent="0.25">
      <c r="H460" s="399"/>
    </row>
    <row r="461" spans="8:8" x14ac:dyDescent="0.25">
      <c r="H461" s="399"/>
    </row>
    <row r="462" spans="8:8" x14ac:dyDescent="0.25">
      <c r="H462" s="399"/>
    </row>
    <row r="463" spans="8:8" x14ac:dyDescent="0.25">
      <c r="H463" s="399"/>
    </row>
    <row r="464" spans="8:8" x14ac:dyDescent="0.25">
      <c r="H464" s="399"/>
    </row>
    <row r="465" spans="8:8" x14ac:dyDescent="0.25">
      <c r="H465" s="399"/>
    </row>
    <row r="466" spans="8:8" x14ac:dyDescent="0.25">
      <c r="H466" s="399"/>
    </row>
    <row r="467" spans="8:8" x14ac:dyDescent="0.25">
      <c r="H467" s="399"/>
    </row>
    <row r="468" spans="8:8" x14ac:dyDescent="0.25">
      <c r="H468" s="399"/>
    </row>
    <row r="469" spans="8:8" x14ac:dyDescent="0.25">
      <c r="H469" s="399"/>
    </row>
    <row r="470" spans="8:8" x14ac:dyDescent="0.25">
      <c r="H470" s="399"/>
    </row>
    <row r="471" spans="8:8" x14ac:dyDescent="0.25">
      <c r="H471" s="399"/>
    </row>
    <row r="472" spans="8:8" x14ac:dyDescent="0.25">
      <c r="H472" s="399"/>
    </row>
    <row r="473" spans="8:8" x14ac:dyDescent="0.25">
      <c r="H473" s="399"/>
    </row>
    <row r="474" spans="8:8" x14ac:dyDescent="0.25">
      <c r="H474" s="399"/>
    </row>
    <row r="475" spans="8:8" x14ac:dyDescent="0.25">
      <c r="H475" s="399"/>
    </row>
    <row r="476" spans="8:8" x14ac:dyDescent="0.25">
      <c r="H476" s="399"/>
    </row>
    <row r="477" spans="8:8" x14ac:dyDescent="0.25">
      <c r="H477" s="399"/>
    </row>
    <row r="478" spans="8:8" x14ac:dyDescent="0.25">
      <c r="H478" s="399"/>
    </row>
    <row r="479" spans="8:8" x14ac:dyDescent="0.25">
      <c r="H479" s="399"/>
    </row>
    <row r="480" spans="8:8" x14ac:dyDescent="0.25">
      <c r="H480" s="399"/>
    </row>
    <row r="481" spans="8:8" x14ac:dyDescent="0.25">
      <c r="H481" s="399"/>
    </row>
    <row r="482" spans="8:8" x14ac:dyDescent="0.25">
      <c r="H482" s="399"/>
    </row>
    <row r="483" spans="8:8" x14ac:dyDescent="0.25">
      <c r="H483" s="399"/>
    </row>
    <row r="484" spans="8:8" x14ac:dyDescent="0.25">
      <c r="H484" s="399"/>
    </row>
    <row r="485" spans="8:8" x14ac:dyDescent="0.25">
      <c r="H485" s="399"/>
    </row>
    <row r="486" spans="8:8" x14ac:dyDescent="0.25">
      <c r="H486" s="399"/>
    </row>
    <row r="487" spans="8:8" x14ac:dyDescent="0.25">
      <c r="H487" s="399"/>
    </row>
    <row r="488" spans="8:8" x14ac:dyDescent="0.25">
      <c r="H488" s="399"/>
    </row>
    <row r="489" spans="8:8" x14ac:dyDescent="0.25">
      <c r="H489" s="399"/>
    </row>
    <row r="490" spans="8:8" x14ac:dyDescent="0.25">
      <c r="H490" s="399"/>
    </row>
    <row r="491" spans="8:8" x14ac:dyDescent="0.25">
      <c r="H491" s="399"/>
    </row>
    <row r="492" spans="8:8" x14ac:dyDescent="0.25">
      <c r="H492" s="399"/>
    </row>
    <row r="493" spans="8:8" x14ac:dyDescent="0.25">
      <c r="H493" s="399"/>
    </row>
    <row r="494" spans="8:8" x14ac:dyDescent="0.25">
      <c r="H494" s="399"/>
    </row>
    <row r="495" spans="8:8" x14ac:dyDescent="0.25">
      <c r="H495" s="399"/>
    </row>
    <row r="496" spans="8:8" x14ac:dyDescent="0.25">
      <c r="H496" s="399"/>
    </row>
    <row r="497" spans="8:8" x14ac:dyDescent="0.25">
      <c r="H497" s="399"/>
    </row>
    <row r="498" spans="8:8" x14ac:dyDescent="0.25">
      <c r="H498" s="399"/>
    </row>
    <row r="499" spans="8:8" x14ac:dyDescent="0.25">
      <c r="H499" s="399"/>
    </row>
    <row r="500" spans="8:8" x14ac:dyDescent="0.25">
      <c r="H500" s="399"/>
    </row>
    <row r="501" spans="8:8" x14ac:dyDescent="0.25">
      <c r="H501" s="399"/>
    </row>
    <row r="502" spans="8:8" x14ac:dyDescent="0.25">
      <c r="H502" s="399"/>
    </row>
    <row r="503" spans="8:8" x14ac:dyDescent="0.25">
      <c r="H503" s="399"/>
    </row>
    <row r="504" spans="8:8" x14ac:dyDescent="0.25">
      <c r="H504" s="399"/>
    </row>
    <row r="505" spans="8:8" x14ac:dyDescent="0.25">
      <c r="H505" s="399"/>
    </row>
    <row r="506" spans="8:8" x14ac:dyDescent="0.25">
      <c r="H506" s="399"/>
    </row>
    <row r="507" spans="8:8" x14ac:dyDescent="0.25">
      <c r="H507" s="399"/>
    </row>
    <row r="508" spans="8:8" x14ac:dyDescent="0.25">
      <c r="H508" s="399"/>
    </row>
    <row r="509" spans="8:8" x14ac:dyDescent="0.25">
      <c r="H509" s="399"/>
    </row>
    <row r="510" spans="8:8" x14ac:dyDescent="0.25">
      <c r="H510" s="399"/>
    </row>
    <row r="511" spans="8:8" x14ac:dyDescent="0.25">
      <c r="H511" s="399"/>
    </row>
    <row r="512" spans="8:8" x14ac:dyDescent="0.25">
      <c r="H512" s="399"/>
    </row>
    <row r="513" spans="8:8" x14ac:dyDescent="0.25">
      <c r="H513" s="399"/>
    </row>
    <row r="514" spans="8:8" x14ac:dyDescent="0.25">
      <c r="H514" s="399"/>
    </row>
    <row r="515" spans="8:8" x14ac:dyDescent="0.25">
      <c r="H515" s="399"/>
    </row>
    <row r="516" spans="8:8" x14ac:dyDescent="0.25">
      <c r="H516" s="399"/>
    </row>
    <row r="517" spans="8:8" x14ac:dyDescent="0.25">
      <c r="H517" s="399"/>
    </row>
    <row r="518" spans="8:8" x14ac:dyDescent="0.25">
      <c r="H518" s="399"/>
    </row>
    <row r="519" spans="8:8" x14ac:dyDescent="0.25">
      <c r="H519" s="399"/>
    </row>
    <row r="520" spans="8:8" x14ac:dyDescent="0.25">
      <c r="H520" s="399"/>
    </row>
    <row r="521" spans="8:8" x14ac:dyDescent="0.25">
      <c r="H521" s="399"/>
    </row>
    <row r="522" spans="8:8" x14ac:dyDescent="0.25">
      <c r="H522" s="399"/>
    </row>
    <row r="523" spans="8:8" x14ac:dyDescent="0.25">
      <c r="H523" s="399"/>
    </row>
    <row r="524" spans="8:8" x14ac:dyDescent="0.25">
      <c r="H524" s="399"/>
    </row>
    <row r="525" spans="8:8" x14ac:dyDescent="0.25">
      <c r="H525" s="399"/>
    </row>
    <row r="526" spans="8:8" x14ac:dyDescent="0.25">
      <c r="H526" s="399"/>
    </row>
    <row r="527" spans="8:8" x14ac:dyDescent="0.25">
      <c r="H527" s="399"/>
    </row>
    <row r="528" spans="8:8" x14ac:dyDescent="0.25">
      <c r="H528" s="399"/>
    </row>
    <row r="529" spans="8:8" x14ac:dyDescent="0.25">
      <c r="H529" s="399"/>
    </row>
    <row r="530" spans="8:8" x14ac:dyDescent="0.25">
      <c r="H530" s="399"/>
    </row>
    <row r="531" spans="8:8" x14ac:dyDescent="0.25">
      <c r="H531" s="399"/>
    </row>
    <row r="532" spans="8:8" x14ac:dyDescent="0.25">
      <c r="H532" s="399"/>
    </row>
    <row r="533" spans="8:8" x14ac:dyDescent="0.25">
      <c r="H533" s="399"/>
    </row>
    <row r="534" spans="8:8" x14ac:dyDescent="0.25">
      <c r="H534" s="399"/>
    </row>
    <row r="535" spans="8:8" x14ac:dyDescent="0.25">
      <c r="H535" s="399"/>
    </row>
    <row r="536" spans="8:8" x14ac:dyDescent="0.25">
      <c r="H536" s="399"/>
    </row>
    <row r="537" spans="8:8" x14ac:dyDescent="0.25">
      <c r="H537" s="399"/>
    </row>
    <row r="538" spans="8:8" x14ac:dyDescent="0.25">
      <c r="H538" s="399"/>
    </row>
    <row r="539" spans="8:8" x14ac:dyDescent="0.25">
      <c r="H539" s="399"/>
    </row>
    <row r="540" spans="8:8" x14ac:dyDescent="0.25">
      <c r="H540" s="399"/>
    </row>
    <row r="541" spans="8:8" x14ac:dyDescent="0.25">
      <c r="H541" s="399"/>
    </row>
    <row r="542" spans="8:8" x14ac:dyDescent="0.25">
      <c r="H542" s="399"/>
    </row>
    <row r="543" spans="8:8" x14ac:dyDescent="0.25">
      <c r="H543" s="399"/>
    </row>
    <row r="544" spans="8:8" x14ac:dyDescent="0.25">
      <c r="H544" s="399"/>
    </row>
    <row r="545" spans="8:8" x14ac:dyDescent="0.25">
      <c r="H545" s="399"/>
    </row>
    <row r="546" spans="8:8" x14ac:dyDescent="0.25">
      <c r="H546" s="399"/>
    </row>
    <row r="547" spans="8:8" x14ac:dyDescent="0.25">
      <c r="H547" s="399"/>
    </row>
    <row r="548" spans="8:8" x14ac:dyDescent="0.25">
      <c r="H548" s="399"/>
    </row>
    <row r="549" spans="8:8" x14ac:dyDescent="0.25">
      <c r="H549" s="399"/>
    </row>
    <row r="550" spans="8:8" x14ac:dyDescent="0.25">
      <c r="H550" s="399"/>
    </row>
    <row r="551" spans="8:8" x14ac:dyDescent="0.25">
      <c r="H551" s="399"/>
    </row>
    <row r="552" spans="8:8" x14ac:dyDescent="0.25">
      <c r="H552" s="399"/>
    </row>
    <row r="553" spans="8:8" x14ac:dyDescent="0.25">
      <c r="H553" s="399"/>
    </row>
    <row r="554" spans="8:8" x14ac:dyDescent="0.25">
      <c r="H554" s="399"/>
    </row>
    <row r="555" spans="8:8" x14ac:dyDescent="0.25">
      <c r="H555" s="399"/>
    </row>
    <row r="556" spans="8:8" x14ac:dyDescent="0.25">
      <c r="H556" s="399"/>
    </row>
    <row r="557" spans="8:8" x14ac:dyDescent="0.25">
      <c r="H557" s="399"/>
    </row>
    <row r="558" spans="8:8" x14ac:dyDescent="0.25">
      <c r="H558" s="399"/>
    </row>
    <row r="559" spans="8:8" x14ac:dyDescent="0.25">
      <c r="H559" s="399"/>
    </row>
    <row r="560" spans="8:8" x14ac:dyDescent="0.25">
      <c r="H560" s="399"/>
    </row>
    <row r="561" spans="8:8" x14ac:dyDescent="0.25">
      <c r="H561" s="399"/>
    </row>
    <row r="562" spans="8:8" x14ac:dyDescent="0.25">
      <c r="H562" s="399"/>
    </row>
    <row r="563" spans="8:8" x14ac:dyDescent="0.25">
      <c r="H563" s="399"/>
    </row>
    <row r="564" spans="8:8" x14ac:dyDescent="0.25">
      <c r="H564" s="399"/>
    </row>
    <row r="565" spans="8:8" x14ac:dyDescent="0.25">
      <c r="H565" s="399"/>
    </row>
    <row r="566" spans="8:8" x14ac:dyDescent="0.25">
      <c r="H566" s="399"/>
    </row>
    <row r="567" spans="8:8" x14ac:dyDescent="0.25">
      <c r="H567" s="399"/>
    </row>
    <row r="568" spans="8:8" x14ac:dyDescent="0.25">
      <c r="H568" s="399"/>
    </row>
    <row r="569" spans="8:8" x14ac:dyDescent="0.25">
      <c r="H569" s="399"/>
    </row>
    <row r="570" spans="8:8" x14ac:dyDescent="0.25">
      <c r="H570" s="399"/>
    </row>
    <row r="571" spans="8:8" x14ac:dyDescent="0.25">
      <c r="H571" s="399"/>
    </row>
    <row r="572" spans="8:8" x14ac:dyDescent="0.25">
      <c r="H572" s="399"/>
    </row>
    <row r="573" spans="8:8" x14ac:dyDescent="0.25">
      <c r="H573" s="399"/>
    </row>
    <row r="574" spans="8:8" x14ac:dyDescent="0.25">
      <c r="H574" s="399"/>
    </row>
    <row r="575" spans="8:8" x14ac:dyDescent="0.25">
      <c r="H575" s="399"/>
    </row>
    <row r="576" spans="8:8" x14ac:dyDescent="0.25">
      <c r="H576" s="399"/>
    </row>
    <row r="577" spans="8:8" x14ac:dyDescent="0.25">
      <c r="H577" s="399"/>
    </row>
    <row r="578" spans="8:8" x14ac:dyDescent="0.25">
      <c r="H578" s="399"/>
    </row>
    <row r="579" spans="8:8" x14ac:dyDescent="0.25">
      <c r="H579" s="399"/>
    </row>
    <row r="580" spans="8:8" x14ac:dyDescent="0.25">
      <c r="H580" s="399"/>
    </row>
    <row r="581" spans="8:8" x14ac:dyDescent="0.25">
      <c r="H581" s="399"/>
    </row>
    <row r="582" spans="8:8" x14ac:dyDescent="0.25">
      <c r="H582" s="399"/>
    </row>
    <row r="583" spans="8:8" x14ac:dyDescent="0.25">
      <c r="H583" s="399"/>
    </row>
    <row r="584" spans="8:8" x14ac:dyDescent="0.25">
      <c r="H584" s="399"/>
    </row>
    <row r="585" spans="8:8" x14ac:dyDescent="0.25">
      <c r="H585" s="399"/>
    </row>
    <row r="586" spans="8:8" x14ac:dyDescent="0.25">
      <c r="H586" s="399"/>
    </row>
    <row r="587" spans="8:8" x14ac:dyDescent="0.25">
      <c r="H587" s="399"/>
    </row>
    <row r="588" spans="8:8" x14ac:dyDescent="0.25">
      <c r="H588" s="399"/>
    </row>
    <row r="589" spans="8:8" x14ac:dyDescent="0.25">
      <c r="H589" s="399"/>
    </row>
    <row r="590" spans="8:8" x14ac:dyDescent="0.25">
      <c r="H590" s="399"/>
    </row>
    <row r="591" spans="8:8" x14ac:dyDescent="0.25">
      <c r="H591" s="399"/>
    </row>
    <row r="592" spans="8:8" x14ac:dyDescent="0.25">
      <c r="H592" s="399"/>
    </row>
    <row r="593" spans="8:8" x14ac:dyDescent="0.25">
      <c r="H593" s="399"/>
    </row>
    <row r="594" spans="8:8" x14ac:dyDescent="0.25">
      <c r="H594" s="399"/>
    </row>
    <row r="595" spans="8:8" x14ac:dyDescent="0.25">
      <c r="H595" s="399"/>
    </row>
    <row r="596" spans="8:8" x14ac:dyDescent="0.25">
      <c r="H596" s="399"/>
    </row>
    <row r="597" spans="8:8" x14ac:dyDescent="0.25">
      <c r="H597" s="399"/>
    </row>
    <row r="598" spans="8:8" x14ac:dyDescent="0.25">
      <c r="H598" s="399"/>
    </row>
    <row r="599" spans="8:8" x14ac:dyDescent="0.25">
      <c r="H599" s="399"/>
    </row>
    <row r="600" spans="8:8" x14ac:dyDescent="0.25">
      <c r="H600" s="399"/>
    </row>
    <row r="601" spans="8:8" x14ac:dyDescent="0.25">
      <c r="H601" s="399"/>
    </row>
    <row r="602" spans="8:8" x14ac:dyDescent="0.25">
      <c r="H602" s="399"/>
    </row>
    <row r="603" spans="8:8" x14ac:dyDescent="0.25">
      <c r="H603" s="399"/>
    </row>
    <row r="604" spans="8:8" x14ac:dyDescent="0.25">
      <c r="H604" s="399"/>
    </row>
    <row r="605" spans="8:8" x14ac:dyDescent="0.25">
      <c r="H605" s="399"/>
    </row>
    <row r="606" spans="8:8" x14ac:dyDescent="0.25">
      <c r="H606" s="399"/>
    </row>
    <row r="607" spans="8:8" x14ac:dyDescent="0.25">
      <c r="H607" s="399"/>
    </row>
    <row r="608" spans="8:8" x14ac:dyDescent="0.25">
      <c r="H608" s="399"/>
    </row>
    <row r="609" spans="8:8" x14ac:dyDescent="0.25">
      <c r="H609" s="399"/>
    </row>
    <row r="610" spans="8:8" x14ac:dyDescent="0.25">
      <c r="H610" s="399"/>
    </row>
    <row r="611" spans="8:8" x14ac:dyDescent="0.25">
      <c r="H611" s="399"/>
    </row>
    <row r="612" spans="8:8" x14ac:dyDescent="0.25">
      <c r="H612" s="399"/>
    </row>
    <row r="613" spans="8:8" x14ac:dyDescent="0.25">
      <c r="H613" s="399"/>
    </row>
    <row r="614" spans="8:8" x14ac:dyDescent="0.25">
      <c r="H614" s="399"/>
    </row>
    <row r="615" spans="8:8" x14ac:dyDescent="0.25">
      <c r="H615" s="399"/>
    </row>
    <row r="616" spans="8:8" x14ac:dyDescent="0.25">
      <c r="H616" s="399"/>
    </row>
    <row r="617" spans="8:8" x14ac:dyDescent="0.25">
      <c r="H617" s="399"/>
    </row>
    <row r="618" spans="8:8" x14ac:dyDescent="0.25">
      <c r="H618" s="399"/>
    </row>
    <row r="619" spans="8:8" x14ac:dyDescent="0.25">
      <c r="H619" s="399"/>
    </row>
    <row r="620" spans="8:8" x14ac:dyDescent="0.25">
      <c r="H620" s="399"/>
    </row>
    <row r="621" spans="8:8" x14ac:dyDescent="0.25">
      <c r="H621" s="399"/>
    </row>
    <row r="622" spans="8:8" x14ac:dyDescent="0.25">
      <c r="H622" s="399"/>
    </row>
    <row r="623" spans="8:8" x14ac:dyDescent="0.25">
      <c r="H623" s="399"/>
    </row>
    <row r="624" spans="8:8" x14ac:dyDescent="0.25">
      <c r="H624" s="399"/>
    </row>
    <row r="625" spans="8:8" x14ac:dyDescent="0.25">
      <c r="H625" s="399"/>
    </row>
    <row r="626" spans="8:8" x14ac:dyDescent="0.25">
      <c r="H626" s="399"/>
    </row>
    <row r="627" spans="8:8" x14ac:dyDescent="0.25">
      <c r="H627" s="399"/>
    </row>
    <row r="628" spans="8:8" x14ac:dyDescent="0.25">
      <c r="H628" s="399"/>
    </row>
    <row r="629" spans="8:8" x14ac:dyDescent="0.25">
      <c r="H629" s="399"/>
    </row>
    <row r="630" spans="8:8" x14ac:dyDescent="0.25">
      <c r="H630" s="399"/>
    </row>
    <row r="631" spans="8:8" x14ac:dyDescent="0.25">
      <c r="H631" s="399"/>
    </row>
    <row r="632" spans="8:8" x14ac:dyDescent="0.25">
      <c r="H632" s="399"/>
    </row>
    <row r="633" spans="8:8" x14ac:dyDescent="0.25">
      <c r="H633" s="399"/>
    </row>
    <row r="634" spans="8:8" x14ac:dyDescent="0.25">
      <c r="H634" s="399"/>
    </row>
    <row r="635" spans="8:8" x14ac:dyDescent="0.25">
      <c r="H635" s="399"/>
    </row>
    <row r="636" spans="8:8" x14ac:dyDescent="0.25">
      <c r="H636" s="399"/>
    </row>
    <row r="637" spans="8:8" x14ac:dyDescent="0.25">
      <c r="H637" s="399"/>
    </row>
    <row r="638" spans="8:8" x14ac:dyDescent="0.25">
      <c r="H638" s="399"/>
    </row>
    <row r="639" spans="8:8" x14ac:dyDescent="0.25">
      <c r="H639" s="399"/>
    </row>
    <row r="640" spans="8:8" x14ac:dyDescent="0.25">
      <c r="H640" s="399"/>
    </row>
    <row r="641" spans="8:8" x14ac:dyDescent="0.25">
      <c r="H641" s="399"/>
    </row>
    <row r="642" spans="8:8" x14ac:dyDescent="0.25">
      <c r="H642" s="399"/>
    </row>
    <row r="643" spans="8:8" x14ac:dyDescent="0.25">
      <c r="H643" s="399"/>
    </row>
    <row r="644" spans="8:8" x14ac:dyDescent="0.25">
      <c r="H644" s="399"/>
    </row>
    <row r="645" spans="8:8" x14ac:dyDescent="0.25">
      <c r="H645" s="399"/>
    </row>
    <row r="646" spans="8:8" x14ac:dyDescent="0.25">
      <c r="H646" s="399"/>
    </row>
    <row r="647" spans="8:8" x14ac:dyDescent="0.25">
      <c r="H647" s="399"/>
    </row>
    <row r="648" spans="8:8" x14ac:dyDescent="0.25">
      <c r="H648" s="399"/>
    </row>
    <row r="649" spans="8:8" x14ac:dyDescent="0.25">
      <c r="H649" s="399"/>
    </row>
    <row r="650" spans="8:8" x14ac:dyDescent="0.25">
      <c r="H650" s="399"/>
    </row>
    <row r="651" spans="8:8" x14ac:dyDescent="0.25">
      <c r="H651" s="399"/>
    </row>
    <row r="652" spans="8:8" x14ac:dyDescent="0.25">
      <c r="H652" s="399"/>
    </row>
    <row r="653" spans="8:8" x14ac:dyDescent="0.25">
      <c r="H653" s="399"/>
    </row>
    <row r="654" spans="8:8" x14ac:dyDescent="0.25">
      <c r="H654" s="399"/>
    </row>
    <row r="655" spans="8:8" x14ac:dyDescent="0.25">
      <c r="H655" s="399"/>
    </row>
    <row r="656" spans="8:8" x14ac:dyDescent="0.25">
      <c r="H656" s="399"/>
    </row>
    <row r="657" spans="8:8" x14ac:dyDescent="0.25">
      <c r="H657" s="399"/>
    </row>
    <row r="658" spans="8:8" x14ac:dyDescent="0.25">
      <c r="H658" s="399"/>
    </row>
    <row r="659" spans="8:8" x14ac:dyDescent="0.25">
      <c r="H659" s="399"/>
    </row>
    <row r="660" spans="8:8" x14ac:dyDescent="0.25">
      <c r="H660" s="399"/>
    </row>
    <row r="661" spans="8:8" x14ac:dyDescent="0.25">
      <c r="H661" s="399"/>
    </row>
    <row r="662" spans="8:8" x14ac:dyDescent="0.25">
      <c r="H662" s="399"/>
    </row>
    <row r="663" spans="8:8" x14ac:dyDescent="0.25">
      <c r="H663" s="399"/>
    </row>
    <row r="664" spans="8:8" x14ac:dyDescent="0.25">
      <c r="H664" s="399"/>
    </row>
    <row r="665" spans="8:8" x14ac:dyDescent="0.25">
      <c r="H665" s="399"/>
    </row>
    <row r="666" spans="8:8" x14ac:dyDescent="0.25">
      <c r="H666" s="399"/>
    </row>
    <row r="667" spans="8:8" x14ac:dyDescent="0.25">
      <c r="H667" s="399"/>
    </row>
    <row r="668" spans="8:8" x14ac:dyDescent="0.25">
      <c r="H668" s="399"/>
    </row>
    <row r="669" spans="8:8" x14ac:dyDescent="0.25">
      <c r="H669" s="399"/>
    </row>
    <row r="670" spans="8:8" x14ac:dyDescent="0.25">
      <c r="H670" s="399"/>
    </row>
    <row r="671" spans="8:8" x14ac:dyDescent="0.25">
      <c r="H671" s="399"/>
    </row>
    <row r="672" spans="8:8" x14ac:dyDescent="0.25">
      <c r="H672" s="399"/>
    </row>
    <row r="673" spans="8:8" x14ac:dyDescent="0.25">
      <c r="H673" s="399"/>
    </row>
    <row r="674" spans="8:8" x14ac:dyDescent="0.25">
      <c r="H674" s="399"/>
    </row>
    <row r="675" spans="8:8" x14ac:dyDescent="0.25">
      <c r="H675" s="399"/>
    </row>
    <row r="676" spans="8:8" x14ac:dyDescent="0.25">
      <c r="H676" s="399"/>
    </row>
    <row r="677" spans="8:8" x14ac:dyDescent="0.25">
      <c r="H677" s="399"/>
    </row>
    <row r="678" spans="8:8" x14ac:dyDescent="0.25">
      <c r="H678" s="399"/>
    </row>
    <row r="679" spans="8:8" x14ac:dyDescent="0.25">
      <c r="H679" s="399"/>
    </row>
    <row r="680" spans="8:8" x14ac:dyDescent="0.25">
      <c r="H680" s="399"/>
    </row>
    <row r="681" spans="8:8" x14ac:dyDescent="0.25">
      <c r="H681" s="399"/>
    </row>
    <row r="682" spans="8:8" x14ac:dyDescent="0.25">
      <c r="H682" s="399"/>
    </row>
    <row r="683" spans="8:8" x14ac:dyDescent="0.25">
      <c r="H683" s="399"/>
    </row>
    <row r="684" spans="8:8" x14ac:dyDescent="0.25">
      <c r="H684" s="399"/>
    </row>
    <row r="685" spans="8:8" x14ac:dyDescent="0.25">
      <c r="H685" s="399"/>
    </row>
    <row r="686" spans="8:8" x14ac:dyDescent="0.25">
      <c r="H686" s="399"/>
    </row>
    <row r="687" spans="8:8" x14ac:dyDescent="0.25">
      <c r="H687" s="399"/>
    </row>
    <row r="688" spans="8:8" x14ac:dyDescent="0.25">
      <c r="H688" s="399"/>
    </row>
    <row r="689" spans="8:8" x14ac:dyDescent="0.25">
      <c r="H689" s="399"/>
    </row>
    <row r="690" spans="8:8" x14ac:dyDescent="0.25">
      <c r="H690" s="399"/>
    </row>
    <row r="691" spans="8:8" x14ac:dyDescent="0.25">
      <c r="H691" s="399"/>
    </row>
    <row r="692" spans="8:8" x14ac:dyDescent="0.25">
      <c r="H692" s="399"/>
    </row>
    <row r="693" spans="8:8" x14ac:dyDescent="0.25">
      <c r="H693" s="399"/>
    </row>
    <row r="694" spans="8:8" x14ac:dyDescent="0.25">
      <c r="H694" s="399"/>
    </row>
    <row r="695" spans="8:8" x14ac:dyDescent="0.25">
      <c r="H695" s="399"/>
    </row>
    <row r="696" spans="8:8" x14ac:dyDescent="0.25">
      <c r="H696" s="399"/>
    </row>
    <row r="697" spans="8:8" x14ac:dyDescent="0.25">
      <c r="H697" s="399"/>
    </row>
    <row r="698" spans="8:8" x14ac:dyDescent="0.25">
      <c r="H698" s="399"/>
    </row>
    <row r="699" spans="8:8" x14ac:dyDescent="0.25">
      <c r="H699" s="399"/>
    </row>
    <row r="700" spans="8:8" x14ac:dyDescent="0.25">
      <c r="H700" s="399"/>
    </row>
    <row r="701" spans="8:8" x14ac:dyDescent="0.25">
      <c r="H701" s="399"/>
    </row>
    <row r="702" spans="8:8" x14ac:dyDescent="0.25">
      <c r="H702" s="399"/>
    </row>
    <row r="703" spans="8:8" x14ac:dyDescent="0.25">
      <c r="H703" s="399"/>
    </row>
    <row r="704" spans="8:8" x14ac:dyDescent="0.25">
      <c r="H704" s="399"/>
    </row>
    <row r="705" spans="8:8" x14ac:dyDescent="0.25">
      <c r="H705" s="399"/>
    </row>
    <row r="706" spans="8:8" x14ac:dyDescent="0.25">
      <c r="H706" s="399"/>
    </row>
    <row r="707" spans="8:8" x14ac:dyDescent="0.25">
      <c r="H707" s="399"/>
    </row>
    <row r="708" spans="8:8" x14ac:dyDescent="0.25">
      <c r="H708" s="399"/>
    </row>
    <row r="709" spans="8:8" x14ac:dyDescent="0.25">
      <c r="H709" s="399"/>
    </row>
    <row r="710" spans="8:8" x14ac:dyDescent="0.25">
      <c r="H710" s="399"/>
    </row>
    <row r="711" spans="8:8" x14ac:dyDescent="0.25">
      <c r="H711" s="399"/>
    </row>
    <row r="712" spans="8:8" x14ac:dyDescent="0.25">
      <c r="H712" s="399"/>
    </row>
    <row r="713" spans="8:8" x14ac:dyDescent="0.25">
      <c r="H713" s="399"/>
    </row>
    <row r="714" spans="8:8" x14ac:dyDescent="0.25">
      <c r="H714" s="399"/>
    </row>
    <row r="715" spans="8:8" x14ac:dyDescent="0.25">
      <c r="H715" s="399"/>
    </row>
    <row r="716" spans="8:8" x14ac:dyDescent="0.25">
      <c r="H716" s="399"/>
    </row>
    <row r="717" spans="8:8" x14ac:dyDescent="0.25">
      <c r="H717" s="399"/>
    </row>
    <row r="718" spans="8:8" x14ac:dyDescent="0.25">
      <c r="H718" s="399"/>
    </row>
    <row r="719" spans="8:8" x14ac:dyDescent="0.25">
      <c r="H719" s="399"/>
    </row>
    <row r="720" spans="8:8" x14ac:dyDescent="0.25">
      <c r="H720" s="399"/>
    </row>
    <row r="721" spans="8:8" x14ac:dyDescent="0.25">
      <c r="H721" s="399"/>
    </row>
    <row r="722" spans="8:8" x14ac:dyDescent="0.25">
      <c r="H722" s="399"/>
    </row>
    <row r="723" spans="8:8" x14ac:dyDescent="0.25">
      <c r="H723" s="399"/>
    </row>
    <row r="724" spans="8:8" x14ac:dyDescent="0.25">
      <c r="H724" s="399"/>
    </row>
    <row r="725" spans="8:8" x14ac:dyDescent="0.25">
      <c r="H725" s="399"/>
    </row>
    <row r="726" spans="8:8" x14ac:dyDescent="0.25">
      <c r="H726" s="399"/>
    </row>
    <row r="727" spans="8:8" x14ac:dyDescent="0.25">
      <c r="H727" s="399"/>
    </row>
    <row r="728" spans="8:8" x14ac:dyDescent="0.25">
      <c r="H728" s="399"/>
    </row>
    <row r="729" spans="8:8" x14ac:dyDescent="0.25">
      <c r="H729" s="399"/>
    </row>
    <row r="730" spans="8:8" x14ac:dyDescent="0.25">
      <c r="H730" s="399"/>
    </row>
    <row r="731" spans="8:8" x14ac:dyDescent="0.25">
      <c r="H731" s="399"/>
    </row>
    <row r="732" spans="8:8" x14ac:dyDescent="0.25">
      <c r="H732" s="399"/>
    </row>
    <row r="733" spans="8:8" x14ac:dyDescent="0.25">
      <c r="H733" s="399"/>
    </row>
    <row r="734" spans="8:8" x14ac:dyDescent="0.25">
      <c r="H734" s="399"/>
    </row>
    <row r="735" spans="8:8" x14ac:dyDescent="0.25">
      <c r="H735" s="399"/>
    </row>
    <row r="736" spans="8:8" x14ac:dyDescent="0.25">
      <c r="H736" s="399"/>
    </row>
    <row r="737" spans="8:8" x14ac:dyDescent="0.25">
      <c r="H737" s="399"/>
    </row>
    <row r="738" spans="8:8" x14ac:dyDescent="0.25">
      <c r="H738" s="399"/>
    </row>
    <row r="739" spans="8:8" x14ac:dyDescent="0.25">
      <c r="H739" s="399"/>
    </row>
    <row r="740" spans="8:8" x14ac:dyDescent="0.25">
      <c r="H740" s="399"/>
    </row>
    <row r="741" spans="8:8" x14ac:dyDescent="0.25">
      <c r="H741" s="399"/>
    </row>
    <row r="742" spans="8:8" x14ac:dyDescent="0.25">
      <c r="H742" s="399"/>
    </row>
    <row r="743" spans="8:8" x14ac:dyDescent="0.25">
      <c r="H743" s="399"/>
    </row>
    <row r="744" spans="8:8" x14ac:dyDescent="0.25">
      <c r="H744" s="399"/>
    </row>
    <row r="745" spans="8:8" x14ac:dyDescent="0.25">
      <c r="H745" s="399"/>
    </row>
    <row r="746" spans="8:8" x14ac:dyDescent="0.25">
      <c r="H746" s="399"/>
    </row>
    <row r="747" spans="8:8" x14ac:dyDescent="0.25">
      <c r="H747" s="399"/>
    </row>
    <row r="748" spans="8:8" x14ac:dyDescent="0.25">
      <c r="H748" s="399"/>
    </row>
    <row r="749" spans="8:8" x14ac:dyDescent="0.25">
      <c r="H749" s="399"/>
    </row>
    <row r="750" spans="8:8" x14ac:dyDescent="0.25">
      <c r="H750" s="399"/>
    </row>
    <row r="751" spans="8:8" x14ac:dyDescent="0.25">
      <c r="H751" s="399"/>
    </row>
    <row r="752" spans="8:8" x14ac:dyDescent="0.25">
      <c r="H752" s="399"/>
    </row>
    <row r="753" spans="8:8" x14ac:dyDescent="0.25">
      <c r="H753" s="399"/>
    </row>
    <row r="754" spans="8:8" x14ac:dyDescent="0.25">
      <c r="H754" s="399"/>
    </row>
    <row r="755" spans="8:8" x14ac:dyDescent="0.25">
      <c r="H755" s="399"/>
    </row>
    <row r="756" spans="8:8" x14ac:dyDescent="0.25">
      <c r="H756" s="399"/>
    </row>
    <row r="757" spans="8:8" x14ac:dyDescent="0.25">
      <c r="H757" s="399"/>
    </row>
    <row r="758" spans="8:8" x14ac:dyDescent="0.25">
      <c r="H758" s="399"/>
    </row>
    <row r="759" spans="8:8" x14ac:dyDescent="0.25">
      <c r="H759" s="399"/>
    </row>
    <row r="760" spans="8:8" x14ac:dyDescent="0.25">
      <c r="H760" s="399"/>
    </row>
    <row r="761" spans="8:8" x14ac:dyDescent="0.25">
      <c r="H761" s="399"/>
    </row>
    <row r="762" spans="8:8" x14ac:dyDescent="0.25">
      <c r="H762" s="399"/>
    </row>
    <row r="763" spans="8:8" x14ac:dyDescent="0.25">
      <c r="H763" s="399"/>
    </row>
    <row r="764" spans="8:8" x14ac:dyDescent="0.25">
      <c r="H764" s="399"/>
    </row>
    <row r="765" spans="8:8" x14ac:dyDescent="0.25">
      <c r="H765" s="399"/>
    </row>
    <row r="766" spans="8:8" x14ac:dyDescent="0.25">
      <c r="H766" s="399"/>
    </row>
    <row r="767" spans="8:8" x14ac:dyDescent="0.25">
      <c r="H767" s="399"/>
    </row>
    <row r="768" spans="8:8" x14ac:dyDescent="0.25">
      <c r="H768" s="399"/>
    </row>
    <row r="769" spans="8:8" x14ac:dyDescent="0.25">
      <c r="H769" s="399"/>
    </row>
    <row r="770" spans="8:8" x14ac:dyDescent="0.25">
      <c r="H770" s="399"/>
    </row>
    <row r="771" spans="8:8" x14ac:dyDescent="0.25">
      <c r="H771" s="399"/>
    </row>
    <row r="772" spans="8:8" x14ac:dyDescent="0.25">
      <c r="H772" s="399"/>
    </row>
    <row r="773" spans="8:8" x14ac:dyDescent="0.25">
      <c r="H773" s="399"/>
    </row>
    <row r="774" spans="8:8" x14ac:dyDescent="0.25">
      <c r="H774" s="399"/>
    </row>
    <row r="775" spans="8:8" x14ac:dyDescent="0.25">
      <c r="H775" s="399"/>
    </row>
    <row r="776" spans="8:8" x14ac:dyDescent="0.25">
      <c r="H776" s="399"/>
    </row>
    <row r="777" spans="8:8" x14ac:dyDescent="0.25">
      <c r="H777" s="399"/>
    </row>
    <row r="778" spans="8:8" x14ac:dyDescent="0.25">
      <c r="H778" s="399"/>
    </row>
    <row r="779" spans="8:8" x14ac:dyDescent="0.25">
      <c r="H779" s="399"/>
    </row>
    <row r="780" spans="8:8" x14ac:dyDescent="0.25">
      <c r="H780" s="399"/>
    </row>
    <row r="781" spans="8:8" x14ac:dyDescent="0.25">
      <c r="H781" s="399"/>
    </row>
    <row r="782" spans="8:8" x14ac:dyDescent="0.25">
      <c r="H782" s="399"/>
    </row>
    <row r="783" spans="8:8" x14ac:dyDescent="0.25">
      <c r="H783" s="399"/>
    </row>
    <row r="784" spans="8:8" x14ac:dyDescent="0.25">
      <c r="H784" s="399"/>
    </row>
    <row r="785" spans="8:8" x14ac:dyDescent="0.25">
      <c r="H785" s="399"/>
    </row>
    <row r="786" spans="8:8" x14ac:dyDescent="0.25">
      <c r="H786" s="399"/>
    </row>
    <row r="787" spans="8:8" x14ac:dyDescent="0.25">
      <c r="H787" s="399"/>
    </row>
    <row r="788" spans="8:8" x14ac:dyDescent="0.25">
      <c r="H788" s="399"/>
    </row>
    <row r="789" spans="8:8" x14ac:dyDescent="0.25">
      <c r="H789" s="399"/>
    </row>
    <row r="790" spans="8:8" x14ac:dyDescent="0.25">
      <c r="H790" s="399"/>
    </row>
    <row r="791" spans="8:8" x14ac:dyDescent="0.25">
      <c r="H791" s="399"/>
    </row>
    <row r="792" spans="8:8" x14ac:dyDescent="0.25">
      <c r="H792" s="399"/>
    </row>
    <row r="793" spans="8:8" x14ac:dyDescent="0.25">
      <c r="H793" s="399"/>
    </row>
    <row r="794" spans="8:8" x14ac:dyDescent="0.25">
      <c r="H794" s="399"/>
    </row>
    <row r="795" spans="8:8" x14ac:dyDescent="0.25">
      <c r="H795" s="399"/>
    </row>
    <row r="796" spans="8:8" x14ac:dyDescent="0.25">
      <c r="H796" s="399"/>
    </row>
    <row r="797" spans="8:8" x14ac:dyDescent="0.25">
      <c r="H797" s="399"/>
    </row>
    <row r="798" spans="8:8" x14ac:dyDescent="0.25">
      <c r="H798" s="399"/>
    </row>
    <row r="799" spans="8:8" x14ac:dyDescent="0.25">
      <c r="H799" s="399"/>
    </row>
    <row r="800" spans="8:8" x14ac:dyDescent="0.25">
      <c r="H800" s="399"/>
    </row>
    <row r="801" spans="8:8" x14ac:dyDescent="0.25">
      <c r="H801" s="399"/>
    </row>
    <row r="802" spans="8:8" x14ac:dyDescent="0.25">
      <c r="H802" s="399"/>
    </row>
    <row r="803" spans="8:8" x14ac:dyDescent="0.25">
      <c r="H803" s="399"/>
    </row>
    <row r="804" spans="8:8" x14ac:dyDescent="0.25">
      <c r="H804" s="399"/>
    </row>
    <row r="805" spans="8:8" x14ac:dyDescent="0.25">
      <c r="H805" s="399"/>
    </row>
    <row r="806" spans="8:8" x14ac:dyDescent="0.25">
      <c r="H806" s="399"/>
    </row>
    <row r="807" spans="8:8" x14ac:dyDescent="0.25">
      <c r="H807" s="399"/>
    </row>
    <row r="808" spans="8:8" x14ac:dyDescent="0.25">
      <c r="H808" s="399"/>
    </row>
    <row r="809" spans="8:8" x14ac:dyDescent="0.25">
      <c r="H809" s="399"/>
    </row>
    <row r="810" spans="8:8" x14ac:dyDescent="0.25">
      <c r="H810" s="399"/>
    </row>
    <row r="811" spans="8:8" x14ac:dyDescent="0.25">
      <c r="H811" s="399"/>
    </row>
    <row r="812" spans="8:8" x14ac:dyDescent="0.25">
      <c r="H812" s="399"/>
    </row>
    <row r="813" spans="8:8" x14ac:dyDescent="0.25">
      <c r="H813" s="399"/>
    </row>
    <row r="814" spans="8:8" x14ac:dyDescent="0.25">
      <c r="H814" s="399"/>
    </row>
    <row r="815" spans="8:8" x14ac:dyDescent="0.25">
      <c r="H815" s="399"/>
    </row>
    <row r="816" spans="8:8" x14ac:dyDescent="0.25">
      <c r="H816" s="399"/>
    </row>
    <row r="817" spans="8:8" x14ac:dyDescent="0.25">
      <c r="H817" s="399"/>
    </row>
    <row r="818" spans="8:8" x14ac:dyDescent="0.25">
      <c r="H818" s="399"/>
    </row>
    <row r="819" spans="8:8" x14ac:dyDescent="0.25">
      <c r="H819" s="399"/>
    </row>
    <row r="820" spans="8:8" x14ac:dyDescent="0.25">
      <c r="H820" s="399"/>
    </row>
    <row r="821" spans="8:8" x14ac:dyDescent="0.25">
      <c r="H821" s="399"/>
    </row>
    <row r="822" spans="8:8" x14ac:dyDescent="0.25">
      <c r="H822" s="399"/>
    </row>
    <row r="823" spans="8:8" x14ac:dyDescent="0.25">
      <c r="H823" s="399"/>
    </row>
    <row r="824" spans="8:8" x14ac:dyDescent="0.25">
      <c r="H824" s="399"/>
    </row>
    <row r="825" spans="8:8" x14ac:dyDescent="0.25">
      <c r="H825" s="399"/>
    </row>
    <row r="826" spans="8:8" x14ac:dyDescent="0.25">
      <c r="H826" s="399"/>
    </row>
    <row r="827" spans="8:8" x14ac:dyDescent="0.25">
      <c r="H827" s="399"/>
    </row>
    <row r="828" spans="8:8" x14ac:dyDescent="0.25">
      <c r="H828" s="399"/>
    </row>
    <row r="829" spans="8:8" x14ac:dyDescent="0.25">
      <c r="H829" s="399"/>
    </row>
    <row r="830" spans="8:8" x14ac:dyDescent="0.25">
      <c r="H830" s="399"/>
    </row>
    <row r="831" spans="8:8" x14ac:dyDescent="0.25">
      <c r="H831" s="399"/>
    </row>
    <row r="832" spans="8:8" x14ac:dyDescent="0.25">
      <c r="H832" s="399"/>
    </row>
    <row r="833" spans="8:8" x14ac:dyDescent="0.25">
      <c r="H833" s="399"/>
    </row>
    <row r="834" spans="8:8" x14ac:dyDescent="0.25">
      <c r="H834" s="399"/>
    </row>
    <row r="835" spans="8:8" x14ac:dyDescent="0.25">
      <c r="H835" s="399"/>
    </row>
    <row r="836" spans="8:8" x14ac:dyDescent="0.25">
      <c r="H836" s="399"/>
    </row>
    <row r="837" spans="8:8" x14ac:dyDescent="0.25">
      <c r="H837" s="399"/>
    </row>
    <row r="838" spans="8:8" x14ac:dyDescent="0.25">
      <c r="H838" s="399"/>
    </row>
    <row r="839" spans="8:8" x14ac:dyDescent="0.25">
      <c r="H839" s="399"/>
    </row>
    <row r="840" spans="8:8" x14ac:dyDescent="0.25">
      <c r="H840" s="399"/>
    </row>
    <row r="841" spans="8:8" x14ac:dyDescent="0.25">
      <c r="H841" s="399"/>
    </row>
    <row r="842" spans="8:8" x14ac:dyDescent="0.25">
      <c r="H842" s="399"/>
    </row>
    <row r="843" spans="8:8" x14ac:dyDescent="0.25">
      <c r="H843" s="399"/>
    </row>
    <row r="844" spans="8:8" x14ac:dyDescent="0.25">
      <c r="H844" s="399"/>
    </row>
    <row r="845" spans="8:8" x14ac:dyDescent="0.25">
      <c r="H845" s="399"/>
    </row>
    <row r="846" spans="8:8" x14ac:dyDescent="0.25">
      <c r="H846" s="399"/>
    </row>
    <row r="847" spans="8:8" x14ac:dyDescent="0.25">
      <c r="H847" s="399"/>
    </row>
    <row r="848" spans="8:8" x14ac:dyDescent="0.25">
      <c r="H848" s="399"/>
    </row>
    <row r="849" spans="8:8" x14ac:dyDescent="0.25">
      <c r="H849" s="399"/>
    </row>
    <row r="850" spans="8:8" x14ac:dyDescent="0.25">
      <c r="H850" s="399"/>
    </row>
    <row r="851" spans="8:8" x14ac:dyDescent="0.25">
      <c r="H851" s="399"/>
    </row>
    <row r="852" spans="8:8" x14ac:dyDescent="0.25">
      <c r="H852" s="399"/>
    </row>
    <row r="853" spans="8:8" x14ac:dyDescent="0.25">
      <c r="H853" s="399"/>
    </row>
    <row r="854" spans="8:8" x14ac:dyDescent="0.25">
      <c r="H854" s="399"/>
    </row>
    <row r="855" spans="8:8" x14ac:dyDescent="0.25">
      <c r="H855" s="399"/>
    </row>
    <row r="856" spans="8:8" x14ac:dyDescent="0.25">
      <c r="H856" s="399"/>
    </row>
    <row r="857" spans="8:8" x14ac:dyDescent="0.25">
      <c r="H857" s="399"/>
    </row>
    <row r="858" spans="8:8" x14ac:dyDescent="0.25">
      <c r="H858" s="399"/>
    </row>
    <row r="859" spans="8:8" x14ac:dyDescent="0.25">
      <c r="H859" s="399"/>
    </row>
    <row r="860" spans="8:8" x14ac:dyDescent="0.25">
      <c r="H860" s="399"/>
    </row>
    <row r="861" spans="8:8" x14ac:dyDescent="0.25">
      <c r="H861" s="399"/>
    </row>
    <row r="862" spans="8:8" x14ac:dyDescent="0.25">
      <c r="H862" s="399"/>
    </row>
    <row r="863" spans="8:8" x14ac:dyDescent="0.25">
      <c r="H863" s="399"/>
    </row>
    <row r="864" spans="8:8" x14ac:dyDescent="0.25">
      <c r="H864" s="399"/>
    </row>
    <row r="865" spans="8:8" x14ac:dyDescent="0.25">
      <c r="H865" s="399"/>
    </row>
    <row r="866" spans="8:8" x14ac:dyDescent="0.25">
      <c r="H866" s="399"/>
    </row>
    <row r="867" spans="8:8" x14ac:dyDescent="0.25">
      <c r="H867" s="399"/>
    </row>
    <row r="868" spans="8:8" x14ac:dyDescent="0.25">
      <c r="H868" s="399"/>
    </row>
    <row r="869" spans="8:8" x14ac:dyDescent="0.25">
      <c r="H869" s="399"/>
    </row>
    <row r="870" spans="8:8" x14ac:dyDescent="0.25">
      <c r="H870" s="399"/>
    </row>
    <row r="871" spans="8:8" x14ac:dyDescent="0.25">
      <c r="H871" s="399"/>
    </row>
    <row r="872" spans="8:8" x14ac:dyDescent="0.25">
      <c r="H872" s="399"/>
    </row>
    <row r="873" spans="8:8" x14ac:dyDescent="0.25">
      <c r="H873" s="399"/>
    </row>
    <row r="874" spans="8:8" x14ac:dyDescent="0.25">
      <c r="H874" s="399"/>
    </row>
    <row r="875" spans="8:8" x14ac:dyDescent="0.25">
      <c r="H875" s="399"/>
    </row>
    <row r="876" spans="8:8" x14ac:dyDescent="0.25">
      <c r="H876" s="399"/>
    </row>
    <row r="877" spans="8:8" x14ac:dyDescent="0.25">
      <c r="H877" s="399"/>
    </row>
    <row r="878" spans="8:8" x14ac:dyDescent="0.25">
      <c r="H878" s="399"/>
    </row>
    <row r="879" spans="8:8" x14ac:dyDescent="0.25">
      <c r="H879" s="399"/>
    </row>
    <row r="880" spans="8:8" x14ac:dyDescent="0.25">
      <c r="H880" s="399"/>
    </row>
    <row r="881" spans="8:8" x14ac:dyDescent="0.25">
      <c r="H881" s="399"/>
    </row>
    <row r="882" spans="8:8" x14ac:dyDescent="0.25">
      <c r="H882" s="399"/>
    </row>
    <row r="883" spans="8:8" x14ac:dyDescent="0.25">
      <c r="H883" s="399"/>
    </row>
    <row r="884" spans="8:8" x14ac:dyDescent="0.25">
      <c r="H884" s="399"/>
    </row>
    <row r="885" spans="8:8" x14ac:dyDescent="0.25">
      <c r="H885" s="399"/>
    </row>
    <row r="886" spans="8:8" x14ac:dyDescent="0.25">
      <c r="H886" s="399"/>
    </row>
    <row r="887" spans="8:8" x14ac:dyDescent="0.25">
      <c r="H887" s="399"/>
    </row>
    <row r="888" spans="8:8" x14ac:dyDescent="0.25">
      <c r="H888" s="399"/>
    </row>
    <row r="889" spans="8:8" x14ac:dyDescent="0.25">
      <c r="H889" s="399"/>
    </row>
    <row r="890" spans="8:8" x14ac:dyDescent="0.25">
      <c r="H890" s="399"/>
    </row>
    <row r="891" spans="8:8" x14ac:dyDescent="0.25">
      <c r="H891" s="399"/>
    </row>
    <row r="892" spans="8:8" x14ac:dyDescent="0.25">
      <c r="H892" s="399"/>
    </row>
    <row r="893" spans="8:8" x14ac:dyDescent="0.25">
      <c r="H893" s="399"/>
    </row>
    <row r="894" spans="8:8" x14ac:dyDescent="0.25">
      <c r="H894" s="399"/>
    </row>
    <row r="895" spans="8:8" x14ac:dyDescent="0.25">
      <c r="H895" s="399"/>
    </row>
    <row r="896" spans="8:8" x14ac:dyDescent="0.25">
      <c r="H896" s="399"/>
    </row>
    <row r="897" spans="8:8" x14ac:dyDescent="0.25">
      <c r="H897" s="399"/>
    </row>
    <row r="898" spans="8:8" x14ac:dyDescent="0.25">
      <c r="H898" s="399"/>
    </row>
    <row r="899" spans="8:8" x14ac:dyDescent="0.25">
      <c r="H899" s="399"/>
    </row>
    <row r="900" spans="8:8" x14ac:dyDescent="0.25">
      <c r="H900" s="399"/>
    </row>
    <row r="901" spans="8:8" x14ac:dyDescent="0.25">
      <c r="H901" s="399"/>
    </row>
    <row r="902" spans="8:8" x14ac:dyDescent="0.25">
      <c r="H902" s="399"/>
    </row>
    <row r="903" spans="8:8" x14ac:dyDescent="0.25">
      <c r="H903" s="399"/>
    </row>
    <row r="904" spans="8:8" x14ac:dyDescent="0.25">
      <c r="H904" s="399"/>
    </row>
    <row r="905" spans="8:8" x14ac:dyDescent="0.25">
      <c r="H905" s="399"/>
    </row>
    <row r="906" spans="8:8" x14ac:dyDescent="0.25">
      <c r="H906" s="399"/>
    </row>
    <row r="907" spans="8:8" x14ac:dyDescent="0.25">
      <c r="H907" s="399"/>
    </row>
    <row r="908" spans="8:8" x14ac:dyDescent="0.25">
      <c r="H908" s="399"/>
    </row>
    <row r="909" spans="8:8" x14ac:dyDescent="0.25">
      <c r="H909" s="399"/>
    </row>
    <row r="910" spans="8:8" x14ac:dyDescent="0.25">
      <c r="H910" s="399"/>
    </row>
    <row r="911" spans="8:8" x14ac:dyDescent="0.25">
      <c r="H911" s="399"/>
    </row>
    <row r="912" spans="8:8" x14ac:dyDescent="0.25">
      <c r="H912" s="399"/>
    </row>
    <row r="913" spans="8:8" x14ac:dyDescent="0.25">
      <c r="H913" s="399"/>
    </row>
    <row r="914" spans="8:8" x14ac:dyDescent="0.25">
      <c r="H914" s="399"/>
    </row>
    <row r="915" spans="8:8" x14ac:dyDescent="0.25">
      <c r="H915" s="399"/>
    </row>
    <row r="916" spans="8:8" x14ac:dyDescent="0.25">
      <c r="H916" s="399"/>
    </row>
    <row r="917" spans="8:8" x14ac:dyDescent="0.25">
      <c r="H917" s="399"/>
    </row>
    <row r="918" spans="8:8" x14ac:dyDescent="0.25">
      <c r="H918" s="399"/>
    </row>
    <row r="919" spans="8:8" x14ac:dyDescent="0.25">
      <c r="H919" s="399"/>
    </row>
    <row r="920" spans="8:8" x14ac:dyDescent="0.25">
      <c r="H920" s="399"/>
    </row>
    <row r="921" spans="8:8" x14ac:dyDescent="0.25">
      <c r="H921" s="399"/>
    </row>
    <row r="922" spans="8:8" x14ac:dyDescent="0.25">
      <c r="H922" s="399"/>
    </row>
    <row r="923" spans="8:8" x14ac:dyDescent="0.25">
      <c r="H923" s="399"/>
    </row>
    <row r="924" spans="8:8" x14ac:dyDescent="0.25">
      <c r="H924" s="399"/>
    </row>
    <row r="925" spans="8:8" x14ac:dyDescent="0.25">
      <c r="H925" s="399"/>
    </row>
    <row r="926" spans="8:8" x14ac:dyDescent="0.25">
      <c r="H926" s="399"/>
    </row>
    <row r="927" spans="8:8" x14ac:dyDescent="0.25">
      <c r="H927" s="399"/>
    </row>
    <row r="928" spans="8:8" x14ac:dyDescent="0.25">
      <c r="H928" s="399"/>
    </row>
    <row r="929" spans="8:8" x14ac:dyDescent="0.25">
      <c r="H929" s="399"/>
    </row>
    <row r="930" spans="8:8" x14ac:dyDescent="0.25">
      <c r="H930" s="399"/>
    </row>
    <row r="931" spans="8:8" x14ac:dyDescent="0.25">
      <c r="H931" s="399"/>
    </row>
    <row r="932" spans="8:8" x14ac:dyDescent="0.25">
      <c r="H932" s="399"/>
    </row>
    <row r="933" spans="8:8" x14ac:dyDescent="0.25">
      <c r="H933" s="399"/>
    </row>
    <row r="934" spans="8:8" x14ac:dyDescent="0.25">
      <c r="H934" s="399"/>
    </row>
    <row r="935" spans="8:8" x14ac:dyDescent="0.25">
      <c r="H935" s="399"/>
    </row>
    <row r="936" spans="8:8" x14ac:dyDescent="0.25">
      <c r="H936" s="399"/>
    </row>
    <row r="937" spans="8:8" x14ac:dyDescent="0.25">
      <c r="H937" s="399"/>
    </row>
    <row r="938" spans="8:8" x14ac:dyDescent="0.25">
      <c r="H938" s="399"/>
    </row>
    <row r="939" spans="8:8" x14ac:dyDescent="0.25">
      <c r="H939" s="399"/>
    </row>
    <row r="940" spans="8:8" x14ac:dyDescent="0.25">
      <c r="H940" s="399"/>
    </row>
    <row r="941" spans="8:8" x14ac:dyDescent="0.25">
      <c r="H941" s="399"/>
    </row>
    <row r="942" spans="8:8" x14ac:dyDescent="0.25">
      <c r="H942" s="399"/>
    </row>
    <row r="943" spans="8:8" x14ac:dyDescent="0.25">
      <c r="H943" s="399"/>
    </row>
    <row r="944" spans="8:8" x14ac:dyDescent="0.25">
      <c r="H944" s="399"/>
    </row>
    <row r="945" spans="8:8" x14ac:dyDescent="0.25">
      <c r="H945" s="399"/>
    </row>
    <row r="946" spans="8:8" x14ac:dyDescent="0.25">
      <c r="H946" s="399"/>
    </row>
    <row r="947" spans="8:8" x14ac:dyDescent="0.25">
      <c r="H947" s="399"/>
    </row>
    <row r="948" spans="8:8" x14ac:dyDescent="0.25">
      <c r="H948" s="399"/>
    </row>
    <row r="949" spans="8:8" x14ac:dyDescent="0.25">
      <c r="H949" s="399"/>
    </row>
    <row r="950" spans="8:8" x14ac:dyDescent="0.25">
      <c r="H950" s="399"/>
    </row>
    <row r="951" spans="8:8" x14ac:dyDescent="0.25">
      <c r="H951" s="399"/>
    </row>
    <row r="952" spans="8:8" x14ac:dyDescent="0.25">
      <c r="H952" s="399"/>
    </row>
    <row r="953" spans="8:8" x14ac:dyDescent="0.25">
      <c r="H953" s="399"/>
    </row>
    <row r="954" spans="8:8" x14ac:dyDescent="0.25">
      <c r="H954" s="399"/>
    </row>
    <row r="955" spans="8:8" x14ac:dyDescent="0.25">
      <c r="H955" s="399"/>
    </row>
    <row r="956" spans="8:8" x14ac:dyDescent="0.25">
      <c r="H956" s="399"/>
    </row>
    <row r="957" spans="8:8" x14ac:dyDescent="0.25">
      <c r="H957" s="399"/>
    </row>
    <row r="958" spans="8:8" x14ac:dyDescent="0.25">
      <c r="H958" s="399"/>
    </row>
    <row r="959" spans="8:8" x14ac:dyDescent="0.25">
      <c r="H959" s="399"/>
    </row>
    <row r="960" spans="8:8" x14ac:dyDescent="0.25">
      <c r="H960" s="399"/>
    </row>
    <row r="961" spans="8:8" x14ac:dyDescent="0.25">
      <c r="H961" s="399"/>
    </row>
    <row r="962" spans="8:8" x14ac:dyDescent="0.25">
      <c r="H962" s="399"/>
    </row>
    <row r="963" spans="8:8" x14ac:dyDescent="0.25">
      <c r="H963" s="399"/>
    </row>
    <row r="964" spans="8:8" x14ac:dyDescent="0.25">
      <c r="H964" s="399"/>
    </row>
    <row r="965" spans="8:8" x14ac:dyDescent="0.25">
      <c r="H965" s="399"/>
    </row>
    <row r="966" spans="8:8" x14ac:dyDescent="0.25">
      <c r="H966" s="399"/>
    </row>
    <row r="967" spans="8:8" x14ac:dyDescent="0.25">
      <c r="H967" s="399"/>
    </row>
    <row r="968" spans="8:8" x14ac:dyDescent="0.25">
      <c r="H968" s="399"/>
    </row>
    <row r="969" spans="8:8" x14ac:dyDescent="0.25">
      <c r="H969" s="399"/>
    </row>
    <row r="970" spans="8:8" x14ac:dyDescent="0.25">
      <c r="H970" s="399"/>
    </row>
    <row r="971" spans="8:8" x14ac:dyDescent="0.25">
      <c r="H971" s="399"/>
    </row>
    <row r="972" spans="8:8" x14ac:dyDescent="0.25">
      <c r="H972" s="399"/>
    </row>
    <row r="973" spans="8:8" x14ac:dyDescent="0.25">
      <c r="H973" s="399"/>
    </row>
    <row r="974" spans="8:8" x14ac:dyDescent="0.25">
      <c r="H974" s="399"/>
    </row>
    <row r="975" spans="8:8" x14ac:dyDescent="0.25">
      <c r="H975" s="399"/>
    </row>
    <row r="976" spans="8:8" x14ac:dyDescent="0.25">
      <c r="H976" s="399"/>
    </row>
    <row r="977" spans="8:8" x14ac:dyDescent="0.25">
      <c r="H977" s="399"/>
    </row>
    <row r="978" spans="8:8" x14ac:dyDescent="0.25">
      <c r="H978" s="399"/>
    </row>
    <row r="979" spans="8:8" x14ac:dyDescent="0.25">
      <c r="H979" s="399"/>
    </row>
    <row r="980" spans="8:8" x14ac:dyDescent="0.25">
      <c r="H980" s="399"/>
    </row>
    <row r="981" spans="8:8" x14ac:dyDescent="0.25">
      <c r="H981" s="399"/>
    </row>
    <row r="982" spans="8:8" x14ac:dyDescent="0.25">
      <c r="H982" s="399"/>
    </row>
    <row r="983" spans="8:8" x14ac:dyDescent="0.25">
      <c r="H983" s="399"/>
    </row>
    <row r="984" spans="8:8" x14ac:dyDescent="0.25">
      <c r="H984" s="399"/>
    </row>
    <row r="985" spans="8:8" x14ac:dyDescent="0.25">
      <c r="H985" s="399"/>
    </row>
    <row r="986" spans="8:8" x14ac:dyDescent="0.25">
      <c r="H986" s="399"/>
    </row>
    <row r="987" spans="8:8" x14ac:dyDescent="0.25">
      <c r="H987" s="399"/>
    </row>
    <row r="988" spans="8:8" x14ac:dyDescent="0.25">
      <c r="H988" s="399"/>
    </row>
    <row r="989" spans="8:8" x14ac:dyDescent="0.25">
      <c r="H989" s="399"/>
    </row>
    <row r="990" spans="8:8" x14ac:dyDescent="0.25">
      <c r="H990" s="399"/>
    </row>
    <row r="991" spans="8:8" x14ac:dyDescent="0.25">
      <c r="H991" s="399"/>
    </row>
    <row r="992" spans="8:8" x14ac:dyDescent="0.25">
      <c r="H992" s="399"/>
    </row>
    <row r="993" spans="8:8" x14ac:dyDescent="0.25">
      <c r="H993" s="399"/>
    </row>
    <row r="994" spans="8:8" x14ac:dyDescent="0.25">
      <c r="H994" s="399"/>
    </row>
    <row r="995" spans="8:8" x14ac:dyDescent="0.25">
      <c r="H995" s="399"/>
    </row>
    <row r="996" spans="8:8" x14ac:dyDescent="0.25">
      <c r="H996" s="399"/>
    </row>
  </sheetData>
  <mergeCells count="41">
    <mergeCell ref="A217:B217"/>
    <mergeCell ref="A218:H218"/>
    <mergeCell ref="H73:H80"/>
    <mergeCell ref="H5:H11"/>
    <mergeCell ref="H13:H15"/>
    <mergeCell ref="H17:H23"/>
    <mergeCell ref="H25:H27"/>
    <mergeCell ref="H28:H29"/>
    <mergeCell ref="H34:H35"/>
    <mergeCell ref="H37:H45"/>
    <mergeCell ref="H48:H50"/>
    <mergeCell ref="H52:H54"/>
    <mergeCell ref="H56:H59"/>
    <mergeCell ref="H63:H66"/>
    <mergeCell ref="H68:H71"/>
    <mergeCell ref="H122:H125"/>
    <mergeCell ref="H127:H130"/>
    <mergeCell ref="H132:H133"/>
    <mergeCell ref="H137:H141"/>
    <mergeCell ref="H82:H85"/>
    <mergeCell ref="H87:H95"/>
    <mergeCell ref="H99:H101"/>
    <mergeCell ref="H104:H108"/>
    <mergeCell ref="H109:H110"/>
    <mergeCell ref="H111:H112"/>
    <mergeCell ref="H214:H215"/>
    <mergeCell ref="C1:E1"/>
    <mergeCell ref="H172:H175"/>
    <mergeCell ref="H180:H185"/>
    <mergeCell ref="H188:H194"/>
    <mergeCell ref="H196:H198"/>
    <mergeCell ref="H200:H203"/>
    <mergeCell ref="H206:H210"/>
    <mergeCell ref="H143:H148"/>
    <mergeCell ref="H150:H152"/>
    <mergeCell ref="H157:H160"/>
    <mergeCell ref="H161:H164"/>
    <mergeCell ref="H166:H167"/>
    <mergeCell ref="H169:H170"/>
    <mergeCell ref="H114:H115"/>
    <mergeCell ref="H117:H118"/>
  </mergeCells>
  <pageMargins left="0.70866141732283472" right="0.70866141732283472" top="0.74803149606299213" bottom="0.74803149606299213" header="0.31496062992125984" footer="0.31496062992125984"/>
  <pageSetup paperSize="5" scale="37"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985"/>
  <sheetViews>
    <sheetView tabSelected="1" view="pageBreakPreview" topLeftCell="A4" zoomScale="68" zoomScaleNormal="68" zoomScaleSheetLayoutView="68" workbookViewId="0">
      <pane xSplit="1" ySplit="3" topLeftCell="B7" activePane="bottomRight" state="frozen"/>
      <selection activeCell="A4" sqref="A4"/>
      <selection pane="topRight" activeCell="B4" sqref="B4"/>
      <selection pane="bottomLeft" activeCell="A7" sqref="A7"/>
      <selection pane="bottomRight" activeCell="A9" sqref="A9"/>
    </sheetView>
  </sheetViews>
  <sheetFormatPr baseColWidth="10" defaultColWidth="14.42578125" defaultRowHeight="15" customHeight="1" x14ac:dyDescent="0.25"/>
  <cols>
    <col min="1" max="1" width="59.7109375" customWidth="1"/>
    <col min="2" max="2" width="20" customWidth="1"/>
    <col min="3" max="3" width="14.28515625" customWidth="1"/>
    <col min="4" max="4" width="11.7109375" customWidth="1"/>
    <col min="5" max="5" width="10.28515625" customWidth="1"/>
    <col min="6" max="6" width="11.42578125" customWidth="1"/>
    <col min="7" max="7" width="11.42578125" style="754" customWidth="1"/>
    <col min="8" max="8" width="11.42578125" customWidth="1"/>
    <col min="9" max="9" width="11.85546875" customWidth="1"/>
    <col min="10" max="10" width="13" style="223" customWidth="1"/>
    <col min="11" max="11" width="15.28515625" customWidth="1"/>
    <col min="12" max="12" width="9" customWidth="1"/>
    <col min="13" max="14" width="8.140625" style="223" customWidth="1"/>
    <col min="15" max="15" width="13" style="223" customWidth="1"/>
    <col min="16" max="16" width="9.28515625" customWidth="1"/>
    <col min="17" max="17" width="13.5703125" customWidth="1"/>
    <col min="18" max="18" width="12.28515625" customWidth="1"/>
    <col min="19" max="19" width="58.28515625" style="299" customWidth="1"/>
    <col min="20" max="20" width="26.140625" customWidth="1"/>
    <col min="21" max="21" width="27" customWidth="1"/>
    <col min="22" max="24" width="20.85546875" customWidth="1"/>
    <col min="25" max="25" width="15.28515625" customWidth="1"/>
    <col min="26" max="26" width="15.5703125" customWidth="1"/>
    <col min="27" max="27" width="16.140625" customWidth="1"/>
    <col min="28" max="28" width="21.5703125" customWidth="1"/>
    <col min="29" max="30" width="18" customWidth="1"/>
    <col min="31" max="32" width="24.28515625" customWidth="1"/>
    <col min="33" max="33" width="26.140625" customWidth="1"/>
    <col min="34" max="35" width="28.140625" customWidth="1"/>
    <col min="36" max="37" width="28.140625" style="247" customWidth="1"/>
    <col min="38" max="38" width="20.28515625" customWidth="1"/>
    <col min="39" max="39" width="26.5703125" customWidth="1"/>
    <col min="40" max="40" width="28.140625" customWidth="1"/>
    <col min="41" max="42" width="30.5703125" style="247" customWidth="1"/>
    <col min="43" max="43" width="25.7109375" style="250" customWidth="1"/>
    <col min="44" max="44" width="27.85546875" customWidth="1"/>
    <col min="45" max="45" width="25.42578125" customWidth="1"/>
    <col min="46" max="46" width="25.5703125" customWidth="1"/>
    <col min="47" max="47" width="32" customWidth="1"/>
    <col min="48" max="48" width="25.5703125" customWidth="1"/>
    <col min="49" max="50" width="28.7109375" customWidth="1"/>
    <col min="51" max="51" width="26.42578125" customWidth="1"/>
    <col min="52" max="52" width="29.7109375" customWidth="1"/>
    <col min="53" max="53" width="29" customWidth="1"/>
    <col min="54" max="54" width="17.42578125" customWidth="1"/>
    <col min="55" max="55" width="26.5703125" customWidth="1"/>
    <col min="56" max="56" width="17.42578125" customWidth="1"/>
    <col min="57" max="57" width="25" customWidth="1"/>
    <col min="58" max="58" width="20.7109375" customWidth="1"/>
    <col min="59" max="59" width="32.42578125" customWidth="1"/>
    <col min="60" max="60" width="20.42578125" customWidth="1"/>
    <col min="61" max="61" width="32.42578125" style="223" customWidth="1"/>
  </cols>
  <sheetData>
    <row r="1" spans="1:61" ht="105" customHeight="1" x14ac:dyDescent="0.25">
      <c r="A1" s="1226"/>
      <c r="B1" s="1227"/>
      <c r="C1" s="1228"/>
      <c r="D1" s="1229"/>
      <c r="E1" s="1228"/>
      <c r="F1" s="1228"/>
      <c r="G1" s="1229"/>
      <c r="H1" s="1229"/>
      <c r="I1" s="1228"/>
      <c r="J1" s="1228"/>
      <c r="K1" s="1229"/>
      <c r="L1" s="1228"/>
      <c r="M1" s="1229"/>
      <c r="N1" s="1229"/>
      <c r="O1" s="1229"/>
      <c r="P1" s="1228"/>
      <c r="Q1" s="1228"/>
      <c r="R1" s="1229"/>
      <c r="S1" s="1228"/>
      <c r="T1" s="1228"/>
      <c r="U1" s="1228"/>
      <c r="V1" s="1228"/>
      <c r="W1" s="1228"/>
      <c r="X1" s="1228"/>
      <c r="Y1" s="1228"/>
      <c r="Z1" s="1228"/>
      <c r="AA1" s="1228"/>
      <c r="AB1" s="1228"/>
      <c r="AC1" s="1229"/>
      <c r="AD1" s="1229"/>
      <c r="AE1" s="1228"/>
      <c r="AF1" s="1229"/>
      <c r="AG1" s="1228"/>
      <c r="AH1" s="1228"/>
      <c r="AI1" s="1229"/>
      <c r="AJ1" s="1228"/>
      <c r="AK1" s="1229"/>
      <c r="AL1" s="1228"/>
      <c r="AM1" s="1229"/>
      <c r="AN1" s="1229"/>
      <c r="AO1" s="1228"/>
      <c r="AP1" s="1229"/>
      <c r="AQ1" s="1228"/>
      <c r="AR1" s="1228"/>
      <c r="AS1" s="1228"/>
      <c r="AT1" s="1228"/>
      <c r="AU1" s="1229"/>
      <c r="AV1" s="1229"/>
      <c r="AW1" s="1229"/>
      <c r="AX1" s="1229"/>
      <c r="AY1" s="1228"/>
      <c r="AZ1" s="1228"/>
      <c r="BA1" s="1228"/>
      <c r="BB1" s="1228"/>
      <c r="BC1" s="1229"/>
      <c r="BD1" s="1229"/>
      <c r="BE1" s="1228"/>
      <c r="BF1" s="1228"/>
      <c r="BG1" s="1228"/>
      <c r="BH1" s="1228"/>
      <c r="BI1" s="1230"/>
    </row>
    <row r="2" spans="1:61" ht="19.5" customHeight="1" x14ac:dyDescent="0.25">
      <c r="A2" s="1231" t="str">
        <f>+'Datos Generales'!C5</f>
        <v>Corporación Autónoma Regional del Cesar – CORPOCESAR</v>
      </c>
      <c r="B2" s="1232"/>
      <c r="C2" s="1228"/>
      <c r="D2" s="1229"/>
      <c r="E2" s="1228"/>
      <c r="F2" s="1228"/>
      <c r="G2" s="1229"/>
      <c r="H2" s="1229"/>
      <c r="I2" s="1228"/>
      <c r="J2" s="1228"/>
      <c r="K2" s="1229"/>
      <c r="L2" s="1228"/>
      <c r="M2" s="1229"/>
      <c r="N2" s="1229"/>
      <c r="O2" s="1229"/>
      <c r="P2" s="1228"/>
      <c r="Q2" s="1228"/>
      <c r="R2" s="1229"/>
      <c r="S2" s="1228"/>
      <c r="T2" s="1228"/>
      <c r="U2" s="1228"/>
      <c r="V2" s="1228"/>
      <c r="W2" s="1228"/>
      <c r="X2" s="1228"/>
      <c r="Y2" s="1228"/>
      <c r="Z2" s="1228"/>
      <c r="AA2" s="1228"/>
      <c r="AB2" s="1228"/>
      <c r="AC2" s="1229"/>
      <c r="AD2" s="1229"/>
      <c r="AE2" s="1228"/>
      <c r="AF2" s="1229"/>
      <c r="AG2" s="1228"/>
      <c r="AH2" s="1228"/>
      <c r="AI2" s="1229"/>
      <c r="AJ2" s="1228"/>
      <c r="AK2" s="1229"/>
      <c r="AL2" s="1228"/>
      <c r="AM2" s="1229"/>
      <c r="AN2" s="1229"/>
      <c r="AO2" s="1228"/>
      <c r="AP2" s="1229"/>
      <c r="AQ2" s="1228"/>
      <c r="AR2" s="1228"/>
      <c r="AS2" s="1228"/>
      <c r="AT2" s="1228"/>
      <c r="AU2" s="1229"/>
      <c r="AV2" s="1229"/>
      <c r="AW2" s="1229"/>
      <c r="AX2" s="1229"/>
      <c r="AY2" s="1228"/>
      <c r="AZ2" s="1228"/>
      <c r="BA2" s="1228"/>
      <c r="BB2" s="1228"/>
      <c r="BC2" s="1229"/>
      <c r="BD2" s="1229"/>
      <c r="BE2" s="1228"/>
      <c r="BF2" s="1228"/>
      <c r="BG2" s="1228"/>
      <c r="BH2" s="1228"/>
      <c r="BI2" s="1230"/>
    </row>
    <row r="3" spans="1:61" ht="19.5" customHeight="1" x14ac:dyDescent="0.25">
      <c r="A3" s="1239" t="str">
        <f>+'Datos Generales'!C6</f>
        <v>2023-I</v>
      </c>
      <c r="B3" s="1232"/>
      <c r="C3" s="1232"/>
      <c r="D3" s="1232"/>
      <c r="E3" s="1232"/>
      <c r="F3" s="1232"/>
      <c r="G3" s="1232"/>
      <c r="H3" s="1232"/>
      <c r="I3" s="1232"/>
      <c r="J3" s="1232"/>
      <c r="K3" s="1232"/>
      <c r="L3" s="1232"/>
      <c r="M3" s="1232"/>
      <c r="N3" s="1232"/>
      <c r="O3" s="1232"/>
      <c r="P3" s="1232"/>
      <c r="Q3" s="1232"/>
      <c r="R3" s="1232"/>
      <c r="S3" s="1232"/>
      <c r="T3" s="1232"/>
      <c r="U3" s="1232"/>
      <c r="V3" s="1232"/>
      <c r="W3" s="1232"/>
      <c r="X3" s="1232"/>
      <c r="Y3" s="1232"/>
      <c r="Z3" s="1232"/>
      <c r="AA3" s="1232"/>
      <c r="AB3" s="1232"/>
      <c r="AC3" s="1232"/>
      <c r="AD3" s="1232"/>
      <c r="AE3" s="1232"/>
      <c r="AF3" s="1232"/>
      <c r="AG3" s="1232"/>
      <c r="AH3" s="1232"/>
      <c r="AI3" s="1232"/>
      <c r="AJ3" s="1232"/>
      <c r="AK3" s="1232"/>
      <c r="AL3" s="1232"/>
      <c r="AM3" s="1232"/>
      <c r="AN3" s="1232"/>
      <c r="AO3" s="1232"/>
      <c r="AP3" s="1232"/>
      <c r="AQ3" s="1232"/>
      <c r="AR3" s="1232"/>
      <c r="AS3" s="1232"/>
      <c r="AT3" s="1232"/>
      <c r="AU3" s="1232"/>
      <c r="AV3" s="1232"/>
      <c r="AW3" s="1232"/>
      <c r="AX3" s="1232"/>
      <c r="AY3" s="1232"/>
      <c r="AZ3" s="1232"/>
      <c r="BA3" s="1232"/>
      <c r="BB3" s="1232"/>
      <c r="BC3" s="1232"/>
      <c r="BD3" s="1232"/>
      <c r="BE3" s="1232"/>
      <c r="BF3" s="1232"/>
      <c r="BG3" s="1232"/>
      <c r="BH3" s="1232"/>
      <c r="BI3" s="1232"/>
    </row>
    <row r="4" spans="1:61" ht="37.5" customHeight="1" x14ac:dyDescent="0.25">
      <c r="A4" s="1240" t="s">
        <v>103</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1"/>
      <c r="AG4" s="1200"/>
      <c r="AH4" s="1201"/>
      <c r="AI4" s="1201"/>
      <c r="AJ4" s="1201"/>
      <c r="AK4" s="1201"/>
      <c r="AL4" s="1201"/>
      <c r="AM4" s="1201"/>
      <c r="AN4" s="1201"/>
      <c r="AO4" s="1201"/>
      <c r="AP4" s="1201"/>
      <c r="AQ4" s="1201"/>
      <c r="AR4" s="1201"/>
      <c r="AS4" s="1201"/>
      <c r="AT4" s="1201"/>
      <c r="AU4" s="1201"/>
      <c r="AV4" s="1201"/>
      <c r="AW4" s="1201"/>
      <c r="AX4" s="1201"/>
      <c r="AY4" s="1201"/>
      <c r="AZ4" s="1201"/>
      <c r="BA4" s="1201"/>
      <c r="BB4" s="1201"/>
      <c r="BC4" s="1201"/>
      <c r="BD4" s="1202"/>
      <c r="BE4" s="1205"/>
      <c r="BF4" s="1206"/>
      <c r="BG4" s="1206"/>
      <c r="BH4" s="1207"/>
      <c r="BI4" s="1233" t="s">
        <v>104</v>
      </c>
    </row>
    <row r="5" spans="1:61" ht="50.25" customHeight="1" x14ac:dyDescent="0.25">
      <c r="A5" s="1242" t="s">
        <v>1771</v>
      </c>
      <c r="B5" s="1244" t="s">
        <v>1772</v>
      </c>
      <c r="C5" s="1235" t="s">
        <v>1773</v>
      </c>
      <c r="D5" s="1235" t="s">
        <v>105</v>
      </c>
      <c r="E5" s="1235"/>
      <c r="F5" s="1235"/>
      <c r="G5" s="1235"/>
      <c r="H5" s="1235" t="s">
        <v>1774</v>
      </c>
      <c r="I5" s="1235"/>
      <c r="J5" s="1235"/>
      <c r="K5" s="1235"/>
      <c r="L5" s="1235" t="s">
        <v>1775</v>
      </c>
      <c r="M5" s="1235"/>
      <c r="N5" s="1235"/>
      <c r="O5" s="1235" t="s">
        <v>1780</v>
      </c>
      <c r="P5" s="1235"/>
      <c r="Q5" s="1235"/>
      <c r="R5" s="1235"/>
      <c r="S5" s="1246" t="s">
        <v>1781</v>
      </c>
      <c r="T5" s="1218" t="s">
        <v>1782</v>
      </c>
      <c r="U5" s="1218" t="s">
        <v>1783</v>
      </c>
      <c r="V5" s="1218" t="s">
        <v>1784</v>
      </c>
      <c r="W5" s="1218" t="s">
        <v>1785</v>
      </c>
      <c r="X5" s="1218" t="s">
        <v>1786</v>
      </c>
      <c r="Y5" s="1218" t="s">
        <v>1787</v>
      </c>
      <c r="Z5" s="1218" t="s">
        <v>1788</v>
      </c>
      <c r="AA5" s="1220" t="s">
        <v>109</v>
      </c>
      <c r="AB5" s="1095" t="s">
        <v>1790</v>
      </c>
      <c r="AC5" s="1221" t="s">
        <v>1789</v>
      </c>
      <c r="AD5" s="1221"/>
      <c r="AE5" s="1221"/>
      <c r="AF5" s="1221"/>
      <c r="AG5" s="1214" t="s">
        <v>110</v>
      </c>
      <c r="AH5" s="1248" t="s">
        <v>111</v>
      </c>
      <c r="AI5" s="1249"/>
      <c r="AJ5" s="1249"/>
      <c r="AK5" s="1250"/>
      <c r="AL5" s="1214" t="s">
        <v>112</v>
      </c>
      <c r="AM5" s="1236" t="s">
        <v>113</v>
      </c>
      <c r="AN5" s="1237"/>
      <c r="AO5" s="1237"/>
      <c r="AP5" s="1238"/>
      <c r="AQ5" s="1216" t="s">
        <v>1345</v>
      </c>
      <c r="AR5" s="1208" t="s">
        <v>1826</v>
      </c>
      <c r="AS5" s="1208" t="s">
        <v>114</v>
      </c>
      <c r="AT5" s="1208" t="s">
        <v>115</v>
      </c>
      <c r="AU5" s="1208" t="s">
        <v>1827</v>
      </c>
      <c r="AV5" s="1208" t="s">
        <v>1828</v>
      </c>
      <c r="AW5" s="1208" t="s">
        <v>1829</v>
      </c>
      <c r="AX5" s="1208" t="s">
        <v>1830</v>
      </c>
      <c r="AY5" s="1208" t="s">
        <v>1831</v>
      </c>
      <c r="AZ5" s="1210" t="s">
        <v>1832</v>
      </c>
      <c r="BA5" s="1212" t="s">
        <v>1833</v>
      </c>
      <c r="BB5" s="1212" t="s">
        <v>1834</v>
      </c>
      <c r="BC5" s="1212" t="s">
        <v>1835</v>
      </c>
      <c r="BD5" s="1212" t="s">
        <v>1836</v>
      </c>
      <c r="BE5" s="1203" t="s">
        <v>1837</v>
      </c>
      <c r="BF5" s="1203" t="s">
        <v>1838</v>
      </c>
      <c r="BG5" s="1203" t="s">
        <v>1839</v>
      </c>
      <c r="BH5" s="1203" t="s">
        <v>1840</v>
      </c>
      <c r="BI5" s="1234"/>
    </row>
    <row r="6" spans="1:61" ht="13.5" customHeight="1" x14ac:dyDescent="0.25">
      <c r="A6" s="1243"/>
      <c r="B6" s="1245"/>
      <c r="C6" s="1235"/>
      <c r="D6" s="1105">
        <v>2020</v>
      </c>
      <c r="E6" s="1105">
        <v>2021</v>
      </c>
      <c r="F6" s="1105">
        <v>2022</v>
      </c>
      <c r="G6" s="1105">
        <v>2023</v>
      </c>
      <c r="H6" s="1105">
        <v>2020</v>
      </c>
      <c r="I6" s="1105">
        <v>2021</v>
      </c>
      <c r="J6" s="1105">
        <v>2022</v>
      </c>
      <c r="K6" s="1105">
        <v>2023</v>
      </c>
      <c r="L6" s="1105">
        <v>2020</v>
      </c>
      <c r="M6" s="1105">
        <v>2021</v>
      </c>
      <c r="N6" s="1105">
        <v>2022</v>
      </c>
      <c r="O6" s="1105">
        <v>2020</v>
      </c>
      <c r="P6" s="1105">
        <v>2021</v>
      </c>
      <c r="Q6" s="1105">
        <v>2022</v>
      </c>
      <c r="R6" s="1105">
        <v>2023</v>
      </c>
      <c r="S6" s="1247"/>
      <c r="T6" s="1219"/>
      <c r="U6" s="1219"/>
      <c r="V6" s="1219"/>
      <c r="W6" s="1219"/>
      <c r="X6" s="1219"/>
      <c r="Y6" s="1219"/>
      <c r="Z6" s="1219"/>
      <c r="AA6" s="1219"/>
      <c r="AB6" s="1083" t="s">
        <v>1611</v>
      </c>
      <c r="AC6" s="1083">
        <v>2020</v>
      </c>
      <c r="AD6" s="1083">
        <v>2021</v>
      </c>
      <c r="AE6" s="1083">
        <v>2022</v>
      </c>
      <c r="AF6" s="1083">
        <v>2023</v>
      </c>
      <c r="AG6" s="1215"/>
      <c r="AH6" s="1127">
        <v>2020</v>
      </c>
      <c r="AI6" s="1127">
        <v>2021</v>
      </c>
      <c r="AJ6" s="1128">
        <v>2022</v>
      </c>
      <c r="AK6" s="1128">
        <v>2023</v>
      </c>
      <c r="AL6" s="1215"/>
      <c r="AM6" s="1127">
        <v>2020</v>
      </c>
      <c r="AN6" s="1127">
        <v>2021</v>
      </c>
      <c r="AO6" s="1128">
        <v>2022</v>
      </c>
      <c r="AP6" s="1128">
        <v>2023</v>
      </c>
      <c r="AQ6" s="1217"/>
      <c r="AR6" s="1209"/>
      <c r="AS6" s="1209"/>
      <c r="AT6" s="1209"/>
      <c r="AU6" s="1209"/>
      <c r="AV6" s="1209"/>
      <c r="AW6" s="1209"/>
      <c r="AX6" s="1209"/>
      <c r="AY6" s="1209"/>
      <c r="AZ6" s="1211"/>
      <c r="BA6" s="1213"/>
      <c r="BB6" s="1213"/>
      <c r="BC6" s="1213"/>
      <c r="BD6" s="1213"/>
      <c r="BE6" s="1204"/>
      <c r="BF6" s="1204"/>
      <c r="BG6" s="1204"/>
      <c r="BH6" s="1204"/>
      <c r="BI6" s="1234"/>
    </row>
    <row r="7" spans="1:61" ht="36.75" customHeight="1" x14ac:dyDescent="0.25">
      <c r="A7" s="13" t="s">
        <v>116</v>
      </c>
      <c r="B7" s="14"/>
      <c r="C7" s="1101"/>
      <c r="D7" s="1101"/>
      <c r="E7" s="1102"/>
      <c r="F7" s="1102"/>
      <c r="G7" s="1103"/>
      <c r="H7" s="1102"/>
      <c r="I7" s="1102"/>
      <c r="J7" s="1102"/>
      <c r="K7" s="1102"/>
      <c r="L7" s="1102"/>
      <c r="M7" s="1102"/>
      <c r="N7" s="1102"/>
      <c r="O7" s="1104">
        <f>+(O8*AC8)+(O51*AC51)</f>
        <v>1</v>
      </c>
      <c r="P7" s="1104">
        <f>+(P8*AD8)+(P51*AD51)</f>
        <v>0.90145600000000004</v>
      </c>
      <c r="Q7" s="1104">
        <f>+(Q8*AE8)+(Q51*AE51)</f>
        <v>0.76400285714285721</v>
      </c>
      <c r="R7" s="1104">
        <f>+(R8*AF8)+(R51*AF51)</f>
        <v>0.58160299999999987</v>
      </c>
      <c r="S7" s="17"/>
      <c r="T7" s="17"/>
      <c r="U7" s="17"/>
      <c r="V7" s="17"/>
      <c r="W7" s="17"/>
      <c r="X7" s="17"/>
      <c r="Y7" s="19"/>
      <c r="Z7" s="19"/>
      <c r="AA7" s="20">
        <f>+(AA8*AB8)+(AA51*AB51)</f>
        <v>1.5967869924174842</v>
      </c>
      <c r="AB7" s="20">
        <v>0.25</v>
      </c>
      <c r="AC7" s="20">
        <v>0.25</v>
      </c>
      <c r="AD7" s="20">
        <v>0.25</v>
      </c>
      <c r="AE7" s="20">
        <v>0.25</v>
      </c>
      <c r="AF7" s="20">
        <v>0.25</v>
      </c>
      <c r="AG7" s="14">
        <f>AG8+AG51</f>
        <v>5989856366</v>
      </c>
      <c r="AH7" s="14">
        <f t="shared" ref="AH7:AK7" si="0">AH8+AH51</f>
        <v>3158128529</v>
      </c>
      <c r="AI7" s="14">
        <f t="shared" si="0"/>
        <v>11309751818.360001</v>
      </c>
      <c r="AJ7" s="14">
        <f t="shared" si="0"/>
        <v>32220084862.267963</v>
      </c>
      <c r="AK7" s="14">
        <f t="shared" si="0"/>
        <v>3171158553</v>
      </c>
      <c r="AL7" s="18">
        <f>+AK7/AG7</f>
        <v>0.52942146843459048</v>
      </c>
      <c r="AM7" s="14">
        <f t="shared" ref="AM7" si="1">AM8+AM51</f>
        <v>3158128529</v>
      </c>
      <c r="AN7" s="238">
        <f t="shared" ref="AN7" si="2">AN8+AN51</f>
        <v>5932261426.5599995</v>
      </c>
      <c r="AO7" s="244">
        <f t="shared" ref="AO7" si="3">AO8+AO51</f>
        <v>15457594026.959999</v>
      </c>
      <c r="AP7" s="244">
        <f t="shared" ref="AP7" si="4">AP8+AP51</f>
        <v>162030672</v>
      </c>
      <c r="AQ7" s="248">
        <f>+AP7/AG7</f>
        <v>2.7050844310679754E-2</v>
      </c>
      <c r="AR7" s="14">
        <f>+AK7-AP7</f>
        <v>3009127881</v>
      </c>
      <c r="AS7" s="14">
        <f>+AS8+AS51</f>
        <v>1397315599</v>
      </c>
      <c r="AT7" s="14">
        <f>+AT8+AT51</f>
        <v>524872850</v>
      </c>
      <c r="AU7" s="14">
        <f>+AU8+AU51</f>
        <v>5377490391.8000002</v>
      </c>
      <c r="AV7" s="14">
        <f>+AV8+AV51</f>
        <v>4509327908</v>
      </c>
      <c r="AW7" s="21">
        <f t="shared" ref="AW7:AW38" si="5">+AJ7-AO7</f>
        <v>16762490835.307964</v>
      </c>
      <c r="AX7" s="21">
        <f t="shared" ref="AX7" si="6">AX8+AX51</f>
        <v>0</v>
      </c>
      <c r="AY7" s="20">
        <f>+AX7/AW7</f>
        <v>0</v>
      </c>
      <c r="AZ7" s="14">
        <f>+AZ8+AZ51</f>
        <v>59068045153.800003</v>
      </c>
      <c r="BA7" s="14">
        <f t="shared" ref="BA7" si="7">BA8+BA51</f>
        <v>49859123762.62796</v>
      </c>
      <c r="BB7" s="20">
        <f t="shared" ref="BB7:BB66" si="8">+BA7/AZ7</f>
        <v>0.84409639142121484</v>
      </c>
      <c r="BC7" s="1167">
        <f t="shared" ref="BC7" si="9">BC8+BC51</f>
        <v>29744215412.52</v>
      </c>
      <c r="BD7" s="20">
        <f>+BC7/AZ7</f>
        <v>0.50355848640449674</v>
      </c>
      <c r="BE7" s="14"/>
      <c r="BF7" s="14"/>
      <c r="BG7" s="14"/>
      <c r="BH7" s="14"/>
      <c r="BI7" s="614"/>
    </row>
    <row r="8" spans="1:61" ht="43.5" customHeight="1" x14ac:dyDescent="0.25">
      <c r="A8" s="23" t="s">
        <v>117</v>
      </c>
      <c r="B8" s="24"/>
      <c r="C8" s="24"/>
      <c r="D8" s="24"/>
      <c r="E8" s="25"/>
      <c r="F8" s="25"/>
      <c r="G8" s="741"/>
      <c r="H8" s="25"/>
      <c r="I8" s="25"/>
      <c r="J8" s="81"/>
      <c r="K8" s="25"/>
      <c r="L8" s="25"/>
      <c r="M8" s="81"/>
      <c r="N8" s="81"/>
      <c r="O8" s="609">
        <f>+(O9*AC9)+(O17*AC17)+(O21*AC21)+(O29*AC29)+(O35*AC35)+(O41*AC41)</f>
        <v>1</v>
      </c>
      <c r="P8" s="609">
        <f>+(P9*AD9)+(P17*AD17)+(P21*AD21)+(P29*AD29)+(P35*AD35)+(P41*AD41)</f>
        <v>0.83576000000000006</v>
      </c>
      <c r="Q8" s="609">
        <f>+(Q9*AE9)+(Q17*AE17)+(Q21*AE21)+(Q29*AE29)+(Q35*AE35)+(Q41*AE41)</f>
        <v>0.75275000000000003</v>
      </c>
      <c r="R8" s="609">
        <f>+(R9*AF9)+(R17*AF17)+(R21*AF21)+(R29*AF29)+(R35*AF35)+(R41*AF41)</f>
        <v>0.45920499999999997</v>
      </c>
      <c r="S8" s="235"/>
      <c r="T8" s="235"/>
      <c r="U8" s="24"/>
      <c r="V8" s="24"/>
      <c r="W8" s="24"/>
      <c r="X8" s="24"/>
      <c r="Y8" s="27"/>
      <c r="Z8" s="27"/>
      <c r="AA8" s="26">
        <f>+(AA9*AB9)+(AA17*AB17)+(AA21*AB21)+(AA29*AB29)+(AA35*AB35)+(AA41*AB41)</f>
        <v>0.86162744350282494</v>
      </c>
      <c r="AB8" s="26">
        <v>0.6</v>
      </c>
      <c r="AC8" s="26">
        <v>0.6</v>
      </c>
      <c r="AD8" s="26">
        <v>0.6</v>
      </c>
      <c r="AE8" s="26">
        <v>0.6</v>
      </c>
      <c r="AF8" s="26">
        <v>0.6</v>
      </c>
      <c r="AG8" s="28">
        <f>AG9+AG17+AG21+AG29+AG35+AG41</f>
        <v>4789856366</v>
      </c>
      <c r="AH8" s="28">
        <f t="shared" ref="AH8:AK8" si="10">AH9+AH17+AH21+AH29+AH35+AH41</f>
        <v>2782219396</v>
      </c>
      <c r="AI8" s="28">
        <f t="shared" si="10"/>
        <v>4505827777</v>
      </c>
      <c r="AJ8" s="28">
        <f t="shared" si="10"/>
        <v>3910331307</v>
      </c>
      <c r="AK8" s="28">
        <f t="shared" si="10"/>
        <v>2559669053</v>
      </c>
      <c r="AL8" s="1134">
        <f t="shared" ref="AL8:AL71" si="11">+AK8/AG8</f>
        <v>0.53439369730779107</v>
      </c>
      <c r="AM8" s="28">
        <f t="shared" ref="AM8" si="12">AM9+AM17+AM21+AM29+AM35+AM41</f>
        <v>2782219396</v>
      </c>
      <c r="AN8" s="775">
        <f t="shared" ref="AN8" si="13">AN9+AN17+AN21+AN29+AN35+AN41</f>
        <v>3929389893.1999998</v>
      </c>
      <c r="AO8" s="243">
        <f t="shared" ref="AO8" si="14">AO9+AO17+AO21+AO29+AO35+AO41</f>
        <v>894389661</v>
      </c>
      <c r="AP8" s="243">
        <f t="shared" ref="AP8" si="15">AP9+AP17+AP21+AP29+AP35+AP41</f>
        <v>121071826</v>
      </c>
      <c r="AQ8" s="1153">
        <f t="shared" ref="AQ8:AQ71" si="16">+AP8/AG8</f>
        <v>2.5276713276708725E-2</v>
      </c>
      <c r="AR8" s="28">
        <f t="shared" ref="AR8:AR71" si="17">+AK8-AP8</f>
        <v>2438597227</v>
      </c>
      <c r="AS8" s="28">
        <f>+AS9+AS17+AS21+AS29+AS35+AS41</f>
        <v>1332442749</v>
      </c>
      <c r="AT8" s="28">
        <f>+AT9+AT17+AT21+AT29+AT35+AT41</f>
        <v>460000000</v>
      </c>
      <c r="AU8" s="28">
        <f>+AU9+AU17+AU21+AU29+AU35+AU41</f>
        <v>576437883.80000019</v>
      </c>
      <c r="AV8" s="28">
        <f>+AV9+AV17+AV21+AV29+AV35+AV41</f>
        <v>0</v>
      </c>
      <c r="AW8" s="29">
        <f t="shared" si="5"/>
        <v>3015941646</v>
      </c>
      <c r="AX8" s="29">
        <f t="shared" ref="AX8" si="18">AX9+AX17+AX21+AX29+AX35+AX41</f>
        <v>0</v>
      </c>
      <c r="AY8" s="30">
        <f t="shared" ref="AY8:AY71" si="19">+AX8/AW8</f>
        <v>0</v>
      </c>
      <c r="AZ8" s="28">
        <f>+AZ9+AZ17+AZ21+AZ29+AZ35+AZ41</f>
        <v>19800150439.800003</v>
      </c>
      <c r="BA8" s="28">
        <f t="shared" ref="BA8" si="20">BA9+BA17+BA21+BA29+BA35+BA41</f>
        <v>13758047533</v>
      </c>
      <c r="BB8" s="26">
        <f t="shared" si="8"/>
        <v>0.69484560608919121</v>
      </c>
      <c r="BC8" s="1168">
        <f t="shared" ref="BC8" si="21">BC9+BC17+BC21+BC29+BC35+BC41</f>
        <v>8187070776.1999998</v>
      </c>
      <c r="BD8" s="26">
        <f t="shared" ref="BD8:BD66" si="22">+BC8/AZ8</f>
        <v>0.41348528139176582</v>
      </c>
      <c r="BE8" s="28"/>
      <c r="BF8" s="28" t="s">
        <v>66</v>
      </c>
      <c r="BG8" s="28"/>
      <c r="BH8" s="28"/>
      <c r="BI8" s="615"/>
    </row>
    <row r="9" spans="1:61" s="233" customFormat="1" ht="52.5" customHeight="1" x14ac:dyDescent="0.25">
      <c r="A9" s="226" t="s">
        <v>118</v>
      </c>
      <c r="B9" s="227"/>
      <c r="C9" s="227"/>
      <c r="D9" s="227"/>
      <c r="E9" s="228"/>
      <c r="F9" s="228"/>
      <c r="G9" s="742"/>
      <c r="H9" s="228"/>
      <c r="I9" s="228"/>
      <c r="J9" s="228"/>
      <c r="K9" s="228"/>
      <c r="L9" s="228"/>
      <c r="M9" s="228"/>
      <c r="N9" s="228"/>
      <c r="O9" s="684">
        <f>+SUMPRODUCT(O10:O16,AC10:AC16)</f>
        <v>1</v>
      </c>
      <c r="P9" s="684">
        <f>+SUMPRODUCT(P10:P16,AD10:AD16)</f>
        <v>0.8</v>
      </c>
      <c r="Q9" s="684">
        <f>+SUMPRODUCT(Q10:Q16,AE10:AE16)</f>
        <v>0.57000000000000006</v>
      </c>
      <c r="R9" s="684">
        <f>+SUMPRODUCT(R10:R16,AF10:AF16)</f>
        <v>0.50149999999999995</v>
      </c>
      <c r="S9" s="226"/>
      <c r="T9" s="226"/>
      <c r="U9" s="227"/>
      <c r="V9" s="227"/>
      <c r="W9" s="227"/>
      <c r="X9" s="943"/>
      <c r="Y9" s="230"/>
      <c r="Z9" s="230"/>
      <c r="AA9" s="231">
        <f>+SUMPRODUCT(AA10:AA16,AB10:AB16)</f>
        <v>0.95464406779661037</v>
      </c>
      <c r="AB9" s="229">
        <v>0.15</v>
      </c>
      <c r="AC9" s="229">
        <v>0.15</v>
      </c>
      <c r="AD9" s="229">
        <v>0.15</v>
      </c>
      <c r="AE9" s="229">
        <v>0.15</v>
      </c>
      <c r="AF9" s="229">
        <v>0.15</v>
      </c>
      <c r="AG9" s="239">
        <f>SUM(AG10:AG16)</f>
        <v>1909455689</v>
      </c>
      <c r="AH9" s="239">
        <v>67400000</v>
      </c>
      <c r="AI9" s="239">
        <v>183568652</v>
      </c>
      <c r="AJ9" s="239">
        <f t="shared" ref="AJ9:AK9" si="23">SUM(AJ10:AJ16)</f>
        <v>171378552</v>
      </c>
      <c r="AK9" s="239">
        <f t="shared" si="23"/>
        <v>95101700</v>
      </c>
      <c r="AL9" s="1135">
        <f t="shared" si="11"/>
        <v>4.9805659564588094E-2</v>
      </c>
      <c r="AM9" s="777">
        <v>67400000</v>
      </c>
      <c r="AN9" s="776">
        <v>183568652</v>
      </c>
      <c r="AO9" s="529">
        <f t="shared" ref="AO9" si="24">SUM(AO10:AO16)</f>
        <v>51378552</v>
      </c>
      <c r="AP9" s="529">
        <f t="shared" ref="AP9" si="25">SUM(AP10:AP16)</f>
        <v>13939193</v>
      </c>
      <c r="AQ9" s="1154">
        <f t="shared" si="16"/>
        <v>7.3000871820702411E-3</v>
      </c>
      <c r="AR9" s="232">
        <f t="shared" si="17"/>
        <v>81162507</v>
      </c>
      <c r="AS9" s="232">
        <v>25000000</v>
      </c>
      <c r="AT9" s="232">
        <v>25000000</v>
      </c>
      <c r="AU9" s="530">
        <f>+AI9-AN9</f>
        <v>0</v>
      </c>
      <c r="AV9" s="530"/>
      <c r="AW9" s="232">
        <f t="shared" si="5"/>
        <v>120000000</v>
      </c>
      <c r="AX9" s="232">
        <f t="shared" ref="AX9" si="26">SUM(AX10:AX16)</f>
        <v>0</v>
      </c>
      <c r="AY9" s="229">
        <f t="shared" si="19"/>
        <v>0</v>
      </c>
      <c r="AZ9" s="227">
        <f>SUM(AZ10:AZ16)-450000000</f>
        <v>4186455688.8000002</v>
      </c>
      <c r="BA9" s="227">
        <f>SUM(AH9:AK9)</f>
        <v>517448904</v>
      </c>
      <c r="BB9" s="229">
        <f t="shared" si="8"/>
        <v>0.12360071202576632</v>
      </c>
      <c r="BC9" s="1169">
        <f>SUM(AM9:AP9)+AT9+AV9+AX9</f>
        <v>341286397</v>
      </c>
      <c r="BD9" s="229">
        <f t="shared" si="22"/>
        <v>8.1521559612595787E-2</v>
      </c>
      <c r="BE9" s="227"/>
      <c r="BF9" s="227" t="s">
        <v>66</v>
      </c>
      <c r="BG9" s="227"/>
      <c r="BH9" s="227"/>
      <c r="BI9" s="616"/>
    </row>
    <row r="10" spans="1:61" ht="113.25" customHeight="1" x14ac:dyDescent="0.25">
      <c r="A10" s="841" t="s">
        <v>119</v>
      </c>
      <c r="B10" s="40" t="s">
        <v>120</v>
      </c>
      <c r="C10" s="40" t="s">
        <v>1776</v>
      </c>
      <c r="D10" s="40">
        <v>1</v>
      </c>
      <c r="E10" s="41">
        <v>1</v>
      </c>
      <c r="F10" s="41">
        <v>1</v>
      </c>
      <c r="G10" s="743">
        <v>1</v>
      </c>
      <c r="H10" s="41">
        <v>1</v>
      </c>
      <c r="I10" s="42">
        <v>2</v>
      </c>
      <c r="J10" s="42">
        <v>2</v>
      </c>
      <c r="K10" s="42">
        <v>1</v>
      </c>
      <c r="L10" s="42"/>
      <c r="M10" s="593"/>
      <c r="N10" s="593"/>
      <c r="O10" s="1084">
        <f>+IFERROR(IF((H10+L10)/D10&gt;=100%,100%,(H10+L10)/D10),0)</f>
        <v>1</v>
      </c>
      <c r="P10" s="1084">
        <f>+IFERROR(IF((I10+M10)/E10&gt;=100%,100%,(I10+M10)/E10),0)</f>
        <v>1</v>
      </c>
      <c r="Q10" s="1084">
        <f>+IFERROR(IF((J10+N10)/F10&gt;=100%,100%,(J10+N10)/F10),0)</f>
        <v>1</v>
      </c>
      <c r="R10" s="44">
        <f>+IFERROR(IF(K10/G10&gt;=100%,100%,K10/G10),0)</f>
        <v>1</v>
      </c>
      <c r="S10" s="1096" t="s">
        <v>1842</v>
      </c>
      <c r="T10" s="234">
        <v>45107</v>
      </c>
      <c r="U10" s="40" t="s">
        <v>1796</v>
      </c>
      <c r="V10" s="544"/>
      <c r="W10" s="283" t="s">
        <v>1801</v>
      </c>
      <c r="X10" s="944" t="s">
        <v>1732</v>
      </c>
      <c r="Y10" s="47">
        <f>SUM(D10:G10)</f>
        <v>4</v>
      </c>
      <c r="Z10" s="47">
        <f>SUM(H10:N10)</f>
        <v>6</v>
      </c>
      <c r="AA10" s="44">
        <f>IF(Z10/Y10&gt;=100%,100%,Z10/Y10)</f>
        <v>1</v>
      </c>
      <c r="AB10" s="48">
        <v>0.17</v>
      </c>
      <c r="AC10" s="48">
        <v>0.1</v>
      </c>
      <c r="AD10" s="48">
        <v>0.17</v>
      </c>
      <c r="AE10" s="48">
        <v>0.18</v>
      </c>
      <c r="AF10" s="48">
        <v>0.18</v>
      </c>
      <c r="AG10" s="49">
        <v>9455689</v>
      </c>
      <c r="AH10" s="45"/>
      <c r="AI10" s="45"/>
      <c r="AJ10" s="942">
        <v>2448265.0285714287</v>
      </c>
      <c r="AK10" s="942">
        <v>0</v>
      </c>
      <c r="AL10" s="1136">
        <f t="shared" si="11"/>
        <v>0</v>
      </c>
      <c r="AM10" s="50"/>
      <c r="AN10" s="723"/>
      <c r="AO10" s="240">
        <v>733979.3142857143</v>
      </c>
      <c r="AP10" s="240">
        <v>0</v>
      </c>
      <c r="AQ10" s="1155">
        <f t="shared" si="16"/>
        <v>0</v>
      </c>
      <c r="AR10" s="51">
        <f t="shared" si="17"/>
        <v>0</v>
      </c>
      <c r="AS10" s="51"/>
      <c r="AT10" s="51"/>
      <c r="AU10" s="51"/>
      <c r="AV10" s="51"/>
      <c r="AW10" s="51">
        <f t="shared" si="5"/>
        <v>1714285.7142857146</v>
      </c>
      <c r="AX10" s="51">
        <v>0</v>
      </c>
      <c r="AY10" s="43">
        <f t="shared" si="19"/>
        <v>0</v>
      </c>
      <c r="AZ10" s="49">
        <f>221000000+AG10+182428571.4</f>
        <v>412884260.39999998</v>
      </c>
      <c r="BA10" s="45">
        <f>SUM(AH10:AK10)</f>
        <v>2448265.0285714287</v>
      </c>
      <c r="BB10" s="43">
        <f t="shared" si="8"/>
        <v>5.9296642264821701E-3</v>
      </c>
      <c r="BC10" s="591">
        <f>SUM(AM10:AP10)+AT10+AV10+AX10</f>
        <v>733979.3142857143</v>
      </c>
      <c r="BD10" s="92">
        <f>+BC10/AZ10</f>
        <v>1.7776878042641761E-3</v>
      </c>
      <c r="BE10" s="50"/>
      <c r="BF10" s="50" t="s">
        <v>66</v>
      </c>
      <c r="BG10" s="45" t="s">
        <v>90</v>
      </c>
      <c r="BH10" s="53" t="s">
        <v>121</v>
      </c>
      <c r="BI10" s="1222" t="s">
        <v>122</v>
      </c>
    </row>
    <row r="11" spans="1:61" ht="113.25" customHeight="1" x14ac:dyDescent="0.25">
      <c r="A11" s="841" t="s">
        <v>123</v>
      </c>
      <c r="B11" s="40" t="s">
        <v>124</v>
      </c>
      <c r="C11" s="40" t="s">
        <v>1777</v>
      </c>
      <c r="D11" s="40">
        <v>5</v>
      </c>
      <c r="E11" s="41">
        <v>10</v>
      </c>
      <c r="F11" s="41">
        <v>25</v>
      </c>
      <c r="G11" s="743">
        <v>20</v>
      </c>
      <c r="H11" s="41">
        <v>30</v>
      </c>
      <c r="I11" s="42">
        <v>50</v>
      </c>
      <c r="J11" s="42">
        <v>0</v>
      </c>
      <c r="K11" s="42">
        <v>5</v>
      </c>
      <c r="L11" s="42"/>
      <c r="M11" s="593"/>
      <c r="N11" s="593"/>
      <c r="O11" s="1084">
        <f t="shared" ref="O11:Q16" si="27">+IFERROR(IF((H11+L11)/D11&gt;=100%,100%,(H11+L11)/D11),0)</f>
        <v>1</v>
      </c>
      <c r="P11" s="1084">
        <f t="shared" si="27"/>
        <v>1</v>
      </c>
      <c r="Q11" s="1084">
        <f t="shared" si="27"/>
        <v>0</v>
      </c>
      <c r="R11" s="44">
        <f t="shared" ref="R11:R50" si="28">+IFERROR(IF(K11/G11&gt;=100%,100%,K11/G11),0)</f>
        <v>0.25</v>
      </c>
      <c r="S11" s="1097" t="s">
        <v>1841</v>
      </c>
      <c r="T11" s="234">
        <v>45107</v>
      </c>
      <c r="U11" s="40" t="s">
        <v>1796</v>
      </c>
      <c r="V11" s="544"/>
      <c r="W11" s="283" t="s">
        <v>1801</v>
      </c>
      <c r="X11" s="944" t="s">
        <v>1732</v>
      </c>
      <c r="Y11" s="47">
        <f t="shared" ref="Y11:Y16" si="29">SUM(D11:G11)</f>
        <v>60</v>
      </c>
      <c r="Z11" s="47">
        <f t="shared" ref="Z11:Z16" si="30">SUM(H11:N11)</f>
        <v>85</v>
      </c>
      <c r="AA11" s="44">
        <f t="shared" ref="AA11:AA16" si="31">IF(Z11/Y11&gt;=100%,100%,Z11/Y11)</f>
        <v>1</v>
      </c>
      <c r="AB11" s="48">
        <v>0.22</v>
      </c>
      <c r="AC11" s="48">
        <v>0.2</v>
      </c>
      <c r="AD11" s="48">
        <v>0.22</v>
      </c>
      <c r="AE11" s="48">
        <v>0.23</v>
      </c>
      <c r="AF11" s="48">
        <v>0.23</v>
      </c>
      <c r="AG11" s="49">
        <v>1000000000</v>
      </c>
      <c r="AH11" s="45"/>
      <c r="AI11" s="45"/>
      <c r="AJ11" s="240">
        <v>73447950.857142851</v>
      </c>
      <c r="AK11" s="240">
        <v>0</v>
      </c>
      <c r="AL11" s="1136">
        <f t="shared" si="11"/>
        <v>0</v>
      </c>
      <c r="AM11" s="50"/>
      <c r="AN11" s="723"/>
      <c r="AO11" s="240">
        <v>22019379.428571429</v>
      </c>
      <c r="AP11" s="240">
        <v>0</v>
      </c>
      <c r="AQ11" s="1155">
        <f t="shared" si="16"/>
        <v>0</v>
      </c>
      <c r="AR11" s="51">
        <f t="shared" si="17"/>
        <v>0</v>
      </c>
      <c r="AS11" s="51"/>
      <c r="AT11" s="51"/>
      <c r="AU11" s="51"/>
      <c r="AV11" s="51"/>
      <c r="AW11" s="51">
        <f t="shared" si="5"/>
        <v>51428571.428571418</v>
      </c>
      <c r="AX11" s="51">
        <v>0</v>
      </c>
      <c r="AY11" s="43">
        <f t="shared" si="19"/>
        <v>0</v>
      </c>
      <c r="AZ11" s="49">
        <f>540000000+AG11+182428571.4</f>
        <v>1722428571.4000001</v>
      </c>
      <c r="BA11" s="45">
        <f t="shared" ref="BA11:BA16" si="32">SUM(AH11:AK11)</f>
        <v>73447950.857142851</v>
      </c>
      <c r="BB11" s="43">
        <f t="shared" ref="BB11:BB16" si="33">+BA11/AZ11</f>
        <v>4.2642088082319674E-2</v>
      </c>
      <c r="BC11" s="591">
        <f t="shared" ref="BC11:BC16" si="34">SUM(AM11:AP11)+AT11+AV11+AX11</f>
        <v>22019379.428571429</v>
      </c>
      <c r="BD11" s="92">
        <f t="shared" ref="BD11:BD16" si="35">+BC11/AZ11</f>
        <v>1.2783914406780856E-2</v>
      </c>
      <c r="BE11" s="50"/>
      <c r="BF11" s="50" t="s">
        <v>66</v>
      </c>
      <c r="BG11" s="45" t="s">
        <v>90</v>
      </c>
      <c r="BH11" s="53" t="s">
        <v>121</v>
      </c>
      <c r="BI11" s="1223"/>
    </row>
    <row r="12" spans="1:61" ht="106.5" customHeight="1" x14ac:dyDescent="0.25">
      <c r="A12" s="842" t="s">
        <v>126</v>
      </c>
      <c r="B12" s="40" t="s">
        <v>127</v>
      </c>
      <c r="C12" s="40" t="s">
        <v>1776</v>
      </c>
      <c r="D12" s="40">
        <v>1</v>
      </c>
      <c r="E12" s="41">
        <v>2</v>
      </c>
      <c r="F12" s="41">
        <v>2</v>
      </c>
      <c r="G12" s="743">
        <v>2</v>
      </c>
      <c r="H12" s="628">
        <v>30</v>
      </c>
      <c r="I12" s="42">
        <v>0</v>
      </c>
      <c r="J12" s="42">
        <v>0</v>
      </c>
      <c r="K12" s="56">
        <v>1</v>
      </c>
      <c r="L12" s="42"/>
      <c r="M12" s="594"/>
      <c r="N12" s="594"/>
      <c r="O12" s="1084">
        <f t="shared" si="27"/>
        <v>1</v>
      </c>
      <c r="P12" s="1084">
        <f t="shared" si="27"/>
        <v>0</v>
      </c>
      <c r="Q12" s="1084">
        <f t="shared" si="27"/>
        <v>0</v>
      </c>
      <c r="R12" s="44">
        <f t="shared" si="28"/>
        <v>0.5</v>
      </c>
      <c r="S12" s="1096" t="s">
        <v>1843</v>
      </c>
      <c r="T12" s="234">
        <v>45107</v>
      </c>
      <c r="U12" s="40" t="s">
        <v>1796</v>
      </c>
      <c r="V12" s="544"/>
      <c r="W12" s="283" t="s">
        <v>1801</v>
      </c>
      <c r="X12" s="944" t="s">
        <v>1732</v>
      </c>
      <c r="Y12" s="47">
        <f t="shared" si="29"/>
        <v>7</v>
      </c>
      <c r="Z12" s="47">
        <f t="shared" si="30"/>
        <v>31</v>
      </c>
      <c r="AA12" s="44">
        <f t="shared" si="31"/>
        <v>1</v>
      </c>
      <c r="AB12" s="48">
        <v>0.2</v>
      </c>
      <c r="AC12" s="48">
        <v>0.2</v>
      </c>
      <c r="AD12" s="48">
        <v>0.2</v>
      </c>
      <c r="AE12" s="48">
        <v>0.2</v>
      </c>
      <c r="AF12" s="48">
        <v>0.21</v>
      </c>
      <c r="AG12" s="49">
        <v>700000000</v>
      </c>
      <c r="AH12" s="45"/>
      <c r="AI12" s="45"/>
      <c r="AJ12" s="240">
        <v>73447950.857142851</v>
      </c>
      <c r="AK12" s="240">
        <v>0</v>
      </c>
      <c r="AL12" s="1136">
        <f t="shared" si="11"/>
        <v>0</v>
      </c>
      <c r="AM12" s="50"/>
      <c r="AN12" s="723"/>
      <c r="AO12" s="240">
        <v>22019379.428571429</v>
      </c>
      <c r="AP12" s="240">
        <v>0</v>
      </c>
      <c r="AQ12" s="1155">
        <f t="shared" si="16"/>
        <v>0</v>
      </c>
      <c r="AR12" s="51">
        <f t="shared" si="17"/>
        <v>0</v>
      </c>
      <c r="AS12" s="51"/>
      <c r="AT12" s="51"/>
      <c r="AU12" s="51"/>
      <c r="AV12" s="51"/>
      <c r="AW12" s="51">
        <f t="shared" si="5"/>
        <v>51428571.428571418</v>
      </c>
      <c r="AX12" s="51">
        <v>0</v>
      </c>
      <c r="AY12" s="43">
        <f t="shared" si="19"/>
        <v>0</v>
      </c>
      <c r="AZ12" s="49">
        <f>209000000+AG12+182428571.4</f>
        <v>1091428571.4000001</v>
      </c>
      <c r="BA12" s="45">
        <f t="shared" si="32"/>
        <v>73447950.857142851</v>
      </c>
      <c r="BB12" s="43">
        <f t="shared" si="33"/>
        <v>6.7295242933698818E-2</v>
      </c>
      <c r="BC12" s="591">
        <f t="shared" si="34"/>
        <v>22019379.428571429</v>
      </c>
      <c r="BD12" s="92">
        <f t="shared" si="35"/>
        <v>2.0174824084297768E-2</v>
      </c>
      <c r="BE12" s="50"/>
      <c r="BF12" s="50" t="s">
        <v>66</v>
      </c>
      <c r="BG12" s="45" t="s">
        <v>90</v>
      </c>
      <c r="BH12" s="53" t="s">
        <v>121</v>
      </c>
      <c r="BI12" s="1223"/>
    </row>
    <row r="13" spans="1:61" ht="46.5" customHeight="1" x14ac:dyDescent="0.25">
      <c r="A13" s="841" t="s">
        <v>128</v>
      </c>
      <c r="B13" s="40" t="s">
        <v>129</v>
      </c>
      <c r="C13" s="40" t="s">
        <v>1776</v>
      </c>
      <c r="D13" s="40">
        <v>0</v>
      </c>
      <c r="E13" s="41">
        <v>1</v>
      </c>
      <c r="F13" s="41">
        <v>0</v>
      </c>
      <c r="G13" s="743">
        <v>0</v>
      </c>
      <c r="H13" s="41" t="s">
        <v>130</v>
      </c>
      <c r="I13" s="42">
        <v>0</v>
      </c>
      <c r="J13" s="42" t="s">
        <v>163</v>
      </c>
      <c r="K13" s="42" t="s">
        <v>163</v>
      </c>
      <c r="L13" s="42"/>
      <c r="M13" s="291">
        <v>1</v>
      </c>
      <c r="N13" s="291"/>
      <c r="O13" s="1084">
        <f t="shared" si="27"/>
        <v>0</v>
      </c>
      <c r="P13" s="1084">
        <f t="shared" si="27"/>
        <v>1</v>
      </c>
      <c r="Q13" s="1084">
        <f t="shared" si="27"/>
        <v>0</v>
      </c>
      <c r="R13" s="44">
        <f t="shared" si="28"/>
        <v>0</v>
      </c>
      <c r="S13" s="196" t="s">
        <v>163</v>
      </c>
      <c r="T13" s="778" t="s">
        <v>163</v>
      </c>
      <c r="U13" s="778" t="s">
        <v>1804</v>
      </c>
      <c r="V13" s="778" t="s">
        <v>163</v>
      </c>
      <c r="W13" s="778" t="s">
        <v>163</v>
      </c>
      <c r="X13" s="778" t="s">
        <v>163</v>
      </c>
      <c r="Y13" s="47">
        <f t="shared" si="29"/>
        <v>1</v>
      </c>
      <c r="Z13" s="47">
        <f t="shared" si="30"/>
        <v>1</v>
      </c>
      <c r="AA13" s="44">
        <f t="shared" si="31"/>
        <v>1</v>
      </c>
      <c r="AB13" s="48">
        <v>0.05</v>
      </c>
      <c r="AC13" s="48">
        <v>0</v>
      </c>
      <c r="AD13" s="48">
        <v>0.05</v>
      </c>
      <c r="AE13" s="48">
        <v>0</v>
      </c>
      <c r="AF13" s="43">
        <v>0</v>
      </c>
      <c r="AG13" s="49">
        <v>0</v>
      </c>
      <c r="AH13" s="45"/>
      <c r="AI13" s="45"/>
      <c r="AJ13" s="240">
        <v>0</v>
      </c>
      <c r="AK13" s="240">
        <v>0</v>
      </c>
      <c r="AL13" s="1136" t="e">
        <f t="shared" si="11"/>
        <v>#DIV/0!</v>
      </c>
      <c r="AM13" s="50"/>
      <c r="AN13" s="723"/>
      <c r="AO13" s="240">
        <v>0</v>
      </c>
      <c r="AP13" s="240">
        <v>0</v>
      </c>
      <c r="AQ13" s="1155" t="e">
        <f t="shared" si="16"/>
        <v>#DIV/0!</v>
      </c>
      <c r="AR13" s="51">
        <f t="shared" si="17"/>
        <v>0</v>
      </c>
      <c r="AS13" s="51"/>
      <c r="AT13" s="51"/>
      <c r="AU13" s="51"/>
      <c r="AV13" s="51"/>
      <c r="AW13" s="51">
        <f t="shared" si="5"/>
        <v>0</v>
      </c>
      <c r="AX13" s="51">
        <v>0</v>
      </c>
      <c r="AY13" s="43" t="e">
        <f t="shared" si="19"/>
        <v>#DIV/0!</v>
      </c>
      <c r="AZ13" s="49">
        <f>10000000+AG13+182428571.4</f>
        <v>192428571.40000001</v>
      </c>
      <c r="BA13" s="45">
        <f t="shared" si="32"/>
        <v>0</v>
      </c>
      <c r="BB13" s="43">
        <f t="shared" si="33"/>
        <v>0</v>
      </c>
      <c r="BC13" s="591">
        <f t="shared" si="34"/>
        <v>0</v>
      </c>
      <c r="BD13" s="92">
        <f t="shared" si="35"/>
        <v>0</v>
      </c>
      <c r="BE13" s="50"/>
      <c r="BF13" s="50" t="s">
        <v>66</v>
      </c>
      <c r="BG13" s="45" t="s">
        <v>84</v>
      </c>
      <c r="BH13" s="53" t="s">
        <v>131</v>
      </c>
      <c r="BI13" s="1223"/>
    </row>
    <row r="14" spans="1:61" ht="39.75" customHeight="1" x14ac:dyDescent="0.25">
      <c r="A14" s="841" t="s">
        <v>132</v>
      </c>
      <c r="B14" s="40" t="s">
        <v>133</v>
      </c>
      <c r="C14" s="40" t="s">
        <v>1776</v>
      </c>
      <c r="D14" s="40">
        <v>0</v>
      </c>
      <c r="E14" s="41">
        <v>1</v>
      </c>
      <c r="F14" s="41">
        <v>1</v>
      </c>
      <c r="G14" s="743">
        <v>1</v>
      </c>
      <c r="H14" s="41" t="s">
        <v>130</v>
      </c>
      <c r="I14" s="42">
        <v>1</v>
      </c>
      <c r="J14" s="42">
        <v>1</v>
      </c>
      <c r="K14" s="42">
        <v>0.1</v>
      </c>
      <c r="L14" s="42"/>
      <c r="M14" s="593"/>
      <c r="N14" s="593"/>
      <c r="O14" s="1084">
        <f t="shared" si="27"/>
        <v>0</v>
      </c>
      <c r="P14" s="1084">
        <f t="shared" si="27"/>
        <v>1</v>
      </c>
      <c r="Q14" s="1084">
        <f t="shared" si="27"/>
        <v>1</v>
      </c>
      <c r="R14" s="44">
        <f t="shared" si="28"/>
        <v>0.1</v>
      </c>
      <c r="S14" s="770" t="s">
        <v>1684</v>
      </c>
      <c r="T14" s="234"/>
      <c r="U14" s="40" t="s">
        <v>1804</v>
      </c>
      <c r="V14" s="544"/>
      <c r="W14" s="283" t="s">
        <v>1758</v>
      </c>
      <c r="X14" s="944" t="s">
        <v>1732</v>
      </c>
      <c r="Y14" s="47">
        <f t="shared" si="29"/>
        <v>3</v>
      </c>
      <c r="Z14" s="47">
        <f t="shared" si="30"/>
        <v>2.1</v>
      </c>
      <c r="AA14" s="44">
        <f t="shared" si="31"/>
        <v>0.70000000000000007</v>
      </c>
      <c r="AB14" s="48">
        <v>0.08</v>
      </c>
      <c r="AC14" s="48">
        <v>0</v>
      </c>
      <c r="AD14" s="48">
        <v>0.08</v>
      </c>
      <c r="AE14" s="48">
        <v>0.09</v>
      </c>
      <c r="AF14" s="48">
        <v>0.09</v>
      </c>
      <c r="AG14" s="49">
        <v>100000000</v>
      </c>
      <c r="AH14" s="45"/>
      <c r="AI14" s="45"/>
      <c r="AJ14" s="240">
        <v>2749891.2800914287</v>
      </c>
      <c r="AK14" s="240">
        <f>'Anexo 2 Mat Inf Gastos 23'!S52*50%</f>
        <v>47550850</v>
      </c>
      <c r="AL14" s="1136">
        <f t="shared" si="11"/>
        <v>0.4755085</v>
      </c>
      <c r="AM14" s="50"/>
      <c r="AN14" s="723"/>
      <c r="AO14" s="240">
        <v>824405.56580571423</v>
      </c>
      <c r="AP14" s="240">
        <f>'Anexo 2 Mat Inf Gastos 23'!T52*50%</f>
        <v>6969596.5</v>
      </c>
      <c r="AQ14" s="1155">
        <f t="shared" si="16"/>
        <v>6.9695964999999999E-2</v>
      </c>
      <c r="AR14" s="51">
        <f t="shared" si="17"/>
        <v>40581253.5</v>
      </c>
      <c r="AS14" s="51"/>
      <c r="AT14" s="51"/>
      <c r="AU14" s="51"/>
      <c r="AV14" s="51"/>
      <c r="AW14" s="51">
        <f t="shared" si="5"/>
        <v>1925485.7142857146</v>
      </c>
      <c r="AX14" s="51">
        <f>'Anexo 2 Mat Inf Gastos 23'!AB52*50%</f>
        <v>0</v>
      </c>
      <c r="AY14" s="43">
        <f t="shared" si="19"/>
        <v>0</v>
      </c>
      <c r="AZ14" s="49">
        <f>40000000+AG14+182428571.4</f>
        <v>322428571.39999998</v>
      </c>
      <c r="BA14" s="45">
        <f t="shared" si="32"/>
        <v>50300741.280091427</v>
      </c>
      <c r="BB14" s="43">
        <f t="shared" si="33"/>
        <v>0.15600584359408115</v>
      </c>
      <c r="BC14" s="591">
        <f t="shared" si="34"/>
        <v>7794002.0658057146</v>
      </c>
      <c r="BD14" s="92">
        <f t="shared" si="35"/>
        <v>2.4172802155726435E-2</v>
      </c>
      <c r="BE14" s="50"/>
      <c r="BF14" s="50" t="s">
        <v>66</v>
      </c>
      <c r="BG14" s="45" t="s">
        <v>95</v>
      </c>
      <c r="BH14" s="57"/>
      <c r="BI14" s="1223"/>
    </row>
    <row r="15" spans="1:61" ht="66.75" customHeight="1" x14ac:dyDescent="0.25">
      <c r="A15" s="842" t="s">
        <v>135</v>
      </c>
      <c r="B15" s="40" t="s">
        <v>136</v>
      </c>
      <c r="C15" s="40" t="s">
        <v>1776</v>
      </c>
      <c r="D15" s="40">
        <v>11</v>
      </c>
      <c r="E15" s="41">
        <v>25</v>
      </c>
      <c r="F15" s="41">
        <v>11</v>
      </c>
      <c r="G15" s="743">
        <v>12</v>
      </c>
      <c r="H15" s="41">
        <v>8</v>
      </c>
      <c r="I15" s="42">
        <v>28</v>
      </c>
      <c r="J15" s="291">
        <v>11</v>
      </c>
      <c r="K15" s="291">
        <v>0</v>
      </c>
      <c r="L15" s="42">
        <v>3</v>
      </c>
      <c r="M15" s="594"/>
      <c r="N15" s="594"/>
      <c r="O15" s="1084">
        <f t="shared" si="27"/>
        <v>1</v>
      </c>
      <c r="P15" s="1084">
        <f t="shared" si="27"/>
        <v>1</v>
      </c>
      <c r="Q15" s="1084">
        <f t="shared" si="27"/>
        <v>1</v>
      </c>
      <c r="R15" s="44">
        <f t="shared" si="28"/>
        <v>0</v>
      </c>
      <c r="S15" s="770" t="s">
        <v>1681</v>
      </c>
      <c r="T15" s="234"/>
      <c r="U15" s="40" t="s">
        <v>1804</v>
      </c>
      <c r="V15" s="544"/>
      <c r="W15" s="283" t="s">
        <v>1758</v>
      </c>
      <c r="X15" s="944" t="s">
        <v>1732</v>
      </c>
      <c r="Y15" s="47">
        <f t="shared" si="29"/>
        <v>59</v>
      </c>
      <c r="Z15" s="47">
        <f t="shared" si="30"/>
        <v>50</v>
      </c>
      <c r="AA15" s="44">
        <f t="shared" si="31"/>
        <v>0.84745762711864403</v>
      </c>
      <c r="AB15" s="48">
        <v>0.14000000000000001</v>
      </c>
      <c r="AC15" s="48">
        <v>0.25</v>
      </c>
      <c r="AD15" s="48">
        <v>0.14000000000000001</v>
      </c>
      <c r="AE15" s="48">
        <v>0.15</v>
      </c>
      <c r="AF15" s="48">
        <v>0.14000000000000001</v>
      </c>
      <c r="AG15" s="49">
        <v>0</v>
      </c>
      <c r="AH15" s="45"/>
      <c r="AI15" s="45"/>
      <c r="AJ15" s="240">
        <v>4054326.8873142861</v>
      </c>
      <c r="AK15" s="240">
        <v>0</v>
      </c>
      <c r="AL15" s="1136" t="e">
        <f t="shared" si="11"/>
        <v>#DIV/0!</v>
      </c>
      <c r="AM15" s="50"/>
      <c r="AN15" s="723"/>
      <c r="AO15" s="240">
        <v>1215469.7444571429</v>
      </c>
      <c r="AP15" s="240"/>
      <c r="AQ15" s="1155" t="e">
        <f t="shared" si="16"/>
        <v>#DIV/0!</v>
      </c>
      <c r="AR15" s="51">
        <f t="shared" si="17"/>
        <v>0</v>
      </c>
      <c r="AS15" s="51"/>
      <c r="AT15" s="51"/>
      <c r="AU15" s="51"/>
      <c r="AV15" s="51"/>
      <c r="AW15" s="51">
        <f t="shared" si="5"/>
        <v>2838857.1428571432</v>
      </c>
      <c r="AX15" s="51"/>
      <c r="AY15" s="43">
        <f t="shared" si="19"/>
        <v>0</v>
      </c>
      <c r="AZ15" s="49">
        <f>100000000+AG15+182428571.4</f>
        <v>282428571.39999998</v>
      </c>
      <c r="BA15" s="45">
        <f t="shared" si="32"/>
        <v>4054326.8873142861</v>
      </c>
      <c r="BB15" s="43">
        <f t="shared" si="33"/>
        <v>1.4355229243333864E-2</v>
      </c>
      <c r="BC15" s="591">
        <f t="shared" si="34"/>
        <v>1215469.7444571429</v>
      </c>
      <c r="BD15" s="92">
        <f t="shared" si="35"/>
        <v>4.3036359191000141E-3</v>
      </c>
      <c r="BE15" s="50"/>
      <c r="BF15" s="50" t="s">
        <v>66</v>
      </c>
      <c r="BG15" s="45" t="s">
        <v>95</v>
      </c>
      <c r="BH15" s="57"/>
      <c r="BI15" s="1223"/>
    </row>
    <row r="16" spans="1:61" ht="51" x14ac:dyDescent="0.25">
      <c r="A16" s="842" t="s">
        <v>137</v>
      </c>
      <c r="B16" s="40" t="s">
        <v>138</v>
      </c>
      <c r="C16" s="40" t="s">
        <v>1776</v>
      </c>
      <c r="D16" s="40">
        <v>1</v>
      </c>
      <c r="E16" s="41">
        <v>1</v>
      </c>
      <c r="F16" s="41">
        <v>1</v>
      </c>
      <c r="G16" s="743">
        <v>1</v>
      </c>
      <c r="H16" s="41">
        <v>1</v>
      </c>
      <c r="I16" s="42">
        <v>40</v>
      </c>
      <c r="J16" s="42">
        <v>85</v>
      </c>
      <c r="K16" s="42">
        <v>1</v>
      </c>
      <c r="L16" s="42"/>
      <c r="M16" s="593"/>
      <c r="N16" s="593"/>
      <c r="O16" s="1084">
        <f t="shared" si="27"/>
        <v>1</v>
      </c>
      <c r="P16" s="1084">
        <f t="shared" si="27"/>
        <v>1</v>
      </c>
      <c r="Q16" s="1084">
        <f t="shared" si="27"/>
        <v>1</v>
      </c>
      <c r="R16" s="44">
        <f t="shared" si="28"/>
        <v>1</v>
      </c>
      <c r="S16" s="1106" t="s">
        <v>1844</v>
      </c>
      <c r="T16" s="234"/>
      <c r="U16" s="543" t="s">
        <v>1804</v>
      </c>
      <c r="V16" s="544"/>
      <c r="W16" s="545"/>
      <c r="X16" s="547"/>
      <c r="Y16" s="47">
        <f t="shared" si="29"/>
        <v>4</v>
      </c>
      <c r="Z16" s="47">
        <f t="shared" si="30"/>
        <v>127</v>
      </c>
      <c r="AA16" s="44">
        <f t="shared" si="31"/>
        <v>1</v>
      </c>
      <c r="AB16" s="48">
        <v>0.14000000000000001</v>
      </c>
      <c r="AC16" s="48">
        <v>0.25</v>
      </c>
      <c r="AD16" s="48">
        <v>0.14000000000000001</v>
      </c>
      <c r="AE16" s="48">
        <v>0.15</v>
      </c>
      <c r="AF16" s="48">
        <v>0.15</v>
      </c>
      <c r="AG16" s="49">
        <v>100000000</v>
      </c>
      <c r="AH16" s="45"/>
      <c r="AI16" s="45"/>
      <c r="AJ16" s="240">
        <v>15230167.089737143</v>
      </c>
      <c r="AK16" s="240">
        <f>'Anexo 2 Mat Inf Gastos 23'!S52*50%</f>
        <v>47550850</v>
      </c>
      <c r="AL16" s="1136">
        <f t="shared" si="11"/>
        <v>0.4755085</v>
      </c>
      <c r="AM16" s="50"/>
      <c r="AN16" s="723"/>
      <c r="AO16" s="240">
        <v>4565938.5183085715</v>
      </c>
      <c r="AP16" s="240">
        <f>'Anexo 2 Mat Inf Gastos 23'!T52*50%</f>
        <v>6969596.5</v>
      </c>
      <c r="AQ16" s="1155">
        <f t="shared" si="16"/>
        <v>6.9695964999999999E-2</v>
      </c>
      <c r="AR16" s="51">
        <f t="shared" si="17"/>
        <v>40581253.5</v>
      </c>
      <c r="AS16" s="51"/>
      <c r="AT16" s="51"/>
      <c r="AU16" s="51"/>
      <c r="AV16" s="51"/>
      <c r="AW16" s="51">
        <f t="shared" si="5"/>
        <v>10664228.571428571</v>
      </c>
      <c r="AX16" s="51">
        <f>'Anexo 2 Mat Inf Gastos 23'!AB52*50%</f>
        <v>0</v>
      </c>
      <c r="AY16" s="43">
        <f t="shared" si="19"/>
        <v>0</v>
      </c>
      <c r="AZ16" s="49">
        <f>330000000+AG16+182428571.4</f>
        <v>612428571.39999998</v>
      </c>
      <c r="BA16" s="45">
        <f t="shared" si="32"/>
        <v>62781017.089737147</v>
      </c>
      <c r="BB16" s="43">
        <f t="shared" si="33"/>
        <v>0.10251157444568751</v>
      </c>
      <c r="BC16" s="591">
        <f t="shared" si="34"/>
        <v>11535535.018308572</v>
      </c>
      <c r="BD16" s="92">
        <f t="shared" si="35"/>
        <v>1.8835723147172183E-2</v>
      </c>
      <c r="BE16" s="50"/>
      <c r="BF16" s="50" t="s">
        <v>66</v>
      </c>
      <c r="BG16" s="45" t="s">
        <v>95</v>
      </c>
      <c r="BH16" s="57"/>
      <c r="BI16" s="1224"/>
    </row>
    <row r="17" spans="1:61" ht="51" x14ac:dyDescent="0.25">
      <c r="A17" s="58" t="s">
        <v>140</v>
      </c>
      <c r="B17" s="59"/>
      <c r="C17" s="59"/>
      <c r="D17" s="59"/>
      <c r="E17" s="60"/>
      <c r="F17" s="60"/>
      <c r="G17" s="744"/>
      <c r="H17" s="60"/>
      <c r="I17" s="60"/>
      <c r="J17" s="60"/>
      <c r="K17" s="60"/>
      <c r="L17" s="60"/>
      <c r="M17" s="60"/>
      <c r="N17" s="60"/>
      <c r="O17" s="685">
        <f>+SUMPRODUCT(O18:O20,AC18:AC20)</f>
        <v>1</v>
      </c>
      <c r="P17" s="685">
        <f>+SUMPRODUCT(P18:P20,AD18:AD20)</f>
        <v>0.3644</v>
      </c>
      <c r="Q17" s="685">
        <f>+SUMPRODUCT(Q18:Q20,AE18:AE20)</f>
        <v>0.73499999999999999</v>
      </c>
      <c r="R17" s="685">
        <f>+SUMPRODUCT(R18:R20,AF18:AF20)</f>
        <v>0.1</v>
      </c>
      <c r="S17" s="61"/>
      <c r="T17" s="58"/>
      <c r="U17" s="59"/>
      <c r="V17" s="59"/>
      <c r="W17" s="59"/>
      <c r="X17" s="286"/>
      <c r="Y17" s="62"/>
      <c r="Z17" s="62"/>
      <c r="AA17" s="61">
        <f>+SUMPRODUCT(AA18:AA20,AB18:AB20)</f>
        <v>0.56709999999999994</v>
      </c>
      <c r="AB17" s="61">
        <v>0.15</v>
      </c>
      <c r="AC17" s="61">
        <v>0.15</v>
      </c>
      <c r="AD17" s="61">
        <v>0.15</v>
      </c>
      <c r="AE17" s="61">
        <v>0.15</v>
      </c>
      <c r="AF17" s="61">
        <v>0.15</v>
      </c>
      <c r="AG17" s="59">
        <f>SUM(AG18:AG20)</f>
        <v>100000000</v>
      </c>
      <c r="AH17" s="59">
        <v>90377923</v>
      </c>
      <c r="AI17" s="59">
        <v>186826667</v>
      </c>
      <c r="AJ17" s="59">
        <f t="shared" ref="AJ17:AK17" si="36">SUM(AJ18:AJ20)</f>
        <v>95450780</v>
      </c>
      <c r="AK17" s="59">
        <f t="shared" si="36"/>
        <v>58241200</v>
      </c>
      <c r="AL17" s="1137">
        <f t="shared" si="11"/>
        <v>0.58241200000000004</v>
      </c>
      <c r="AM17" s="734">
        <v>90377923</v>
      </c>
      <c r="AN17" s="724">
        <v>176826667</v>
      </c>
      <c r="AO17" s="241">
        <f t="shared" ref="AO17" si="37">SUM(AO18:AO20)</f>
        <v>95450780</v>
      </c>
      <c r="AP17" s="241">
        <f t="shared" ref="AP17" si="38">SUM(AP18:AP20)</f>
        <v>10923200</v>
      </c>
      <c r="AQ17" s="1156">
        <f t="shared" si="16"/>
        <v>0.109232</v>
      </c>
      <c r="AR17" s="64">
        <f t="shared" si="17"/>
        <v>47318000</v>
      </c>
      <c r="AS17" s="64">
        <v>0</v>
      </c>
      <c r="AT17" s="64">
        <v>0</v>
      </c>
      <c r="AU17" s="530">
        <f>+AI17-AN17</f>
        <v>10000000</v>
      </c>
      <c r="AV17" s="677">
        <v>0</v>
      </c>
      <c r="AW17" s="63">
        <f t="shared" si="5"/>
        <v>0</v>
      </c>
      <c r="AX17" s="63">
        <f t="shared" ref="AX17" si="39">SUM(AX18:AX20)</f>
        <v>0</v>
      </c>
      <c r="AY17" s="61" t="e">
        <f t="shared" si="19"/>
        <v>#DIV/0!</v>
      </c>
      <c r="AZ17" s="59">
        <f>SUM(AZ18:AZ20)-300000000</f>
        <v>488990780</v>
      </c>
      <c r="BA17" s="59">
        <f t="shared" ref="BA17:BA50" si="40">SUM(AH17:AK17)</f>
        <v>430896570</v>
      </c>
      <c r="BB17" s="61">
        <f t="shared" ref="BB17:BB50" si="41">+BA17/AZ17</f>
        <v>0.8811956945282281</v>
      </c>
      <c r="BC17" s="1171">
        <f t="shared" ref="BC17:BC50" si="42">SUM(AM17:AP17)+AT17+AV17+AX17</f>
        <v>373578570</v>
      </c>
      <c r="BD17" s="61">
        <f t="shared" ref="BD17:BD50" si="43">+BC17/AZ17</f>
        <v>0.76397876049932889</v>
      </c>
      <c r="BE17" s="59"/>
      <c r="BF17" s="59" t="s">
        <v>66</v>
      </c>
      <c r="BG17" s="59"/>
      <c r="BH17" s="59"/>
      <c r="BI17" s="617"/>
    </row>
    <row r="18" spans="1:61" ht="147.75" customHeight="1" x14ac:dyDescent="0.25">
      <c r="A18" s="39" t="s">
        <v>141</v>
      </c>
      <c r="B18" s="40" t="s">
        <v>142</v>
      </c>
      <c r="C18" s="40" t="s">
        <v>1778</v>
      </c>
      <c r="D18" s="575">
        <v>1</v>
      </c>
      <c r="E18" s="48">
        <v>1</v>
      </c>
      <c r="F18" s="48">
        <v>1</v>
      </c>
      <c r="G18" s="696">
        <v>1</v>
      </c>
      <c r="H18" s="48">
        <v>1</v>
      </c>
      <c r="I18" s="43">
        <v>0.6</v>
      </c>
      <c r="J18" s="43">
        <v>0.5</v>
      </c>
      <c r="K18" s="43">
        <v>0.1</v>
      </c>
      <c r="L18" s="42"/>
      <c r="M18" s="697"/>
      <c r="N18" s="697"/>
      <c r="O18" s="688">
        <f t="shared" ref="O18:Q50" si="44">+IFERROR(IF((H18+L18)/D18&gt;=100%,100%,(H18+L18)/D18),0)</f>
        <v>1</v>
      </c>
      <c r="P18" s="688">
        <f t="shared" si="44"/>
        <v>0.6</v>
      </c>
      <c r="Q18" s="688">
        <f t="shared" si="44"/>
        <v>0.5</v>
      </c>
      <c r="R18" s="44">
        <f t="shared" si="28"/>
        <v>0.1</v>
      </c>
      <c r="S18" s="54" t="s">
        <v>1685</v>
      </c>
      <c r="T18" s="234">
        <v>45107</v>
      </c>
      <c r="U18" s="40" t="s">
        <v>1796</v>
      </c>
      <c r="V18" s="544"/>
      <c r="W18" s="283" t="s">
        <v>1758</v>
      </c>
      <c r="X18" s="1177" t="s">
        <v>1733</v>
      </c>
      <c r="Y18" s="575">
        <f t="shared" ref="Y18:Y20" si="45">SUM(D18:G18)</f>
        <v>4</v>
      </c>
      <c r="Z18" s="575">
        <f t="shared" ref="Z18:Z20" si="46">SUM(H18:N18)</f>
        <v>2.2000000000000002</v>
      </c>
      <c r="AA18" s="44">
        <f t="shared" ref="AA18:AA20" si="47">IF(Z18/Y18&gt;=100%,100%,Z18/Y18)</f>
        <v>0.55000000000000004</v>
      </c>
      <c r="AB18" s="48">
        <v>0.5</v>
      </c>
      <c r="AC18" s="48">
        <v>0.5</v>
      </c>
      <c r="AD18" s="48">
        <v>0.5</v>
      </c>
      <c r="AE18" s="43">
        <v>0.53</v>
      </c>
      <c r="AF18" s="43">
        <v>0.53</v>
      </c>
      <c r="AG18" s="49">
        <v>50000000</v>
      </c>
      <c r="AH18" s="50"/>
      <c r="AI18" s="50"/>
      <c r="AJ18" s="240">
        <v>64429276.5</v>
      </c>
      <c r="AK18" s="240">
        <v>29120600</v>
      </c>
      <c r="AL18" s="932">
        <f t="shared" si="11"/>
        <v>0.58241200000000004</v>
      </c>
      <c r="AM18" s="50"/>
      <c r="AN18" s="723"/>
      <c r="AO18" s="240">
        <v>64429276.500000007</v>
      </c>
      <c r="AP18" s="240">
        <v>5461600</v>
      </c>
      <c r="AQ18" s="1157">
        <f t="shared" si="16"/>
        <v>0.109232</v>
      </c>
      <c r="AR18" s="51">
        <f t="shared" si="17"/>
        <v>23659000</v>
      </c>
      <c r="AS18" s="51">
        <v>0</v>
      </c>
      <c r="AT18" s="51"/>
      <c r="AU18" s="51"/>
      <c r="AV18" s="51"/>
      <c r="AW18" s="51">
        <f t="shared" si="5"/>
        <v>0</v>
      </c>
      <c r="AX18" s="51"/>
      <c r="AY18" s="43" t="e">
        <f t="shared" si="19"/>
        <v>#DIV/0!</v>
      </c>
      <c r="AZ18" s="49">
        <v>200000000</v>
      </c>
      <c r="BA18" s="45">
        <f t="shared" si="40"/>
        <v>93549876.5</v>
      </c>
      <c r="BB18" s="52">
        <f t="shared" si="41"/>
        <v>0.46774938249999998</v>
      </c>
      <c r="BC18" s="1170">
        <f t="shared" si="42"/>
        <v>69890876.5</v>
      </c>
      <c r="BD18" s="52">
        <f t="shared" si="43"/>
        <v>0.34945438249999999</v>
      </c>
      <c r="BE18" s="50"/>
      <c r="BF18" s="50" t="s">
        <v>66</v>
      </c>
      <c r="BG18" s="45" t="s">
        <v>94</v>
      </c>
      <c r="BH18" s="45" t="s">
        <v>143</v>
      </c>
      <c r="BI18" s="1222" t="s">
        <v>144</v>
      </c>
    </row>
    <row r="19" spans="1:61" ht="66" customHeight="1" x14ac:dyDescent="0.25">
      <c r="A19" s="39" t="s">
        <v>145</v>
      </c>
      <c r="B19" s="40" t="s">
        <v>146</v>
      </c>
      <c r="C19" s="40" t="s">
        <v>1778</v>
      </c>
      <c r="D19" s="575">
        <v>1</v>
      </c>
      <c r="E19" s="48">
        <v>1</v>
      </c>
      <c r="F19" s="48">
        <v>1</v>
      </c>
      <c r="G19" s="696">
        <v>1</v>
      </c>
      <c r="H19" s="48">
        <v>1</v>
      </c>
      <c r="I19" s="43">
        <v>0.01</v>
      </c>
      <c r="J19" s="43">
        <v>1</v>
      </c>
      <c r="K19" s="43">
        <v>0.1</v>
      </c>
      <c r="L19" s="698"/>
      <c r="M19" s="699"/>
      <c r="N19" s="699"/>
      <c r="O19" s="687">
        <f t="shared" si="44"/>
        <v>1</v>
      </c>
      <c r="P19" s="687">
        <f t="shared" si="44"/>
        <v>0.01</v>
      </c>
      <c r="Q19" s="687">
        <f t="shared" si="44"/>
        <v>1</v>
      </c>
      <c r="R19" s="44">
        <f t="shared" si="28"/>
        <v>0.1</v>
      </c>
      <c r="S19" s="1107" t="s">
        <v>1705</v>
      </c>
      <c r="T19" s="234">
        <v>45107</v>
      </c>
      <c r="U19" s="40" t="s">
        <v>1796</v>
      </c>
      <c r="V19" s="544"/>
      <c r="W19" s="283" t="s">
        <v>1758</v>
      </c>
      <c r="X19" s="1177" t="s">
        <v>1733</v>
      </c>
      <c r="Y19" s="575">
        <f t="shared" si="45"/>
        <v>4</v>
      </c>
      <c r="Z19" s="575">
        <f t="shared" si="46"/>
        <v>2.11</v>
      </c>
      <c r="AA19" s="44">
        <f t="shared" si="47"/>
        <v>0.52749999999999997</v>
      </c>
      <c r="AB19" s="48">
        <v>0.44</v>
      </c>
      <c r="AC19" s="48">
        <v>0.5</v>
      </c>
      <c r="AD19" s="48">
        <v>0.44</v>
      </c>
      <c r="AE19" s="43">
        <v>0.47</v>
      </c>
      <c r="AF19" s="43">
        <v>0.47</v>
      </c>
      <c r="AG19" s="49">
        <v>50000000</v>
      </c>
      <c r="AH19" s="50"/>
      <c r="AI19" s="50"/>
      <c r="AJ19" s="240">
        <v>31021503.5</v>
      </c>
      <c r="AK19" s="240">
        <v>29120600</v>
      </c>
      <c r="AL19" s="932">
        <f t="shared" si="11"/>
        <v>0.58241200000000004</v>
      </c>
      <c r="AM19" s="50"/>
      <c r="AN19" s="723"/>
      <c r="AO19" s="240">
        <v>31021503.5</v>
      </c>
      <c r="AP19" s="240">
        <v>5461600</v>
      </c>
      <c r="AQ19" s="1157">
        <f t="shared" si="16"/>
        <v>0.109232</v>
      </c>
      <c r="AR19" s="51">
        <f t="shared" si="17"/>
        <v>23659000</v>
      </c>
      <c r="AS19" s="51"/>
      <c r="AT19" s="51"/>
      <c r="AU19" s="51"/>
      <c r="AV19" s="51"/>
      <c r="AW19" s="51">
        <f t="shared" si="5"/>
        <v>0</v>
      </c>
      <c r="AX19" s="51"/>
      <c r="AY19" s="43" t="e">
        <f t="shared" si="19"/>
        <v>#DIV/0!</v>
      </c>
      <c r="AZ19" s="49">
        <f>430000000+AG19</f>
        <v>480000000</v>
      </c>
      <c r="BA19" s="45">
        <f t="shared" si="40"/>
        <v>60142103.5</v>
      </c>
      <c r="BB19" s="52">
        <f t="shared" si="41"/>
        <v>0.12529604895833332</v>
      </c>
      <c r="BC19" s="1170">
        <f t="shared" si="42"/>
        <v>36483103.5</v>
      </c>
      <c r="BD19" s="52">
        <f t="shared" si="43"/>
        <v>7.6006465625000005E-2</v>
      </c>
      <c r="BE19" s="50"/>
      <c r="BF19" s="50" t="s">
        <v>66</v>
      </c>
      <c r="BG19" s="45" t="s">
        <v>84</v>
      </c>
      <c r="BH19" s="45" t="s">
        <v>143</v>
      </c>
      <c r="BI19" s="1223"/>
    </row>
    <row r="20" spans="1:61" ht="47.25" customHeight="1" x14ac:dyDescent="0.25">
      <c r="A20" s="39" t="s">
        <v>147</v>
      </c>
      <c r="B20" s="40" t="s">
        <v>148</v>
      </c>
      <c r="C20" s="40" t="s">
        <v>1776</v>
      </c>
      <c r="D20" s="40">
        <v>0</v>
      </c>
      <c r="E20" s="66">
        <v>1</v>
      </c>
      <c r="F20" s="66">
        <v>0</v>
      </c>
      <c r="G20" s="743">
        <v>0</v>
      </c>
      <c r="H20" s="66" t="s">
        <v>163</v>
      </c>
      <c r="I20" s="42">
        <v>3</v>
      </c>
      <c r="J20" s="42" t="s">
        <v>163</v>
      </c>
      <c r="K20" s="42">
        <v>0</v>
      </c>
      <c r="L20" s="42"/>
      <c r="M20" s="593"/>
      <c r="N20" s="593"/>
      <c r="O20" s="575">
        <f t="shared" si="44"/>
        <v>0</v>
      </c>
      <c r="P20" s="575">
        <f t="shared" si="44"/>
        <v>1</v>
      </c>
      <c r="Q20" s="575">
        <f t="shared" si="44"/>
        <v>0</v>
      </c>
      <c r="R20" s="44">
        <f t="shared" si="28"/>
        <v>0</v>
      </c>
      <c r="S20" s="1106"/>
      <c r="T20" s="234">
        <v>45107</v>
      </c>
      <c r="U20" s="40" t="s">
        <v>1804</v>
      </c>
      <c r="V20" s="40"/>
      <c r="W20" s="283" t="s">
        <v>1797</v>
      </c>
      <c r="X20" s="1177"/>
      <c r="Y20" s="47">
        <f t="shared" si="45"/>
        <v>1</v>
      </c>
      <c r="Z20" s="47">
        <f t="shared" si="46"/>
        <v>3</v>
      </c>
      <c r="AA20" s="44">
        <f t="shared" si="47"/>
        <v>1</v>
      </c>
      <c r="AB20" s="48">
        <v>0.06</v>
      </c>
      <c r="AC20" s="48">
        <v>0</v>
      </c>
      <c r="AD20" s="48">
        <v>0.06</v>
      </c>
      <c r="AE20" s="43">
        <v>0</v>
      </c>
      <c r="AF20" s="43">
        <v>0</v>
      </c>
      <c r="AG20" s="49">
        <v>0</v>
      </c>
      <c r="AH20" s="50"/>
      <c r="AI20" s="50"/>
      <c r="AJ20" s="240"/>
      <c r="AK20" s="240"/>
      <c r="AL20" s="932" t="e">
        <f t="shared" si="11"/>
        <v>#DIV/0!</v>
      </c>
      <c r="AM20" s="50"/>
      <c r="AN20" s="723"/>
      <c r="AO20" s="240"/>
      <c r="AP20" s="240"/>
      <c r="AQ20" s="1157" t="e">
        <f t="shared" si="16"/>
        <v>#DIV/0!</v>
      </c>
      <c r="AR20" s="51">
        <f t="shared" si="17"/>
        <v>0</v>
      </c>
      <c r="AS20" s="51"/>
      <c r="AT20" s="51"/>
      <c r="AU20" s="51"/>
      <c r="AV20" s="51"/>
      <c r="AW20" s="51">
        <f t="shared" si="5"/>
        <v>0</v>
      </c>
      <c r="AX20" s="51"/>
      <c r="AY20" s="43" t="e">
        <f t="shared" si="19"/>
        <v>#DIV/0!</v>
      </c>
      <c r="AZ20" s="49">
        <v>108990780</v>
      </c>
      <c r="BA20" s="45">
        <f t="shared" si="40"/>
        <v>0</v>
      </c>
      <c r="BB20" s="52">
        <f t="shared" si="41"/>
        <v>0</v>
      </c>
      <c r="BC20" s="1170">
        <f t="shared" si="42"/>
        <v>0</v>
      </c>
      <c r="BD20" s="52">
        <f t="shared" si="43"/>
        <v>0</v>
      </c>
      <c r="BE20" s="50"/>
      <c r="BF20" s="50" t="s">
        <v>66</v>
      </c>
      <c r="BG20" s="45" t="s">
        <v>94</v>
      </c>
      <c r="BH20" s="45" t="s">
        <v>143</v>
      </c>
      <c r="BI20" s="1224"/>
    </row>
    <row r="21" spans="1:61" ht="70.5" customHeight="1" x14ac:dyDescent="0.25">
      <c r="A21" s="32" t="s">
        <v>149</v>
      </c>
      <c r="B21" s="33"/>
      <c r="C21" s="33"/>
      <c r="D21" s="33"/>
      <c r="E21" s="34"/>
      <c r="F21" s="34"/>
      <c r="G21" s="745"/>
      <c r="H21" s="34"/>
      <c r="I21" s="34"/>
      <c r="J21" s="34"/>
      <c r="K21" s="34"/>
      <c r="L21" s="34"/>
      <c r="M21" s="34"/>
      <c r="N21" s="34"/>
      <c r="O21" s="607">
        <f>+SUMPRODUCT(O22:O28,AC22:AC28)</f>
        <v>1</v>
      </c>
      <c r="P21" s="607">
        <f>+SUMPRODUCT(P22:P28,AD22:AD28)</f>
        <v>1</v>
      </c>
      <c r="Q21" s="607">
        <f>+SUMPRODUCT(Q22:Q28,AE22:AE28)</f>
        <v>1</v>
      </c>
      <c r="R21" s="607">
        <f>+SUMPRODUCT(R22:R28,AF22:AF28)</f>
        <v>0.1784</v>
      </c>
      <c r="S21" s="38"/>
      <c r="T21" s="32"/>
      <c r="U21" s="33"/>
      <c r="V21" s="33"/>
      <c r="W21" s="33"/>
      <c r="X21" s="33"/>
      <c r="Y21" s="36"/>
      <c r="Z21" s="36"/>
      <c r="AA21" s="607">
        <f>+SUMPRODUCT(AA22:AA28,AB22:AB28)</f>
        <v>0.95960000000000001</v>
      </c>
      <c r="AB21" s="35">
        <v>0.2</v>
      </c>
      <c r="AC21" s="35">
        <v>0.2</v>
      </c>
      <c r="AD21" s="35">
        <v>0.2</v>
      </c>
      <c r="AE21" s="35">
        <v>0.2</v>
      </c>
      <c r="AF21" s="35">
        <v>0.2</v>
      </c>
      <c r="AG21" s="33">
        <f>SUM(AG22:AG28)</f>
        <v>200000000</v>
      </c>
      <c r="AH21" s="33">
        <v>250000000</v>
      </c>
      <c r="AI21" s="33">
        <v>557485016</v>
      </c>
      <c r="AJ21" s="33">
        <f t="shared" ref="AJ21:AK21" si="48">SUM(AJ22:AJ28)</f>
        <v>462839933</v>
      </c>
      <c r="AK21" s="33">
        <f t="shared" si="48"/>
        <v>31264320</v>
      </c>
      <c r="AL21" s="1138">
        <f t="shared" si="11"/>
        <v>0.1563216</v>
      </c>
      <c r="AM21" s="733">
        <v>250000000</v>
      </c>
      <c r="AN21" s="725">
        <v>525018512</v>
      </c>
      <c r="AO21" s="242">
        <f t="shared" ref="AO21" si="49">SUM(AO22:AO28)</f>
        <v>441168133</v>
      </c>
      <c r="AP21" s="242">
        <f t="shared" ref="AP21" si="50">SUM(AP22:AP28)</f>
        <v>19143320</v>
      </c>
      <c r="AQ21" s="1158">
        <f t="shared" si="16"/>
        <v>9.5716599999999999E-2</v>
      </c>
      <c r="AR21" s="37">
        <f t="shared" si="17"/>
        <v>12121000</v>
      </c>
      <c r="AS21" s="37"/>
      <c r="AT21" s="37"/>
      <c r="AU21" s="530">
        <f>+AI21-AN21</f>
        <v>32466504</v>
      </c>
      <c r="AV21" s="677">
        <v>0</v>
      </c>
      <c r="AW21" s="37">
        <f t="shared" si="5"/>
        <v>21671800</v>
      </c>
      <c r="AX21" s="37">
        <f t="shared" ref="AX21" si="51">SUM(AX22:AX28)</f>
        <v>0</v>
      </c>
      <c r="AY21" s="35">
        <f t="shared" si="19"/>
        <v>0</v>
      </c>
      <c r="AZ21" s="33">
        <f>SUM(AZ22:AZ28)-500000000</f>
        <v>2225000000.000001</v>
      </c>
      <c r="BA21" s="33">
        <f t="shared" si="40"/>
        <v>1301589269</v>
      </c>
      <c r="BB21" s="35">
        <f t="shared" si="41"/>
        <v>0.58498394112359531</v>
      </c>
      <c r="BC21" s="1172">
        <f t="shared" si="42"/>
        <v>1235329965</v>
      </c>
      <c r="BD21" s="35">
        <f t="shared" si="43"/>
        <v>0.55520447865168521</v>
      </c>
      <c r="BE21" s="33"/>
      <c r="BF21" s="33"/>
      <c r="BG21" s="33"/>
      <c r="BH21" s="33"/>
      <c r="BI21" s="618"/>
    </row>
    <row r="22" spans="1:61" ht="80.25" customHeight="1" x14ac:dyDescent="0.25">
      <c r="A22" s="841" t="s">
        <v>150</v>
      </c>
      <c r="B22" s="40" t="s">
        <v>151</v>
      </c>
      <c r="C22" s="40" t="s">
        <v>1776</v>
      </c>
      <c r="D22" s="40">
        <v>2</v>
      </c>
      <c r="E22" s="40">
        <v>2</v>
      </c>
      <c r="F22" s="40">
        <v>2</v>
      </c>
      <c r="G22" s="746">
        <v>2</v>
      </c>
      <c r="H22" s="40">
        <v>3</v>
      </c>
      <c r="I22" s="42">
        <v>3</v>
      </c>
      <c r="J22" s="42">
        <v>4</v>
      </c>
      <c r="K22" s="42">
        <v>1</v>
      </c>
      <c r="L22" s="42"/>
      <c r="M22" s="593"/>
      <c r="N22" s="593"/>
      <c r="O22" s="575">
        <f t="shared" si="44"/>
        <v>1</v>
      </c>
      <c r="P22" s="575">
        <f t="shared" si="44"/>
        <v>1</v>
      </c>
      <c r="Q22" s="575">
        <f t="shared" si="44"/>
        <v>1</v>
      </c>
      <c r="R22" s="44">
        <f t="shared" si="28"/>
        <v>0.5</v>
      </c>
      <c r="S22" s="1107" t="s">
        <v>1845</v>
      </c>
      <c r="T22" s="234">
        <v>45107</v>
      </c>
      <c r="U22" s="40" t="s">
        <v>1796</v>
      </c>
      <c r="V22" s="549"/>
      <c r="W22" s="283" t="s">
        <v>1758</v>
      </c>
      <c r="X22" s="1177" t="s">
        <v>1734</v>
      </c>
      <c r="Y22" s="47">
        <f t="shared" ref="Y22:Y28" si="52">SUM(D22:G22)</f>
        <v>8</v>
      </c>
      <c r="Z22" s="47">
        <f t="shared" ref="Z22:Z28" si="53">SUM(H22:N22)</f>
        <v>11</v>
      </c>
      <c r="AA22" s="44">
        <f t="shared" ref="AA22:AA28" si="54">IF(Z22/Y22&gt;=100%,100%,Z22/Y22)</f>
        <v>1</v>
      </c>
      <c r="AB22" s="48">
        <v>0.16</v>
      </c>
      <c r="AC22" s="48">
        <v>0.15</v>
      </c>
      <c r="AD22" s="48">
        <v>0.16</v>
      </c>
      <c r="AE22" s="48">
        <v>0.16</v>
      </c>
      <c r="AF22" s="48">
        <v>0.16</v>
      </c>
      <c r="AG22" s="49">
        <v>20000000</v>
      </c>
      <c r="AH22" s="50"/>
      <c r="AI22" s="50"/>
      <c r="AJ22" s="240">
        <v>4776508.1085599996</v>
      </c>
      <c r="AK22" s="240">
        <f>'Anexo 2 Mat Inf Gastos 23'!S60*10%</f>
        <v>3126432</v>
      </c>
      <c r="AL22" s="932">
        <f t="shared" si="11"/>
        <v>0.1563216</v>
      </c>
      <c r="AM22" s="50"/>
      <c r="AN22" s="723"/>
      <c r="AO22" s="240">
        <v>4552855.1325599998</v>
      </c>
      <c r="AP22" s="240">
        <f>'Anexo 2 Mat Inf Gastos 23'!T60*10%</f>
        <v>1914332</v>
      </c>
      <c r="AQ22" s="1155">
        <f t="shared" si="16"/>
        <v>9.5716599999999999E-2</v>
      </c>
      <c r="AR22" s="51">
        <f t="shared" si="17"/>
        <v>1212100</v>
      </c>
      <c r="AS22" s="51"/>
      <c r="AT22" s="51"/>
      <c r="AU22" s="51"/>
      <c r="AV22" s="51"/>
      <c r="AW22" s="51">
        <f t="shared" si="5"/>
        <v>223652.97599999979</v>
      </c>
      <c r="AX22" s="51">
        <f>'Anexo 2 Mat Inf Gastos 23'!AB60*10%</f>
        <v>0</v>
      </c>
      <c r="AY22" s="43">
        <f t="shared" si="19"/>
        <v>0</v>
      </c>
      <c r="AZ22" s="49">
        <f>180714285.71+AG22+117857142.857143</f>
        <v>318571428.56714302</v>
      </c>
      <c r="BA22" s="45">
        <f t="shared" si="40"/>
        <v>7902940.1085599996</v>
      </c>
      <c r="BB22" s="52">
        <f t="shared" si="41"/>
        <v>2.4807435318683495E-2</v>
      </c>
      <c r="BC22" s="1170">
        <f t="shared" si="42"/>
        <v>6467187.1325599998</v>
      </c>
      <c r="BD22" s="52">
        <f t="shared" si="43"/>
        <v>2.0300587411896408E-2</v>
      </c>
      <c r="BE22" s="50"/>
      <c r="BF22" s="50" t="s">
        <v>66</v>
      </c>
      <c r="BG22" s="45"/>
      <c r="BH22" s="53" t="s">
        <v>152</v>
      </c>
      <c r="BI22" s="1222" t="s">
        <v>153</v>
      </c>
    </row>
    <row r="23" spans="1:61" ht="69.75" customHeight="1" x14ac:dyDescent="0.25">
      <c r="A23" s="841" t="s">
        <v>154</v>
      </c>
      <c r="B23" s="40" t="s">
        <v>155</v>
      </c>
      <c r="C23" s="40" t="s">
        <v>1776</v>
      </c>
      <c r="D23" s="40">
        <v>0</v>
      </c>
      <c r="E23" s="40">
        <v>2</v>
      </c>
      <c r="F23" s="40">
        <v>2</v>
      </c>
      <c r="G23" s="746">
        <v>1</v>
      </c>
      <c r="H23" s="40" t="s">
        <v>130</v>
      </c>
      <c r="I23" s="42">
        <v>2</v>
      </c>
      <c r="J23" s="42">
        <v>27</v>
      </c>
      <c r="K23" s="1108">
        <v>0</v>
      </c>
      <c r="L23" s="575"/>
      <c r="M23" s="593"/>
      <c r="N23" s="593"/>
      <c r="O23" s="575">
        <f t="shared" si="44"/>
        <v>0</v>
      </c>
      <c r="P23" s="575">
        <f t="shared" si="44"/>
        <v>1</v>
      </c>
      <c r="Q23" s="575">
        <f t="shared" si="44"/>
        <v>1</v>
      </c>
      <c r="R23" s="44">
        <f>+IFERROR(IF(K23/G23&gt;=100%,100%,K23/G23),0)</f>
        <v>0</v>
      </c>
      <c r="S23" s="1109" t="s">
        <v>1629</v>
      </c>
      <c r="T23" s="234">
        <v>45107</v>
      </c>
      <c r="U23" s="40" t="s">
        <v>1804</v>
      </c>
      <c r="V23" s="544"/>
      <c r="W23" s="283" t="s">
        <v>1758</v>
      </c>
      <c r="X23" s="1177"/>
      <c r="Y23" s="47">
        <f t="shared" si="52"/>
        <v>5</v>
      </c>
      <c r="Z23" s="47">
        <f t="shared" si="53"/>
        <v>29</v>
      </c>
      <c r="AA23" s="44">
        <f t="shared" si="54"/>
        <v>1</v>
      </c>
      <c r="AB23" s="48">
        <v>0.13</v>
      </c>
      <c r="AC23" s="48">
        <v>0</v>
      </c>
      <c r="AD23" s="48">
        <v>0.13</v>
      </c>
      <c r="AE23" s="48">
        <v>0.13</v>
      </c>
      <c r="AF23" s="48">
        <v>0.13</v>
      </c>
      <c r="AG23" s="49">
        <v>50000000</v>
      </c>
      <c r="AH23" s="50"/>
      <c r="AI23" s="50"/>
      <c r="AJ23" s="240">
        <v>47120807.898864001</v>
      </c>
      <c r="AK23" s="240">
        <f>'Anexo 2 Mat Inf Gastos 23'!S60*25%</f>
        <v>7816080</v>
      </c>
      <c r="AL23" s="932">
        <f t="shared" si="11"/>
        <v>0.1563216</v>
      </c>
      <c r="AM23" s="50"/>
      <c r="AN23" s="723"/>
      <c r="AO23" s="240">
        <v>44914445.284464002</v>
      </c>
      <c r="AP23" s="240">
        <f>'Anexo 2 Mat Inf Gastos 23'!T60*25%</f>
        <v>4785830</v>
      </c>
      <c r="AQ23" s="1155">
        <f t="shared" si="16"/>
        <v>9.5716599999999999E-2</v>
      </c>
      <c r="AR23" s="51">
        <f t="shared" si="17"/>
        <v>3030250</v>
      </c>
      <c r="AS23" s="51"/>
      <c r="AT23" s="51"/>
      <c r="AU23" s="51"/>
      <c r="AV23" s="51"/>
      <c r="AW23" s="51">
        <f t="shared" si="5"/>
        <v>2206362.6143999994</v>
      </c>
      <c r="AX23" s="51">
        <f>'Anexo 2 Mat Inf Gastos 23'!AB60*25%</f>
        <v>0</v>
      </c>
      <c r="AY23" s="43">
        <f t="shared" si="19"/>
        <v>0</v>
      </c>
      <c r="AZ23" s="49">
        <f>115714285.71+AG23+117857142.857143</f>
        <v>283571428.56714296</v>
      </c>
      <c r="BA23" s="45">
        <f t="shared" si="40"/>
        <v>54936887.898864001</v>
      </c>
      <c r="BB23" s="52">
        <f t="shared" si="41"/>
        <v>0.19373209838683114</v>
      </c>
      <c r="BC23" s="1170">
        <f t="shared" si="42"/>
        <v>49700275.284464002</v>
      </c>
      <c r="BD23" s="52">
        <f t="shared" si="43"/>
        <v>0.17526545440630018</v>
      </c>
      <c r="BE23" s="50"/>
      <c r="BF23" s="50" t="s">
        <v>66</v>
      </c>
      <c r="BG23" s="45"/>
      <c r="BH23" s="53" t="s">
        <v>156</v>
      </c>
      <c r="BI23" s="1223"/>
    </row>
    <row r="24" spans="1:61" ht="51.75" customHeight="1" x14ac:dyDescent="0.25">
      <c r="A24" s="841" t="s">
        <v>1682</v>
      </c>
      <c r="B24" s="68" t="s">
        <v>158</v>
      </c>
      <c r="C24" s="40" t="s">
        <v>1778</v>
      </c>
      <c r="D24" s="576">
        <v>1</v>
      </c>
      <c r="E24" s="43">
        <v>1</v>
      </c>
      <c r="F24" s="43">
        <v>1</v>
      </c>
      <c r="G24" s="716">
        <v>1</v>
      </c>
      <c r="H24" s="43">
        <v>1</v>
      </c>
      <c r="I24" s="43">
        <v>1</v>
      </c>
      <c r="J24" s="69">
        <v>1</v>
      </c>
      <c r="K24" s="69">
        <v>0</v>
      </c>
      <c r="L24" s="42"/>
      <c r="M24" s="593"/>
      <c r="N24" s="593"/>
      <c r="O24" s="575">
        <f t="shared" si="44"/>
        <v>1</v>
      </c>
      <c r="P24" s="575">
        <f t="shared" si="44"/>
        <v>1</v>
      </c>
      <c r="Q24" s="575">
        <f t="shared" si="44"/>
        <v>1</v>
      </c>
      <c r="R24" s="44">
        <f t="shared" si="28"/>
        <v>0</v>
      </c>
      <c r="S24" s="770" t="s">
        <v>1706</v>
      </c>
      <c r="T24" s="234">
        <v>45107</v>
      </c>
      <c r="U24" s="46" t="s">
        <v>1804</v>
      </c>
      <c r="V24" s="544"/>
      <c r="W24" s="283"/>
      <c r="X24" s="1177"/>
      <c r="Y24" s="43">
        <f t="shared" si="52"/>
        <v>4</v>
      </c>
      <c r="Z24" s="698">
        <f t="shared" si="53"/>
        <v>3</v>
      </c>
      <c r="AA24" s="44">
        <f t="shared" si="54"/>
        <v>0.75</v>
      </c>
      <c r="AB24" s="48">
        <v>0.1</v>
      </c>
      <c r="AC24" s="48">
        <v>0.1</v>
      </c>
      <c r="AD24" s="48">
        <v>0.1</v>
      </c>
      <c r="AE24" s="48">
        <v>0.1</v>
      </c>
      <c r="AF24" s="48">
        <v>0.1</v>
      </c>
      <c r="AG24" s="49">
        <v>0</v>
      </c>
      <c r="AH24" s="50"/>
      <c r="AI24" s="50"/>
      <c r="AJ24" s="240">
        <v>0</v>
      </c>
      <c r="AK24" s="240">
        <v>0</v>
      </c>
      <c r="AL24" s="932" t="e">
        <f t="shared" si="11"/>
        <v>#DIV/0!</v>
      </c>
      <c r="AM24" s="50"/>
      <c r="AN24" s="723"/>
      <c r="AO24" s="240">
        <v>0</v>
      </c>
      <c r="AP24" s="240">
        <v>0</v>
      </c>
      <c r="AQ24" s="1155" t="e">
        <f t="shared" si="16"/>
        <v>#DIV/0!</v>
      </c>
      <c r="AR24" s="51">
        <f t="shared" si="17"/>
        <v>0</v>
      </c>
      <c r="AS24" s="51"/>
      <c r="AT24" s="51"/>
      <c r="AU24" s="51"/>
      <c r="AV24" s="51"/>
      <c r="AW24" s="51">
        <f t="shared" si="5"/>
        <v>0</v>
      </c>
      <c r="AX24" s="51">
        <v>0</v>
      </c>
      <c r="AY24" s="43" t="e">
        <f t="shared" si="19"/>
        <v>#DIV/0!</v>
      </c>
      <c r="AZ24" s="49">
        <f>173000000+AG24+117857142.857143</f>
        <v>290857142.85714298</v>
      </c>
      <c r="BA24" s="45">
        <f t="shared" si="40"/>
        <v>0</v>
      </c>
      <c r="BB24" s="52">
        <f t="shared" si="41"/>
        <v>0</v>
      </c>
      <c r="BC24" s="1170">
        <f t="shared" si="42"/>
        <v>0</v>
      </c>
      <c r="BD24" s="52">
        <f t="shared" si="43"/>
        <v>0</v>
      </c>
      <c r="BE24" s="50"/>
      <c r="BF24" s="50" t="s">
        <v>66</v>
      </c>
      <c r="BG24" s="45"/>
      <c r="BH24" s="53" t="s">
        <v>156</v>
      </c>
      <c r="BI24" s="1223"/>
    </row>
    <row r="25" spans="1:61" ht="42" customHeight="1" x14ac:dyDescent="0.25">
      <c r="A25" s="842" t="s">
        <v>159</v>
      </c>
      <c r="B25" s="40" t="s">
        <v>160</v>
      </c>
      <c r="C25" s="40" t="s">
        <v>1776</v>
      </c>
      <c r="D25" s="40">
        <v>25</v>
      </c>
      <c r="E25" s="40">
        <v>25</v>
      </c>
      <c r="F25" s="40">
        <v>25</v>
      </c>
      <c r="G25" s="746">
        <v>25</v>
      </c>
      <c r="H25" s="40">
        <v>25</v>
      </c>
      <c r="I25" s="42">
        <v>25</v>
      </c>
      <c r="J25" s="42">
        <v>25</v>
      </c>
      <c r="K25" s="42">
        <v>11</v>
      </c>
      <c r="L25" s="42"/>
      <c r="M25" s="593"/>
      <c r="N25" s="593"/>
      <c r="O25" s="575">
        <f t="shared" si="44"/>
        <v>1</v>
      </c>
      <c r="P25" s="575">
        <f t="shared" si="44"/>
        <v>1</v>
      </c>
      <c r="Q25" s="575">
        <f t="shared" si="44"/>
        <v>1</v>
      </c>
      <c r="R25" s="44">
        <f t="shared" si="28"/>
        <v>0.44</v>
      </c>
      <c r="S25" s="54" t="s">
        <v>1655</v>
      </c>
      <c r="T25" s="234">
        <v>45107</v>
      </c>
      <c r="U25" s="40" t="s">
        <v>1796</v>
      </c>
      <c r="V25" s="40"/>
      <c r="W25" s="283" t="s">
        <v>1758</v>
      </c>
      <c r="X25" s="1177" t="s">
        <v>1734</v>
      </c>
      <c r="Y25" s="47">
        <f t="shared" si="52"/>
        <v>100</v>
      </c>
      <c r="Z25" s="47">
        <f t="shared" si="53"/>
        <v>86</v>
      </c>
      <c r="AA25" s="44">
        <f t="shared" si="54"/>
        <v>0.86</v>
      </c>
      <c r="AB25" s="48">
        <v>0.11</v>
      </c>
      <c r="AC25" s="48">
        <v>0.25</v>
      </c>
      <c r="AD25" s="48">
        <v>0.11</v>
      </c>
      <c r="AE25" s="48">
        <v>0.11</v>
      </c>
      <c r="AF25" s="48">
        <v>0.11</v>
      </c>
      <c r="AG25" s="49">
        <v>60000000</v>
      </c>
      <c r="AH25" s="50"/>
      <c r="AI25" s="50"/>
      <c r="AJ25" s="240">
        <v>34220533.286288001</v>
      </c>
      <c r="AK25" s="240">
        <f>'Anexo 2 Mat Inf Gastos 23'!S60*30%</f>
        <v>9379296</v>
      </c>
      <c r="AL25" s="932">
        <f t="shared" si="11"/>
        <v>0.1563216</v>
      </c>
      <c r="AM25" s="50"/>
      <c r="AN25" s="723"/>
      <c r="AO25" s="240">
        <v>32618207.081488002</v>
      </c>
      <c r="AP25" s="240">
        <f>'Anexo 2 Mat Inf Gastos 23'!T60*30%</f>
        <v>5742996</v>
      </c>
      <c r="AQ25" s="1155">
        <f t="shared" si="16"/>
        <v>9.5716599999999999E-2</v>
      </c>
      <c r="AR25" s="51">
        <f t="shared" si="17"/>
        <v>3636300</v>
      </c>
      <c r="AS25" s="51"/>
      <c r="AT25" s="51"/>
      <c r="AU25" s="51"/>
      <c r="AV25" s="51"/>
      <c r="AW25" s="51">
        <f t="shared" si="5"/>
        <v>1602326.2047999986</v>
      </c>
      <c r="AX25" s="51">
        <f>'Anexo 2 Mat Inf Gastos 23'!AB60*30%</f>
        <v>0</v>
      </c>
      <c r="AY25" s="43">
        <f t="shared" si="19"/>
        <v>0</v>
      </c>
      <c r="AZ25" s="49">
        <f>117857142.857143+271428571.42+AG25</f>
        <v>449285714.277143</v>
      </c>
      <c r="BA25" s="45">
        <f t="shared" si="40"/>
        <v>43599829.286288001</v>
      </c>
      <c r="BB25" s="52">
        <f t="shared" si="41"/>
        <v>9.7042545313144185E-2</v>
      </c>
      <c r="BC25" s="1170">
        <f t="shared" si="42"/>
        <v>38361203.081487998</v>
      </c>
      <c r="BD25" s="52">
        <f t="shared" si="43"/>
        <v>8.5382645969964657E-2</v>
      </c>
      <c r="BE25" s="50"/>
      <c r="BF25" s="50" t="s">
        <v>66</v>
      </c>
      <c r="BG25" s="45" t="s">
        <v>92</v>
      </c>
      <c r="BH25" s="53" t="s">
        <v>156</v>
      </c>
      <c r="BI25" s="1223"/>
    </row>
    <row r="26" spans="1:61" ht="84.75" customHeight="1" x14ac:dyDescent="0.25">
      <c r="A26" s="841" t="s">
        <v>161</v>
      </c>
      <c r="B26" s="40" t="s">
        <v>162</v>
      </c>
      <c r="C26" s="40" t="s">
        <v>1778</v>
      </c>
      <c r="D26" s="40">
        <v>0</v>
      </c>
      <c r="E26" s="43">
        <v>1</v>
      </c>
      <c r="F26" s="43">
        <v>1</v>
      </c>
      <c r="G26" s="716">
        <v>1</v>
      </c>
      <c r="H26" s="43">
        <v>0</v>
      </c>
      <c r="I26" s="43">
        <v>1</v>
      </c>
      <c r="J26" s="69">
        <v>1</v>
      </c>
      <c r="K26" s="69">
        <v>1</v>
      </c>
      <c r="L26" s="42"/>
      <c r="M26" s="593"/>
      <c r="N26" s="593"/>
      <c r="O26" s="575">
        <f t="shared" si="44"/>
        <v>0</v>
      </c>
      <c r="P26" s="575">
        <f t="shared" si="44"/>
        <v>1</v>
      </c>
      <c r="Q26" s="575">
        <f t="shared" si="44"/>
        <v>1</v>
      </c>
      <c r="R26" s="44">
        <f t="shared" si="28"/>
        <v>1</v>
      </c>
      <c r="S26" s="300" t="s">
        <v>1630</v>
      </c>
      <c r="T26" s="234">
        <v>45107</v>
      </c>
      <c r="U26" s="40" t="s">
        <v>1796</v>
      </c>
      <c r="V26" s="40"/>
      <c r="W26" s="283" t="s">
        <v>1758</v>
      </c>
      <c r="X26" s="1177" t="s">
        <v>1734</v>
      </c>
      <c r="Y26" s="43">
        <f t="shared" si="52"/>
        <v>3</v>
      </c>
      <c r="Z26" s="698">
        <f t="shared" si="53"/>
        <v>3</v>
      </c>
      <c r="AA26" s="44">
        <f t="shared" si="54"/>
        <v>1</v>
      </c>
      <c r="AB26" s="48">
        <v>0.05</v>
      </c>
      <c r="AC26" s="48">
        <v>0</v>
      </c>
      <c r="AD26" s="48">
        <v>0.05</v>
      </c>
      <c r="AE26" s="48">
        <v>0.05</v>
      </c>
      <c r="AF26" s="48">
        <v>0.05</v>
      </c>
      <c r="AG26" s="49">
        <v>10000000</v>
      </c>
      <c r="AH26" s="50"/>
      <c r="AI26" s="50"/>
      <c r="AJ26" s="240">
        <v>15706935.966288</v>
      </c>
      <c r="AK26" s="240">
        <f>'Anexo 2 Mat Inf Gastos 23'!S60*5%</f>
        <v>1563216</v>
      </c>
      <c r="AL26" s="932">
        <f t="shared" si="11"/>
        <v>0.1563216</v>
      </c>
      <c r="AM26" s="50"/>
      <c r="AN26" s="723"/>
      <c r="AO26" s="240">
        <v>14971481.761488</v>
      </c>
      <c r="AP26" s="240">
        <f>'Anexo 2 Mat Inf Gastos 23'!T60*5%</f>
        <v>957166</v>
      </c>
      <c r="AQ26" s="1155">
        <f t="shared" si="16"/>
        <v>9.5716599999999999E-2</v>
      </c>
      <c r="AR26" s="51">
        <f t="shared" si="17"/>
        <v>606050</v>
      </c>
      <c r="AS26" s="51"/>
      <c r="AT26" s="51"/>
      <c r="AU26" s="51"/>
      <c r="AV26" s="51"/>
      <c r="AW26" s="51">
        <f t="shared" si="5"/>
        <v>735454.20480000041</v>
      </c>
      <c r="AX26" s="51">
        <f>'Anexo 2 Mat Inf Gastos 23'!AB60*5%</f>
        <v>0</v>
      </c>
      <c r="AY26" s="43">
        <f t="shared" si="19"/>
        <v>0</v>
      </c>
      <c r="AZ26" s="49">
        <f>131428571.42+AG26+117857142.857143</f>
        <v>259285714.277143</v>
      </c>
      <c r="BA26" s="45">
        <f t="shared" si="40"/>
        <v>17270151.966288</v>
      </c>
      <c r="BB26" s="52">
        <f t="shared" si="41"/>
        <v>6.660664670413903E-2</v>
      </c>
      <c r="BC26" s="1170">
        <f t="shared" si="42"/>
        <v>15928647.761488</v>
      </c>
      <c r="BD26" s="52">
        <f t="shared" si="43"/>
        <v>6.1432801286006561E-2</v>
      </c>
      <c r="BE26" s="50"/>
      <c r="BF26" s="50" t="s">
        <v>66</v>
      </c>
      <c r="BG26" s="45"/>
      <c r="BH26" s="53" t="s">
        <v>156</v>
      </c>
      <c r="BI26" s="1223"/>
    </row>
    <row r="27" spans="1:61" ht="66" customHeight="1" x14ac:dyDescent="0.25">
      <c r="A27" s="841" t="s">
        <v>164</v>
      </c>
      <c r="B27" s="40" t="s">
        <v>155</v>
      </c>
      <c r="C27" s="40" t="s">
        <v>1776</v>
      </c>
      <c r="D27" s="40">
        <v>0</v>
      </c>
      <c r="E27" s="40">
        <v>1</v>
      </c>
      <c r="F27" s="40">
        <v>1</v>
      </c>
      <c r="G27" s="746">
        <v>1</v>
      </c>
      <c r="H27" s="40">
        <v>0</v>
      </c>
      <c r="I27" s="42">
        <v>8</v>
      </c>
      <c r="J27" s="42">
        <v>22</v>
      </c>
      <c r="K27" s="1108">
        <v>0</v>
      </c>
      <c r="L27" s="42"/>
      <c r="M27" s="593"/>
      <c r="N27" s="593"/>
      <c r="O27" s="575">
        <f t="shared" si="44"/>
        <v>0</v>
      </c>
      <c r="P27" s="575">
        <f t="shared" si="44"/>
        <v>1</v>
      </c>
      <c r="Q27" s="575">
        <f t="shared" si="44"/>
        <v>1</v>
      </c>
      <c r="R27" s="292">
        <f t="shared" si="28"/>
        <v>0</v>
      </c>
      <c r="S27" s="1110" t="s">
        <v>1654</v>
      </c>
      <c r="T27" s="234">
        <v>45107</v>
      </c>
      <c r="U27" s="40" t="s">
        <v>1804</v>
      </c>
      <c r="V27" s="40"/>
      <c r="W27" s="283" t="s">
        <v>1758</v>
      </c>
      <c r="X27" s="1177"/>
      <c r="Y27" s="47">
        <f t="shared" si="52"/>
        <v>3</v>
      </c>
      <c r="Z27" s="47">
        <f t="shared" si="53"/>
        <v>30</v>
      </c>
      <c r="AA27" s="44">
        <f t="shared" si="54"/>
        <v>1</v>
      </c>
      <c r="AB27" s="48">
        <v>0.16</v>
      </c>
      <c r="AC27" s="48">
        <v>0</v>
      </c>
      <c r="AD27" s="48">
        <v>0.16</v>
      </c>
      <c r="AE27" s="48">
        <v>0.16</v>
      </c>
      <c r="AF27" s="48">
        <v>0.16</v>
      </c>
      <c r="AG27" s="49">
        <v>60000000</v>
      </c>
      <c r="AH27" s="50"/>
      <c r="AI27" s="50"/>
      <c r="AJ27" s="240">
        <v>9256798.6600000001</v>
      </c>
      <c r="AK27" s="240">
        <f>'Anexo 2 Mat Inf Gastos 23'!S60*30%</f>
        <v>9379296</v>
      </c>
      <c r="AL27" s="932">
        <f t="shared" si="11"/>
        <v>0.1563216</v>
      </c>
      <c r="AM27" s="50"/>
      <c r="AN27" s="723"/>
      <c r="AO27" s="240">
        <v>8823362.6600000001</v>
      </c>
      <c r="AP27" s="240">
        <f>'Anexo 2 Mat Inf Gastos 23'!T60*30%</f>
        <v>5742996</v>
      </c>
      <c r="AQ27" s="1155">
        <f t="shared" si="16"/>
        <v>9.5716599999999999E-2</v>
      </c>
      <c r="AR27" s="51">
        <f t="shared" si="17"/>
        <v>3636300</v>
      </c>
      <c r="AS27" s="51"/>
      <c r="AT27" s="51"/>
      <c r="AU27" s="51"/>
      <c r="AV27" s="51"/>
      <c r="AW27" s="51">
        <f t="shared" si="5"/>
        <v>433436</v>
      </c>
      <c r="AX27" s="51">
        <f>'Anexo 2 Mat Inf Gastos 23'!AB60*30%</f>
        <v>0</v>
      </c>
      <c r="AY27" s="43">
        <f t="shared" si="19"/>
        <v>0</v>
      </c>
      <c r="AZ27" s="49">
        <f>200000000+AG27+117857142.857143</f>
        <v>377857142.85714298</v>
      </c>
      <c r="BA27" s="45">
        <f t="shared" si="40"/>
        <v>18636094.66</v>
      </c>
      <c r="BB27" s="52">
        <f t="shared" si="41"/>
        <v>4.9320477361058587E-2</v>
      </c>
      <c r="BC27" s="1170">
        <f t="shared" si="42"/>
        <v>14566358.66</v>
      </c>
      <c r="BD27" s="52">
        <f t="shared" si="43"/>
        <v>3.8549909497164449E-2</v>
      </c>
      <c r="BE27" s="50"/>
      <c r="BF27" s="50" t="s">
        <v>66</v>
      </c>
      <c r="BG27" s="45"/>
      <c r="BH27" s="53" t="s">
        <v>156</v>
      </c>
      <c r="BI27" s="1223"/>
    </row>
    <row r="28" spans="1:61" ht="79.5" customHeight="1" x14ac:dyDescent="0.25">
      <c r="A28" s="841" t="s">
        <v>165</v>
      </c>
      <c r="B28" s="40" t="s">
        <v>155</v>
      </c>
      <c r="C28" s="40" t="s">
        <v>1776</v>
      </c>
      <c r="D28" s="40">
        <v>1</v>
      </c>
      <c r="E28" s="40">
        <v>1</v>
      </c>
      <c r="F28" s="40">
        <v>1</v>
      </c>
      <c r="G28" s="746">
        <v>1</v>
      </c>
      <c r="H28" s="40">
        <v>1</v>
      </c>
      <c r="I28" s="42">
        <v>1</v>
      </c>
      <c r="J28" s="42">
        <v>23</v>
      </c>
      <c r="K28" s="84">
        <v>0</v>
      </c>
      <c r="L28" s="42"/>
      <c r="M28" s="593"/>
      <c r="N28" s="593"/>
      <c r="O28" s="575">
        <f t="shared" si="44"/>
        <v>1</v>
      </c>
      <c r="P28" s="575">
        <f t="shared" si="44"/>
        <v>1</v>
      </c>
      <c r="Q28" s="575">
        <f t="shared" si="44"/>
        <v>1</v>
      </c>
      <c r="R28" s="292">
        <f t="shared" si="28"/>
        <v>0</v>
      </c>
      <c r="S28" s="771" t="s">
        <v>1629</v>
      </c>
      <c r="T28" s="234">
        <v>45107</v>
      </c>
      <c r="U28" s="40" t="s">
        <v>1804</v>
      </c>
      <c r="V28" s="40"/>
      <c r="W28" s="283" t="s">
        <v>1758</v>
      </c>
      <c r="X28" s="1177"/>
      <c r="Y28" s="47">
        <f t="shared" si="52"/>
        <v>4</v>
      </c>
      <c r="Z28" s="47">
        <f t="shared" si="53"/>
        <v>25</v>
      </c>
      <c r="AA28" s="44">
        <f t="shared" si="54"/>
        <v>1</v>
      </c>
      <c r="AB28" s="48">
        <v>0.28999999999999998</v>
      </c>
      <c r="AC28" s="48">
        <v>0.5</v>
      </c>
      <c r="AD28" s="48">
        <v>0.28999999999999998</v>
      </c>
      <c r="AE28" s="48">
        <v>0.28999999999999998</v>
      </c>
      <c r="AF28" s="48">
        <v>0.28999999999999998</v>
      </c>
      <c r="AG28" s="49">
        <v>0</v>
      </c>
      <c r="AH28" s="50"/>
      <c r="AI28" s="50"/>
      <c r="AJ28" s="240">
        <v>351758349.07999998</v>
      </c>
      <c r="AK28" s="240">
        <v>0</v>
      </c>
      <c r="AL28" s="932" t="e">
        <f t="shared" si="11"/>
        <v>#DIV/0!</v>
      </c>
      <c r="AM28" s="50"/>
      <c r="AN28" s="723"/>
      <c r="AO28" s="240">
        <v>335287781.07999998</v>
      </c>
      <c r="AP28" s="240">
        <v>0</v>
      </c>
      <c r="AQ28" s="1155" t="e">
        <f t="shared" si="16"/>
        <v>#DIV/0!</v>
      </c>
      <c r="AR28" s="51">
        <f t="shared" si="17"/>
        <v>0</v>
      </c>
      <c r="AS28" s="51"/>
      <c r="AT28" s="51"/>
      <c r="AU28" s="51"/>
      <c r="AV28" s="51"/>
      <c r="AW28" s="51">
        <f t="shared" si="5"/>
        <v>16470568</v>
      </c>
      <c r="AX28" s="51">
        <v>0</v>
      </c>
      <c r="AY28" s="43">
        <f t="shared" si="19"/>
        <v>0</v>
      </c>
      <c r="AZ28" s="49">
        <f>627714285.74+AG28+117857142.857143</f>
        <v>745571428.59714305</v>
      </c>
      <c r="BA28" s="45">
        <f t="shared" si="40"/>
        <v>351758349.07999998</v>
      </c>
      <c r="BB28" s="52">
        <f t="shared" si="41"/>
        <v>0.47179698093026934</v>
      </c>
      <c r="BC28" s="1170">
        <f t="shared" si="42"/>
        <v>335287781.07999998</v>
      </c>
      <c r="BD28" s="52">
        <f t="shared" si="43"/>
        <v>0.44970578031788699</v>
      </c>
      <c r="BE28" s="50"/>
      <c r="BF28" s="50" t="s">
        <v>66</v>
      </c>
      <c r="BG28" s="45"/>
      <c r="BH28" s="53" t="s">
        <v>131</v>
      </c>
      <c r="BI28" s="1224"/>
    </row>
    <row r="29" spans="1:61" ht="48" customHeight="1" x14ac:dyDescent="0.25">
      <c r="A29" s="58" t="s">
        <v>166</v>
      </c>
      <c r="B29" s="59"/>
      <c r="C29" s="59"/>
      <c r="D29" s="59"/>
      <c r="E29" s="60"/>
      <c r="F29" s="60"/>
      <c r="G29" s="744"/>
      <c r="H29" s="60"/>
      <c r="I29" s="60"/>
      <c r="J29" s="60"/>
      <c r="K29" s="60"/>
      <c r="L29" s="60"/>
      <c r="M29" s="60"/>
      <c r="N29" s="60"/>
      <c r="O29" s="685">
        <f>+SUMPRODUCT(O30:O34,AC30:AC34)</f>
        <v>1</v>
      </c>
      <c r="P29" s="685">
        <f>+SUMPRODUCT(P30:P34,AD30:AD34)</f>
        <v>0.96099999999999997</v>
      </c>
      <c r="Q29" s="685">
        <f>+SUMPRODUCT(Q30:Q34,AE30:AE34)</f>
        <v>0.63</v>
      </c>
      <c r="R29" s="685">
        <f>+SUMPRODUCT(R30:R34,AF30:AF34)</f>
        <v>0.26</v>
      </c>
      <c r="S29" s="62"/>
      <c r="T29" s="58"/>
      <c r="U29" s="59"/>
      <c r="V29" s="59"/>
      <c r="W29" s="59"/>
      <c r="X29" s="59"/>
      <c r="Y29" s="62"/>
      <c r="Z29" s="62"/>
      <c r="AA29" s="61">
        <f>+SUMPRODUCT(AA30:AA34,AB30:AB34)</f>
        <v>0.69433333333333325</v>
      </c>
      <c r="AB29" s="61">
        <v>0.1</v>
      </c>
      <c r="AC29" s="61">
        <v>0.1</v>
      </c>
      <c r="AD29" s="61">
        <v>0.1</v>
      </c>
      <c r="AE29" s="61">
        <v>0.1</v>
      </c>
      <c r="AF29" s="61">
        <v>0.1</v>
      </c>
      <c r="AG29" s="59">
        <f>SUM(AG30:AG34)</f>
        <v>80000000</v>
      </c>
      <c r="AH29" s="59">
        <f>SUM(AH30:AH34)</f>
        <v>0</v>
      </c>
      <c r="AI29" s="59">
        <v>156026664</v>
      </c>
      <c r="AJ29" s="59">
        <f t="shared" ref="AJ29:AK29" si="55">SUM(AJ30:AJ34)</f>
        <v>80426000</v>
      </c>
      <c r="AK29" s="59">
        <f t="shared" si="55"/>
        <v>8000000</v>
      </c>
      <c r="AL29" s="1137">
        <f t="shared" si="11"/>
        <v>0.1</v>
      </c>
      <c r="AM29" s="734">
        <f>SUM(AM30:AM34)</f>
        <v>0</v>
      </c>
      <c r="AN29" s="724">
        <v>150000000</v>
      </c>
      <c r="AO29" s="241">
        <f t="shared" ref="AO29" si="56">SUM(AO30:AO34)</f>
        <v>80426000</v>
      </c>
      <c r="AP29" s="241">
        <f t="shared" ref="AP29" si="57">SUM(AP30:AP34)</f>
        <v>0</v>
      </c>
      <c r="AQ29" s="1156">
        <f t="shared" si="16"/>
        <v>0</v>
      </c>
      <c r="AR29" s="63">
        <f t="shared" si="17"/>
        <v>8000000</v>
      </c>
      <c r="AS29" s="63"/>
      <c r="AT29" s="63"/>
      <c r="AU29" s="530">
        <f>+AI29-AN29</f>
        <v>6026664</v>
      </c>
      <c r="AV29" s="677">
        <v>0</v>
      </c>
      <c r="AW29" s="63">
        <f t="shared" si="5"/>
        <v>0</v>
      </c>
      <c r="AX29" s="63">
        <f t="shared" ref="AX29" si="58">SUM(AX30:AX34)</f>
        <v>0</v>
      </c>
      <c r="AY29" s="61" t="e">
        <f t="shared" si="19"/>
        <v>#DIV/0!</v>
      </c>
      <c r="AZ29" s="59">
        <f>SUM(AZ30:AZ34)-300000000</f>
        <v>680000000</v>
      </c>
      <c r="BA29" s="59">
        <f t="shared" si="40"/>
        <v>244452664</v>
      </c>
      <c r="BB29" s="61">
        <f t="shared" si="41"/>
        <v>0.35948921176470588</v>
      </c>
      <c r="BC29" s="1171">
        <f t="shared" si="42"/>
        <v>230426000</v>
      </c>
      <c r="BD29" s="61">
        <f t="shared" si="43"/>
        <v>0.33886176470588236</v>
      </c>
      <c r="BE29" s="59"/>
      <c r="BF29" s="59" t="s">
        <v>66</v>
      </c>
      <c r="BG29" s="59"/>
      <c r="BH29" s="59"/>
      <c r="BI29" s="617"/>
    </row>
    <row r="30" spans="1:61" ht="39.75" customHeight="1" x14ac:dyDescent="0.25">
      <c r="A30" s="39" t="s">
        <v>167</v>
      </c>
      <c r="B30" s="40" t="s">
        <v>168</v>
      </c>
      <c r="C30" s="40" t="s">
        <v>1776</v>
      </c>
      <c r="D30" s="40">
        <v>0</v>
      </c>
      <c r="E30" s="66">
        <v>1</v>
      </c>
      <c r="F30" s="66">
        <v>1</v>
      </c>
      <c r="G30" s="743">
        <v>1</v>
      </c>
      <c r="H30" s="66" t="s">
        <v>163</v>
      </c>
      <c r="I30" s="42">
        <v>1</v>
      </c>
      <c r="J30" s="42">
        <v>1</v>
      </c>
      <c r="K30" s="84">
        <v>0</v>
      </c>
      <c r="L30" s="42"/>
      <c r="M30" s="593"/>
      <c r="N30" s="593"/>
      <c r="O30" s="1085">
        <f t="shared" si="44"/>
        <v>0</v>
      </c>
      <c r="P30" s="1085">
        <f t="shared" si="44"/>
        <v>1</v>
      </c>
      <c r="Q30" s="1085">
        <f t="shared" si="44"/>
        <v>1</v>
      </c>
      <c r="R30" s="43">
        <f t="shared" si="28"/>
        <v>0</v>
      </c>
      <c r="S30" s="770" t="s">
        <v>1656</v>
      </c>
      <c r="T30" s="234">
        <v>45107</v>
      </c>
      <c r="U30" s="40" t="s">
        <v>1804</v>
      </c>
      <c r="V30" s="40"/>
      <c r="W30" s="283" t="s">
        <v>1758</v>
      </c>
      <c r="X30" s="550"/>
      <c r="Y30" s="47">
        <f t="shared" ref="Y30:Y34" si="59">SUM(D30:G30)</f>
        <v>3</v>
      </c>
      <c r="Z30" s="47">
        <f t="shared" ref="Z30:Z34" si="60">SUM(H30:N30)</f>
        <v>2</v>
      </c>
      <c r="AA30" s="44">
        <f t="shared" ref="AA30:AA34" si="61">IF(Z30/Y30&gt;=100%,100%,Z30/Y30)</f>
        <v>0.66666666666666663</v>
      </c>
      <c r="AB30" s="48">
        <v>0.28999999999999998</v>
      </c>
      <c r="AC30" s="48">
        <v>0</v>
      </c>
      <c r="AD30" s="48">
        <v>0.3</v>
      </c>
      <c r="AE30" s="48">
        <v>0.34</v>
      </c>
      <c r="AF30" s="48">
        <v>0.34</v>
      </c>
      <c r="AG30" s="49">
        <v>0</v>
      </c>
      <c r="AH30" s="50"/>
      <c r="AI30" s="50"/>
      <c r="AJ30" s="240">
        <v>40212999.999999993</v>
      </c>
      <c r="AK30" s="240"/>
      <c r="AL30" s="932" t="e">
        <f t="shared" si="11"/>
        <v>#DIV/0!</v>
      </c>
      <c r="AM30" s="50"/>
      <c r="AN30" s="723"/>
      <c r="AO30" s="240">
        <v>40213000</v>
      </c>
      <c r="AP30" s="240"/>
      <c r="AQ30" s="1155" t="e">
        <f t="shared" si="16"/>
        <v>#DIV/0!</v>
      </c>
      <c r="AR30" s="51">
        <f t="shared" si="17"/>
        <v>0</v>
      </c>
      <c r="AS30" s="51"/>
      <c r="AT30" s="51"/>
      <c r="AU30" s="51"/>
      <c r="AV30" s="51"/>
      <c r="AW30" s="51">
        <f t="shared" si="5"/>
        <v>0</v>
      </c>
      <c r="AX30" s="51"/>
      <c r="AY30" s="43" t="e">
        <f t="shared" si="19"/>
        <v>#DIV/0!</v>
      </c>
      <c r="AZ30" s="49">
        <f>155000000+AG30</f>
        <v>155000000</v>
      </c>
      <c r="BA30" s="45">
        <f t="shared" si="40"/>
        <v>40212999.999999993</v>
      </c>
      <c r="BB30" s="52">
        <f t="shared" si="41"/>
        <v>0.25943870967741933</v>
      </c>
      <c r="BC30" s="1170">
        <f t="shared" si="42"/>
        <v>40213000</v>
      </c>
      <c r="BD30" s="52">
        <f t="shared" si="43"/>
        <v>0.25943870967741933</v>
      </c>
      <c r="BE30" s="50"/>
      <c r="BF30" s="50" t="s">
        <v>66</v>
      </c>
      <c r="BG30" s="45" t="s">
        <v>93</v>
      </c>
      <c r="BH30" s="53" t="s">
        <v>170</v>
      </c>
      <c r="BI30" s="1222" t="s">
        <v>171</v>
      </c>
    </row>
    <row r="31" spans="1:61" ht="213" customHeight="1" x14ac:dyDescent="0.25">
      <c r="A31" s="39" t="s">
        <v>172</v>
      </c>
      <c r="B31" s="40" t="s">
        <v>173</v>
      </c>
      <c r="C31" s="40" t="s">
        <v>1776</v>
      </c>
      <c r="D31" s="40">
        <v>0</v>
      </c>
      <c r="E31" s="66">
        <v>1</v>
      </c>
      <c r="F31" s="66">
        <v>1</v>
      </c>
      <c r="G31" s="743">
        <v>1</v>
      </c>
      <c r="H31" s="66" t="s">
        <v>163</v>
      </c>
      <c r="I31" s="291">
        <v>1</v>
      </c>
      <c r="J31" s="42">
        <v>0</v>
      </c>
      <c r="K31" s="42">
        <v>1</v>
      </c>
      <c r="L31" s="42"/>
      <c r="M31" s="593"/>
      <c r="N31" s="593"/>
      <c r="O31" s="1085">
        <f t="shared" si="44"/>
        <v>0</v>
      </c>
      <c r="P31" s="1085">
        <f t="shared" si="44"/>
        <v>1</v>
      </c>
      <c r="Q31" s="1085">
        <f t="shared" si="44"/>
        <v>0</v>
      </c>
      <c r="R31" s="43">
        <f t="shared" si="28"/>
        <v>1</v>
      </c>
      <c r="S31" s="770" t="s">
        <v>1683</v>
      </c>
      <c r="T31" s="234">
        <v>45107</v>
      </c>
      <c r="U31" s="40" t="s">
        <v>1796</v>
      </c>
      <c r="V31" s="40"/>
      <c r="W31" s="283" t="s">
        <v>1758</v>
      </c>
      <c r="X31" s="550"/>
      <c r="Y31" s="47">
        <f t="shared" si="59"/>
        <v>3</v>
      </c>
      <c r="Z31" s="47">
        <f t="shared" si="60"/>
        <v>2</v>
      </c>
      <c r="AA31" s="44">
        <f t="shared" si="61"/>
        <v>0.66666666666666663</v>
      </c>
      <c r="AB31" s="48">
        <v>0.21</v>
      </c>
      <c r="AC31" s="48">
        <v>0</v>
      </c>
      <c r="AD31" s="48">
        <v>0.23</v>
      </c>
      <c r="AE31" s="48">
        <v>0.25</v>
      </c>
      <c r="AF31" s="48">
        <v>0.26</v>
      </c>
      <c r="AG31" s="49">
        <v>70000000</v>
      </c>
      <c r="AH31" s="50"/>
      <c r="AI31" s="50"/>
      <c r="AJ31" s="240">
        <v>5361733.333333333</v>
      </c>
      <c r="AK31" s="240">
        <v>7000000</v>
      </c>
      <c r="AL31" s="932">
        <f t="shared" si="11"/>
        <v>0.1</v>
      </c>
      <c r="AM31" s="50"/>
      <c r="AN31" s="723"/>
      <c r="AO31" s="240">
        <v>5361733.333333333</v>
      </c>
      <c r="AP31" s="240"/>
      <c r="AQ31" s="1155">
        <f t="shared" si="16"/>
        <v>0</v>
      </c>
      <c r="AR31" s="51">
        <f t="shared" si="17"/>
        <v>7000000</v>
      </c>
      <c r="AS31" s="51"/>
      <c r="AT31" s="51"/>
      <c r="AU31" s="51"/>
      <c r="AV31" s="51"/>
      <c r="AW31" s="51">
        <f t="shared" si="5"/>
        <v>0</v>
      </c>
      <c r="AX31" s="51"/>
      <c r="AY31" s="43" t="e">
        <f t="shared" si="19"/>
        <v>#DIV/0!</v>
      </c>
      <c r="AZ31" s="49">
        <f>430000000+AG31</f>
        <v>500000000</v>
      </c>
      <c r="BA31" s="45">
        <f t="shared" si="40"/>
        <v>12361733.333333332</v>
      </c>
      <c r="BB31" s="52">
        <f t="shared" si="41"/>
        <v>2.4723466666666666E-2</v>
      </c>
      <c r="BC31" s="1170">
        <f t="shared" si="42"/>
        <v>5361733.333333333</v>
      </c>
      <c r="BD31" s="52">
        <f t="shared" si="43"/>
        <v>1.0723466666666666E-2</v>
      </c>
      <c r="BE31" s="50"/>
      <c r="BF31" s="50" t="s">
        <v>68</v>
      </c>
      <c r="BG31" s="45" t="s">
        <v>93</v>
      </c>
      <c r="BH31" s="53" t="s">
        <v>175</v>
      </c>
      <c r="BI31" s="1223"/>
    </row>
    <row r="32" spans="1:61" ht="30.75" customHeight="1" x14ac:dyDescent="0.25">
      <c r="A32" s="39" t="s">
        <v>176</v>
      </c>
      <c r="B32" s="40" t="s">
        <v>177</v>
      </c>
      <c r="C32" s="40" t="s">
        <v>1778</v>
      </c>
      <c r="D32" s="575">
        <v>0</v>
      </c>
      <c r="E32" s="48">
        <v>0</v>
      </c>
      <c r="F32" s="48">
        <v>0.2</v>
      </c>
      <c r="G32" s="696">
        <v>1</v>
      </c>
      <c r="H32" s="66" t="s">
        <v>163</v>
      </c>
      <c r="I32" s="43" t="s">
        <v>163</v>
      </c>
      <c r="J32" s="43">
        <v>0</v>
      </c>
      <c r="K32" s="43">
        <v>0</v>
      </c>
      <c r="L32" s="42"/>
      <c r="M32" s="699"/>
      <c r="N32" s="699"/>
      <c r="O32" s="1085">
        <f t="shared" si="44"/>
        <v>0</v>
      </c>
      <c r="P32" s="1085">
        <f t="shared" si="44"/>
        <v>0</v>
      </c>
      <c r="Q32" s="1085">
        <f t="shared" si="44"/>
        <v>0</v>
      </c>
      <c r="R32" s="44">
        <f t="shared" si="28"/>
        <v>0</v>
      </c>
      <c r="S32" s="770" t="s">
        <v>1657</v>
      </c>
      <c r="T32" s="234">
        <v>45107</v>
      </c>
      <c r="U32" s="40" t="s">
        <v>1804</v>
      </c>
      <c r="V32" s="544"/>
      <c r="W32" s="283" t="s">
        <v>1758</v>
      </c>
      <c r="X32" s="550"/>
      <c r="Y32" s="43">
        <f t="shared" si="59"/>
        <v>1.2</v>
      </c>
      <c r="Z32" s="698">
        <f t="shared" si="60"/>
        <v>0</v>
      </c>
      <c r="AA32" s="44">
        <f t="shared" si="61"/>
        <v>0</v>
      </c>
      <c r="AB32" s="48">
        <v>7.0000000000000007E-2</v>
      </c>
      <c r="AC32" s="48">
        <v>0</v>
      </c>
      <c r="AD32" s="48">
        <v>0</v>
      </c>
      <c r="AE32" s="48">
        <v>0.12</v>
      </c>
      <c r="AF32" s="48">
        <v>0.12</v>
      </c>
      <c r="AG32" s="70">
        <v>0</v>
      </c>
      <c r="AH32" s="50"/>
      <c r="AI32" s="50"/>
      <c r="AJ32" s="240">
        <v>34851266.666666664</v>
      </c>
      <c r="AK32" s="240"/>
      <c r="AL32" s="932" t="e">
        <f t="shared" si="11"/>
        <v>#DIV/0!</v>
      </c>
      <c r="AM32" s="50"/>
      <c r="AN32" s="723"/>
      <c r="AO32" s="240">
        <v>34851266.666666664</v>
      </c>
      <c r="AP32" s="240"/>
      <c r="AQ32" s="1155" t="e">
        <f t="shared" si="16"/>
        <v>#DIV/0!</v>
      </c>
      <c r="AR32" s="51">
        <f t="shared" si="17"/>
        <v>0</v>
      </c>
      <c r="AS32" s="51"/>
      <c r="AT32" s="51"/>
      <c r="AU32" s="51"/>
      <c r="AV32" s="51"/>
      <c r="AW32" s="51">
        <f t="shared" si="5"/>
        <v>0</v>
      </c>
      <c r="AX32" s="51"/>
      <c r="AY32" s="43" t="e">
        <f t="shared" si="19"/>
        <v>#DIV/0!</v>
      </c>
      <c r="AZ32" s="70">
        <f>15000000+AG32</f>
        <v>15000000</v>
      </c>
      <c r="BA32" s="45">
        <f t="shared" si="40"/>
        <v>34851266.666666664</v>
      </c>
      <c r="BB32" s="52">
        <f t="shared" si="41"/>
        <v>2.3234177777777778</v>
      </c>
      <c r="BC32" s="1170">
        <f t="shared" si="42"/>
        <v>34851266.666666664</v>
      </c>
      <c r="BD32" s="52">
        <f t="shared" si="43"/>
        <v>2.3234177777777778</v>
      </c>
      <c r="BE32" s="50"/>
      <c r="BF32" s="50"/>
      <c r="BG32" s="45" t="s">
        <v>93</v>
      </c>
      <c r="BH32" s="53" t="s">
        <v>175</v>
      </c>
      <c r="BI32" s="1224"/>
    </row>
    <row r="33" spans="1:61" ht="31.5" customHeight="1" x14ac:dyDescent="0.25">
      <c r="A33" s="39" t="s">
        <v>178</v>
      </c>
      <c r="B33" s="40" t="s">
        <v>179</v>
      </c>
      <c r="C33" s="40" t="s">
        <v>1778</v>
      </c>
      <c r="D33" s="575">
        <v>1</v>
      </c>
      <c r="E33" s="48">
        <v>1</v>
      </c>
      <c r="F33" s="48">
        <v>1</v>
      </c>
      <c r="G33" s="696">
        <v>1</v>
      </c>
      <c r="H33" s="48">
        <v>1</v>
      </c>
      <c r="I33" s="43">
        <v>0.85</v>
      </c>
      <c r="J33" s="43">
        <v>1</v>
      </c>
      <c r="K33" s="43"/>
      <c r="L33" s="42"/>
      <c r="M33" s="699"/>
      <c r="N33" s="699"/>
      <c r="O33" s="687">
        <f t="shared" si="44"/>
        <v>1</v>
      </c>
      <c r="P33" s="687">
        <f t="shared" si="44"/>
        <v>0.85</v>
      </c>
      <c r="Q33" s="687">
        <f t="shared" si="44"/>
        <v>1</v>
      </c>
      <c r="R33" s="43">
        <f t="shared" si="28"/>
        <v>0</v>
      </c>
      <c r="S33" s="770" t="s">
        <v>1718</v>
      </c>
      <c r="T33" s="234">
        <v>45107</v>
      </c>
      <c r="U33" s="40" t="s">
        <v>1800</v>
      </c>
      <c r="V33" s="40" t="s">
        <v>1863</v>
      </c>
      <c r="W33" s="545" t="s">
        <v>1807</v>
      </c>
      <c r="X33" s="550"/>
      <c r="Y33" s="43">
        <f t="shared" si="59"/>
        <v>4</v>
      </c>
      <c r="Z33" s="698">
        <f t="shared" si="60"/>
        <v>2.85</v>
      </c>
      <c r="AA33" s="44">
        <f t="shared" si="61"/>
        <v>0.71250000000000002</v>
      </c>
      <c r="AB33" s="48">
        <v>0.24</v>
      </c>
      <c r="AC33" s="48">
        <v>0.5</v>
      </c>
      <c r="AD33" s="48">
        <v>0.26</v>
      </c>
      <c r="AE33" s="48">
        <v>0.28999999999999998</v>
      </c>
      <c r="AF33" s="48">
        <v>0.28000000000000003</v>
      </c>
      <c r="AG33" s="49">
        <v>10000000</v>
      </c>
      <c r="AH33" s="50"/>
      <c r="AI33" s="50"/>
      <c r="AJ33" s="240">
        <v>0</v>
      </c>
      <c r="AK33" s="240">
        <v>1000000</v>
      </c>
      <c r="AL33" s="932">
        <f t="shared" si="11"/>
        <v>0.1</v>
      </c>
      <c r="AM33" s="50"/>
      <c r="AN33" s="723"/>
      <c r="AO33" s="240">
        <v>0</v>
      </c>
      <c r="AP33" s="240"/>
      <c r="AQ33" s="1155">
        <f t="shared" si="16"/>
        <v>0</v>
      </c>
      <c r="AR33" s="51">
        <f t="shared" si="17"/>
        <v>1000000</v>
      </c>
      <c r="AS33" s="51"/>
      <c r="AT33" s="51"/>
      <c r="AU33" s="51"/>
      <c r="AV33" s="51"/>
      <c r="AW33" s="51">
        <f t="shared" si="5"/>
        <v>0</v>
      </c>
      <c r="AX33" s="51"/>
      <c r="AY33" s="43" t="e">
        <f t="shared" si="19"/>
        <v>#DIV/0!</v>
      </c>
      <c r="AZ33" s="49">
        <f>130000000+AG33</f>
        <v>140000000</v>
      </c>
      <c r="BA33" s="45">
        <f t="shared" si="40"/>
        <v>1000000</v>
      </c>
      <c r="BB33" s="52">
        <f t="shared" si="41"/>
        <v>7.1428571428571426E-3</v>
      </c>
      <c r="BC33" s="1170">
        <f t="shared" si="42"/>
        <v>0</v>
      </c>
      <c r="BD33" s="52">
        <f t="shared" si="43"/>
        <v>0</v>
      </c>
      <c r="BE33" s="50"/>
      <c r="BF33" s="50" t="s">
        <v>66</v>
      </c>
      <c r="BG33" s="45" t="s">
        <v>93</v>
      </c>
      <c r="BH33" s="53" t="s">
        <v>175</v>
      </c>
      <c r="BI33" s="1222" t="s">
        <v>180</v>
      </c>
    </row>
    <row r="34" spans="1:61" ht="27.75" customHeight="1" x14ac:dyDescent="0.25">
      <c r="A34" s="39" t="s">
        <v>181</v>
      </c>
      <c r="B34" s="40" t="s">
        <v>182</v>
      </c>
      <c r="C34" s="40" t="s">
        <v>1778</v>
      </c>
      <c r="D34" s="575">
        <v>0.2</v>
      </c>
      <c r="E34" s="48">
        <v>0.8</v>
      </c>
      <c r="F34" s="48">
        <v>0</v>
      </c>
      <c r="G34" s="696">
        <v>0</v>
      </c>
      <c r="H34" s="48">
        <v>0.2</v>
      </c>
      <c r="I34" s="43">
        <v>0.1</v>
      </c>
      <c r="J34" s="43" t="s">
        <v>163</v>
      </c>
      <c r="K34" s="43"/>
      <c r="L34" s="42"/>
      <c r="M34" s="687">
        <v>0.7</v>
      </c>
      <c r="N34" s="687"/>
      <c r="O34" s="687">
        <f t="shared" si="44"/>
        <v>1</v>
      </c>
      <c r="P34" s="687">
        <f t="shared" si="44"/>
        <v>1</v>
      </c>
      <c r="Q34" s="687">
        <f t="shared" si="44"/>
        <v>0</v>
      </c>
      <c r="R34" s="44">
        <f t="shared" si="28"/>
        <v>0</v>
      </c>
      <c r="S34" s="293"/>
      <c r="T34" s="234"/>
      <c r="U34" s="46"/>
      <c r="V34" s="40"/>
      <c r="W34" s="45"/>
      <c r="X34" s="45"/>
      <c r="Y34" s="43">
        <f t="shared" si="59"/>
        <v>1</v>
      </c>
      <c r="Z34" s="698">
        <f t="shared" si="60"/>
        <v>1</v>
      </c>
      <c r="AA34" s="44">
        <f t="shared" si="61"/>
        <v>1</v>
      </c>
      <c r="AB34" s="48">
        <v>0.19</v>
      </c>
      <c r="AC34" s="48">
        <v>0.5</v>
      </c>
      <c r="AD34" s="48">
        <v>0.21</v>
      </c>
      <c r="AE34" s="43">
        <v>0</v>
      </c>
      <c r="AF34" s="43">
        <v>0</v>
      </c>
      <c r="AG34" s="49"/>
      <c r="AH34" s="50"/>
      <c r="AI34" s="50"/>
      <c r="AJ34" s="240"/>
      <c r="AK34" s="240"/>
      <c r="AL34" s="932" t="e">
        <f t="shared" si="11"/>
        <v>#DIV/0!</v>
      </c>
      <c r="AM34" s="50"/>
      <c r="AN34" s="723"/>
      <c r="AO34" s="240"/>
      <c r="AP34" s="240"/>
      <c r="AQ34" s="1155" t="e">
        <f t="shared" si="16"/>
        <v>#DIV/0!</v>
      </c>
      <c r="AR34" s="51">
        <f t="shared" si="17"/>
        <v>0</v>
      </c>
      <c r="AS34" s="51"/>
      <c r="AT34" s="51"/>
      <c r="AU34" s="51"/>
      <c r="AV34" s="51"/>
      <c r="AW34" s="51">
        <f t="shared" si="5"/>
        <v>0</v>
      </c>
      <c r="AX34" s="51"/>
      <c r="AY34" s="43" t="e">
        <f t="shared" si="19"/>
        <v>#DIV/0!</v>
      </c>
      <c r="AZ34" s="49">
        <f>170000000+AG34</f>
        <v>170000000</v>
      </c>
      <c r="BA34" s="45">
        <f t="shared" si="40"/>
        <v>0</v>
      </c>
      <c r="BB34" s="52">
        <f t="shared" si="41"/>
        <v>0</v>
      </c>
      <c r="BC34" s="1170">
        <f t="shared" si="42"/>
        <v>0</v>
      </c>
      <c r="BD34" s="52">
        <f t="shared" si="43"/>
        <v>0</v>
      </c>
      <c r="BE34" s="50"/>
      <c r="BF34" s="50" t="s">
        <v>66</v>
      </c>
      <c r="BG34" s="45"/>
      <c r="BH34" s="53" t="s">
        <v>175</v>
      </c>
      <c r="BI34" s="1224"/>
    </row>
    <row r="35" spans="1:61" ht="44.25" customHeight="1" x14ac:dyDescent="0.25">
      <c r="A35" s="32" t="s">
        <v>183</v>
      </c>
      <c r="B35" s="33"/>
      <c r="C35" s="33"/>
      <c r="D35" s="33"/>
      <c r="E35" s="34"/>
      <c r="F35" s="34"/>
      <c r="G35" s="745"/>
      <c r="H35" s="34"/>
      <c r="I35" s="34"/>
      <c r="J35" s="34"/>
      <c r="K35" s="34"/>
      <c r="L35" s="34"/>
      <c r="M35" s="34"/>
      <c r="N35" s="34"/>
      <c r="O35" s="607">
        <f>+SUMPRODUCT(O36:O40,AC36:AC40)</f>
        <v>1</v>
      </c>
      <c r="P35" s="607">
        <f>+SUMPRODUCT(P36:P40,AD36:AD40)</f>
        <v>1</v>
      </c>
      <c r="Q35" s="607">
        <f>+SUMPRODUCT(Q36:Q40,AE36:AE40)</f>
        <v>0.47000000000000003</v>
      </c>
      <c r="R35" s="607">
        <f>+SUMPRODUCT(R36:R40,AF36:AF40)</f>
        <v>0.67399999999999993</v>
      </c>
      <c r="S35" s="36"/>
      <c r="T35" s="36"/>
      <c r="U35" s="71"/>
      <c r="V35" s="71"/>
      <c r="W35" s="71"/>
      <c r="X35" s="47"/>
      <c r="Y35" s="36"/>
      <c r="Z35" s="36"/>
      <c r="AA35" s="607">
        <f>+SUMPRODUCT(AA36:AA40,AB36:AB40)</f>
        <v>0.94641666666666679</v>
      </c>
      <c r="AB35" s="35">
        <v>0.2</v>
      </c>
      <c r="AC35" s="35">
        <v>0.2</v>
      </c>
      <c r="AD35" s="35">
        <v>0.2</v>
      </c>
      <c r="AE35" s="35">
        <v>0.2</v>
      </c>
      <c r="AF35" s="35">
        <v>0.2</v>
      </c>
      <c r="AG35" s="33">
        <f>SUM(AG36:AG40)</f>
        <v>300000000</v>
      </c>
      <c r="AH35" s="33">
        <v>415981055</v>
      </c>
      <c r="AI35" s="33">
        <v>128008583</v>
      </c>
      <c r="AJ35" s="33">
        <f t="shared" ref="AJ35:AK35" si="62">SUM(AJ36:AJ40)</f>
        <v>396862738</v>
      </c>
      <c r="AK35" s="33">
        <f t="shared" si="62"/>
        <v>217135645.99999997</v>
      </c>
      <c r="AL35" s="1138">
        <f t="shared" si="11"/>
        <v>0.72378548666666653</v>
      </c>
      <c r="AM35" s="733">
        <v>415981055</v>
      </c>
      <c r="AN35" s="725">
        <v>100008583</v>
      </c>
      <c r="AO35" s="242">
        <f t="shared" ref="AO35" si="63">SUM(AO36:AO40)</f>
        <v>179550605</v>
      </c>
      <c r="AP35" s="242">
        <f t="shared" ref="AP35" si="64">SUM(AP36:AP40)</f>
        <v>62257113</v>
      </c>
      <c r="AQ35" s="1158">
        <f t="shared" si="16"/>
        <v>0.20752371</v>
      </c>
      <c r="AR35" s="37">
        <f t="shared" si="17"/>
        <v>154878532.99999997</v>
      </c>
      <c r="AS35" s="37">
        <v>35000000</v>
      </c>
      <c r="AT35" s="37">
        <v>35000000</v>
      </c>
      <c r="AU35" s="530">
        <f>+AI35-AN35</f>
        <v>28000000</v>
      </c>
      <c r="AV35" s="679">
        <v>0</v>
      </c>
      <c r="AW35" s="37">
        <f t="shared" si="5"/>
        <v>217312133</v>
      </c>
      <c r="AX35" s="37">
        <f t="shared" ref="AX35" si="65">SUM(AX36:AX40)</f>
        <v>0</v>
      </c>
      <c r="AY35" s="35">
        <f t="shared" si="19"/>
        <v>0</v>
      </c>
      <c r="AZ35" s="33">
        <f>SUM(AZ36:AZ40)-400000000</f>
        <v>2000000000</v>
      </c>
      <c r="BA35" s="33">
        <f t="shared" si="40"/>
        <v>1157988022</v>
      </c>
      <c r="BB35" s="35">
        <f t="shared" si="41"/>
        <v>0.57899401100000003</v>
      </c>
      <c r="BC35" s="1172">
        <f t="shared" si="42"/>
        <v>792797356</v>
      </c>
      <c r="BD35" s="35">
        <f t="shared" si="43"/>
        <v>0.396398678</v>
      </c>
      <c r="BE35" s="33"/>
      <c r="BF35" s="33" t="s">
        <v>66</v>
      </c>
      <c r="BG35" s="33"/>
      <c r="BH35" s="33"/>
      <c r="BI35" s="618"/>
    </row>
    <row r="36" spans="1:61" ht="82.5" customHeight="1" x14ac:dyDescent="0.25">
      <c r="A36" s="39" t="s">
        <v>184</v>
      </c>
      <c r="B36" s="40" t="s">
        <v>185</v>
      </c>
      <c r="C36" s="40" t="s">
        <v>1776</v>
      </c>
      <c r="D36" s="40">
        <v>1</v>
      </c>
      <c r="E36" s="66">
        <v>2</v>
      </c>
      <c r="F36" s="66">
        <v>2</v>
      </c>
      <c r="G36" s="743">
        <v>1</v>
      </c>
      <c r="H36" s="66">
        <v>1</v>
      </c>
      <c r="I36" s="42">
        <v>1</v>
      </c>
      <c r="J36" s="42">
        <v>0</v>
      </c>
      <c r="K36" s="42">
        <v>1</v>
      </c>
      <c r="L36" s="42"/>
      <c r="M36" s="291">
        <v>3</v>
      </c>
      <c r="N36" s="291"/>
      <c r="O36" s="687">
        <f t="shared" si="44"/>
        <v>1</v>
      </c>
      <c r="P36" s="687">
        <f t="shared" si="44"/>
        <v>1</v>
      </c>
      <c r="Q36" s="687">
        <f t="shared" si="44"/>
        <v>0</v>
      </c>
      <c r="R36" s="44">
        <f t="shared" si="28"/>
        <v>1</v>
      </c>
      <c r="S36" s="1109" t="s">
        <v>1631</v>
      </c>
      <c r="T36" s="234"/>
      <c r="U36" s="40" t="s">
        <v>1796</v>
      </c>
      <c r="V36" s="40"/>
      <c r="W36" s="283" t="s">
        <v>1801</v>
      </c>
      <c r="X36" s="945" t="s">
        <v>1857</v>
      </c>
      <c r="Y36" s="47">
        <f t="shared" ref="Y36:Y40" si="66">SUM(D36:G36)</f>
        <v>6</v>
      </c>
      <c r="Z36" s="47">
        <f t="shared" ref="Z36:Z40" si="67">SUM(H36:N36)</f>
        <v>6</v>
      </c>
      <c r="AA36" s="44">
        <f t="shared" ref="AA36:AA40" si="68">IF(Z36/Y36&gt;=100%,100%,Z36/Y36)</f>
        <v>1</v>
      </c>
      <c r="AB36" s="48">
        <v>0.4</v>
      </c>
      <c r="AC36" s="48">
        <v>0.2</v>
      </c>
      <c r="AD36" s="48">
        <v>0.4</v>
      </c>
      <c r="AE36" s="43">
        <v>0.42</v>
      </c>
      <c r="AF36" s="43">
        <v>0.45</v>
      </c>
      <c r="AG36" s="49">
        <v>200000000</v>
      </c>
      <c r="AH36" s="50"/>
      <c r="AI36" s="50"/>
      <c r="AJ36" s="240">
        <v>213480404.02496001</v>
      </c>
      <c r="AK36" s="240">
        <v>144757097.33333331</v>
      </c>
      <c r="AL36" s="932">
        <f t="shared" si="11"/>
        <v>0.72378548666666653</v>
      </c>
      <c r="AM36" s="50"/>
      <c r="AN36" s="723"/>
      <c r="AO36" s="240">
        <v>96583861.441599995</v>
      </c>
      <c r="AP36" s="240">
        <v>41504742</v>
      </c>
      <c r="AQ36" s="1158">
        <f t="shared" si="16"/>
        <v>0.20752371</v>
      </c>
      <c r="AR36" s="51">
        <f t="shared" si="17"/>
        <v>103252355.33333331</v>
      </c>
      <c r="AS36" s="51"/>
      <c r="AT36" s="51"/>
      <c r="AU36" s="51"/>
      <c r="AV36" s="51"/>
      <c r="AW36" s="51">
        <f t="shared" si="5"/>
        <v>116896542.58336002</v>
      </c>
      <c r="AX36" s="51"/>
      <c r="AY36" s="43">
        <f t="shared" si="19"/>
        <v>0</v>
      </c>
      <c r="AZ36" s="49">
        <f>1230000000+AG36</f>
        <v>1430000000</v>
      </c>
      <c r="BA36" s="45">
        <f t="shared" si="40"/>
        <v>358237501.35829329</v>
      </c>
      <c r="BB36" s="52">
        <f t="shared" si="41"/>
        <v>0.25051573521558973</v>
      </c>
      <c r="BC36" s="1170">
        <f t="shared" si="42"/>
        <v>138088603.44159999</v>
      </c>
      <c r="BD36" s="52">
        <f t="shared" si="43"/>
        <v>9.6565456952167825E-2</v>
      </c>
      <c r="BE36" s="50"/>
      <c r="BF36" s="50" t="s">
        <v>66</v>
      </c>
      <c r="BG36" s="45" t="s">
        <v>81</v>
      </c>
      <c r="BH36" s="53" t="s">
        <v>186</v>
      </c>
      <c r="BI36" s="619" t="s">
        <v>187</v>
      </c>
    </row>
    <row r="37" spans="1:61" ht="51" x14ac:dyDescent="0.25">
      <c r="A37" s="72" t="s">
        <v>188</v>
      </c>
      <c r="B37" s="40" t="s">
        <v>189</v>
      </c>
      <c r="C37" s="40" t="s">
        <v>1776</v>
      </c>
      <c r="D37" s="40">
        <v>0</v>
      </c>
      <c r="E37" s="66">
        <v>1</v>
      </c>
      <c r="F37" s="66">
        <v>0</v>
      </c>
      <c r="G37" s="743">
        <v>0</v>
      </c>
      <c r="H37" s="601" t="s">
        <v>163</v>
      </c>
      <c r="I37" s="602">
        <v>0</v>
      </c>
      <c r="J37" s="600" t="s">
        <v>163</v>
      </c>
      <c r="K37" s="591" t="s">
        <v>163</v>
      </c>
      <c r="L37" s="42"/>
      <c r="M37" s="291">
        <v>1</v>
      </c>
      <c r="N37" s="291"/>
      <c r="O37" s="687">
        <f t="shared" si="44"/>
        <v>0</v>
      </c>
      <c r="P37" s="687">
        <f t="shared" si="44"/>
        <v>1</v>
      </c>
      <c r="Q37" s="687">
        <f t="shared" si="44"/>
        <v>0</v>
      </c>
      <c r="R37" s="44">
        <f t="shared" si="28"/>
        <v>0</v>
      </c>
      <c r="S37" s="54"/>
      <c r="T37" s="234"/>
      <c r="U37" s="543" t="s">
        <v>1804</v>
      </c>
      <c r="V37" s="544"/>
      <c r="W37" s="545"/>
      <c r="X37" s="550"/>
      <c r="Y37" s="47">
        <f t="shared" si="66"/>
        <v>1</v>
      </c>
      <c r="Z37" s="703">
        <f t="shared" si="67"/>
        <v>1</v>
      </c>
      <c r="AA37" s="44">
        <f t="shared" si="68"/>
        <v>1</v>
      </c>
      <c r="AB37" s="48">
        <v>0.05</v>
      </c>
      <c r="AC37" s="48">
        <v>0</v>
      </c>
      <c r="AD37" s="48">
        <v>0.05</v>
      </c>
      <c r="AE37" s="43">
        <v>0</v>
      </c>
      <c r="AF37" s="43">
        <v>0</v>
      </c>
      <c r="AG37" s="49">
        <v>0</v>
      </c>
      <c r="AH37" s="50"/>
      <c r="AI37" s="50"/>
      <c r="AJ37" s="240">
        <v>0</v>
      </c>
      <c r="AK37" s="240"/>
      <c r="AL37" s="932" t="e">
        <f t="shared" si="11"/>
        <v>#DIV/0!</v>
      </c>
      <c r="AM37" s="50"/>
      <c r="AN37" s="723"/>
      <c r="AO37" s="240">
        <v>0</v>
      </c>
      <c r="AP37" s="240"/>
      <c r="AQ37" s="1158" t="e">
        <f t="shared" si="16"/>
        <v>#DIV/0!</v>
      </c>
      <c r="AR37" s="51">
        <f t="shared" si="17"/>
        <v>0</v>
      </c>
      <c r="AS37" s="51"/>
      <c r="AT37" s="51"/>
      <c r="AU37" s="51"/>
      <c r="AV37" s="51"/>
      <c r="AW37" s="51">
        <f t="shared" si="5"/>
        <v>0</v>
      </c>
      <c r="AX37" s="51"/>
      <c r="AY37" s="43" t="e">
        <f t="shared" si="19"/>
        <v>#DIV/0!</v>
      </c>
      <c r="AZ37" s="49">
        <f>20000000+AG37+200000000</f>
        <v>220000000</v>
      </c>
      <c r="BA37" s="45">
        <f t="shared" si="40"/>
        <v>0</v>
      </c>
      <c r="BB37" s="52">
        <f t="shared" si="41"/>
        <v>0</v>
      </c>
      <c r="BC37" s="1170">
        <f t="shared" si="42"/>
        <v>0</v>
      </c>
      <c r="BD37" s="52">
        <f t="shared" si="43"/>
        <v>0</v>
      </c>
      <c r="BE37" s="50"/>
      <c r="BF37" s="50" t="s">
        <v>66</v>
      </c>
      <c r="BG37" s="45"/>
      <c r="BH37" s="57"/>
      <c r="BI37" s="619" t="s">
        <v>190</v>
      </c>
    </row>
    <row r="38" spans="1:61" ht="25.5" customHeight="1" x14ac:dyDescent="0.25">
      <c r="A38" s="39" t="s">
        <v>191</v>
      </c>
      <c r="B38" s="40" t="s">
        <v>192</v>
      </c>
      <c r="C38" s="40" t="s">
        <v>1776</v>
      </c>
      <c r="D38" s="603">
        <v>1</v>
      </c>
      <c r="E38" s="604">
        <v>1</v>
      </c>
      <c r="F38" s="604">
        <v>1</v>
      </c>
      <c r="G38" s="628">
        <v>0</v>
      </c>
      <c r="H38" s="66">
        <v>1</v>
      </c>
      <c r="I38" s="42">
        <v>1</v>
      </c>
      <c r="J38" s="42">
        <v>0</v>
      </c>
      <c r="K38" s="42" t="s">
        <v>163</v>
      </c>
      <c r="L38" s="42"/>
      <c r="M38" s="593"/>
      <c r="N38" s="593"/>
      <c r="O38" s="687">
        <f t="shared" si="44"/>
        <v>1</v>
      </c>
      <c r="P38" s="687">
        <f t="shared" si="44"/>
        <v>1</v>
      </c>
      <c r="Q38" s="687">
        <f t="shared" si="44"/>
        <v>0</v>
      </c>
      <c r="R38" s="44">
        <f t="shared" si="28"/>
        <v>0</v>
      </c>
      <c r="S38" s="770"/>
      <c r="T38" s="234"/>
      <c r="U38" s="543" t="s">
        <v>1804</v>
      </c>
      <c r="V38" s="40"/>
      <c r="W38" s="545"/>
      <c r="X38" s="550"/>
      <c r="Y38" s="47">
        <f t="shared" si="66"/>
        <v>3</v>
      </c>
      <c r="Z38" s="47">
        <f t="shared" si="67"/>
        <v>2</v>
      </c>
      <c r="AA38" s="44">
        <f t="shared" si="68"/>
        <v>0.66666666666666663</v>
      </c>
      <c r="AB38" s="73">
        <v>0.1</v>
      </c>
      <c r="AC38" s="73">
        <v>0.2</v>
      </c>
      <c r="AD38" s="73">
        <v>0.1</v>
      </c>
      <c r="AE38" s="43">
        <v>0.11</v>
      </c>
      <c r="AF38" s="43">
        <v>0</v>
      </c>
      <c r="AG38" s="49">
        <v>0</v>
      </c>
      <c r="AH38" s="50"/>
      <c r="AI38" s="50"/>
      <c r="AJ38" s="240">
        <v>0</v>
      </c>
      <c r="AK38" s="240"/>
      <c r="AL38" s="932" t="e">
        <f t="shared" si="11"/>
        <v>#DIV/0!</v>
      </c>
      <c r="AM38" s="50"/>
      <c r="AN38" s="723"/>
      <c r="AO38" s="240">
        <v>0</v>
      </c>
      <c r="AP38" s="240"/>
      <c r="AQ38" s="1158" t="e">
        <f t="shared" si="16"/>
        <v>#DIV/0!</v>
      </c>
      <c r="AR38" s="51">
        <f t="shared" si="17"/>
        <v>0</v>
      </c>
      <c r="AS38" s="51"/>
      <c r="AT38" s="51"/>
      <c r="AU38" s="51"/>
      <c r="AV38" s="51"/>
      <c r="AW38" s="51">
        <f t="shared" si="5"/>
        <v>0</v>
      </c>
      <c r="AX38" s="51"/>
      <c r="AY38" s="43" t="e">
        <f t="shared" si="19"/>
        <v>#DIV/0!</v>
      </c>
      <c r="AZ38" s="49">
        <f>173000000+AG38+100000000</f>
        <v>273000000</v>
      </c>
      <c r="BA38" s="45">
        <f t="shared" si="40"/>
        <v>0</v>
      </c>
      <c r="BB38" s="52">
        <f t="shared" si="41"/>
        <v>0</v>
      </c>
      <c r="BC38" s="1170">
        <f t="shared" si="42"/>
        <v>0</v>
      </c>
      <c r="BD38" s="52">
        <f t="shared" si="43"/>
        <v>0</v>
      </c>
      <c r="BE38" s="50"/>
      <c r="BF38" s="50" t="s">
        <v>66</v>
      </c>
      <c r="BG38" s="45"/>
      <c r="BH38" s="53" t="s">
        <v>193</v>
      </c>
      <c r="BI38" s="619" t="s">
        <v>187</v>
      </c>
    </row>
    <row r="39" spans="1:61" ht="66.75" customHeight="1" x14ac:dyDescent="0.25">
      <c r="A39" s="72" t="s">
        <v>194</v>
      </c>
      <c r="B39" s="40" t="s">
        <v>195</v>
      </c>
      <c r="C39" s="40" t="s">
        <v>1776</v>
      </c>
      <c r="D39" s="40">
        <v>1</v>
      </c>
      <c r="E39" s="74">
        <v>1</v>
      </c>
      <c r="F39" s="74">
        <v>1</v>
      </c>
      <c r="G39" s="747">
        <v>1</v>
      </c>
      <c r="H39" s="74">
        <v>1</v>
      </c>
      <c r="I39" s="42">
        <v>4</v>
      </c>
      <c r="J39" s="42">
        <v>4</v>
      </c>
      <c r="K39" s="84">
        <v>0</v>
      </c>
      <c r="L39" s="42"/>
      <c r="M39" s="593"/>
      <c r="N39" s="593"/>
      <c r="O39" s="575">
        <f t="shared" si="44"/>
        <v>1</v>
      </c>
      <c r="P39" s="575">
        <f t="shared" si="44"/>
        <v>1</v>
      </c>
      <c r="Q39" s="575">
        <f t="shared" si="44"/>
        <v>1</v>
      </c>
      <c r="R39" s="44">
        <f t="shared" si="28"/>
        <v>0</v>
      </c>
      <c r="S39" s="770" t="s">
        <v>1629</v>
      </c>
      <c r="T39" s="234"/>
      <c r="U39" s="40" t="s">
        <v>1796</v>
      </c>
      <c r="V39" s="544"/>
      <c r="W39" s="283" t="s">
        <v>1758</v>
      </c>
      <c r="X39" s="945" t="s">
        <v>1735</v>
      </c>
      <c r="Y39" s="47">
        <f t="shared" si="66"/>
        <v>4</v>
      </c>
      <c r="Z39" s="47">
        <f t="shared" si="67"/>
        <v>9</v>
      </c>
      <c r="AA39" s="44">
        <f t="shared" si="68"/>
        <v>1</v>
      </c>
      <c r="AB39" s="48">
        <v>0.18</v>
      </c>
      <c r="AC39" s="48">
        <v>0.3</v>
      </c>
      <c r="AD39" s="48">
        <v>0.18</v>
      </c>
      <c r="AE39" s="43">
        <v>0.19</v>
      </c>
      <c r="AF39" s="43">
        <v>0.23</v>
      </c>
      <c r="AG39" s="49">
        <v>0</v>
      </c>
      <c r="AH39" s="50"/>
      <c r="AI39" s="50"/>
      <c r="AJ39" s="240">
        <v>68935057.590599999</v>
      </c>
      <c r="AK39" s="240"/>
      <c r="AL39" s="932" t="e">
        <f t="shared" si="11"/>
        <v>#DIV/0!</v>
      </c>
      <c r="AM39" s="50"/>
      <c r="AN39" s="723"/>
      <c r="AO39" s="240">
        <v>31187940.088500001</v>
      </c>
      <c r="AP39" s="240"/>
      <c r="AQ39" s="1158" t="e">
        <f t="shared" si="16"/>
        <v>#DIV/0!</v>
      </c>
      <c r="AR39" s="51">
        <f t="shared" si="17"/>
        <v>0</v>
      </c>
      <c r="AS39" s="51"/>
      <c r="AT39" s="51"/>
      <c r="AU39" s="51"/>
      <c r="AV39" s="51"/>
      <c r="AW39" s="51">
        <f t="shared" ref="AW39:AW70" si="69">+AJ39-AO39</f>
        <v>37747117.502099998</v>
      </c>
      <c r="AX39" s="51"/>
      <c r="AY39" s="43">
        <f t="shared" si="19"/>
        <v>0</v>
      </c>
      <c r="AZ39" s="49">
        <f>130000000+AG39+100000000</f>
        <v>230000000</v>
      </c>
      <c r="BA39" s="45">
        <f t="shared" si="40"/>
        <v>68935057.590599999</v>
      </c>
      <c r="BB39" s="52">
        <f t="shared" si="41"/>
        <v>0.29971764169826087</v>
      </c>
      <c r="BC39" s="1170">
        <f t="shared" si="42"/>
        <v>31187940.088500001</v>
      </c>
      <c r="BD39" s="52">
        <f t="shared" si="43"/>
        <v>0.13559973951521739</v>
      </c>
      <c r="BE39" s="50"/>
      <c r="BF39" s="50" t="s">
        <v>66</v>
      </c>
      <c r="BG39" s="45"/>
      <c r="BH39" s="57"/>
      <c r="BI39" s="1222" t="s">
        <v>190</v>
      </c>
    </row>
    <row r="40" spans="1:61" ht="40.5" customHeight="1" x14ac:dyDescent="0.25">
      <c r="A40" s="39" t="s">
        <v>196</v>
      </c>
      <c r="B40" s="40" t="s">
        <v>197</v>
      </c>
      <c r="C40" s="40" t="s">
        <v>1778</v>
      </c>
      <c r="D40" s="48">
        <v>1</v>
      </c>
      <c r="E40" s="48">
        <v>1</v>
      </c>
      <c r="F40" s="48">
        <v>1</v>
      </c>
      <c r="G40" s="696">
        <v>1</v>
      </c>
      <c r="H40" s="48">
        <v>1</v>
      </c>
      <c r="I40" s="48">
        <v>1</v>
      </c>
      <c r="J40" s="48">
        <v>1</v>
      </c>
      <c r="K40" s="48">
        <v>0.7</v>
      </c>
      <c r="L40" s="42"/>
      <c r="M40" s="593"/>
      <c r="N40" s="593"/>
      <c r="O40" s="575">
        <f t="shared" si="44"/>
        <v>1</v>
      </c>
      <c r="P40" s="575">
        <f t="shared" si="44"/>
        <v>1</v>
      </c>
      <c r="Q40" s="575">
        <f t="shared" si="44"/>
        <v>1</v>
      </c>
      <c r="R40" s="44">
        <f t="shared" si="28"/>
        <v>0.7</v>
      </c>
      <c r="S40" s="54" t="s">
        <v>1632</v>
      </c>
      <c r="T40" s="234"/>
      <c r="U40" s="40" t="s">
        <v>1796</v>
      </c>
      <c r="V40" s="544"/>
      <c r="W40" s="283" t="s">
        <v>1758</v>
      </c>
      <c r="X40" s="945" t="s">
        <v>1735</v>
      </c>
      <c r="Y40" s="698">
        <f t="shared" si="66"/>
        <v>4</v>
      </c>
      <c r="Z40" s="698">
        <f t="shared" si="67"/>
        <v>3.7</v>
      </c>
      <c r="AA40" s="44">
        <f t="shared" si="68"/>
        <v>0.92500000000000004</v>
      </c>
      <c r="AB40" s="48">
        <v>0.27</v>
      </c>
      <c r="AC40" s="48">
        <v>0.3</v>
      </c>
      <c r="AD40" s="48">
        <v>0.27</v>
      </c>
      <c r="AE40" s="43">
        <v>0.28000000000000003</v>
      </c>
      <c r="AF40" s="43">
        <v>0.32</v>
      </c>
      <c r="AG40" s="49">
        <v>100000000</v>
      </c>
      <c r="AH40" s="50"/>
      <c r="AI40" s="50"/>
      <c r="AJ40" s="240">
        <v>114447276.38444</v>
      </c>
      <c r="AK40" s="240">
        <v>72378548.666666657</v>
      </c>
      <c r="AL40" s="932">
        <f t="shared" si="11"/>
        <v>0.72378548666666653</v>
      </c>
      <c r="AM40" s="50"/>
      <c r="AN40" s="723"/>
      <c r="AO40" s="240">
        <v>51778803.469900005</v>
      </c>
      <c r="AP40" s="240">
        <v>20752371</v>
      </c>
      <c r="AQ40" s="1158">
        <f t="shared" si="16"/>
        <v>0.20752371</v>
      </c>
      <c r="AR40" s="51">
        <f t="shared" si="17"/>
        <v>51626177.666666657</v>
      </c>
      <c r="AS40" s="51"/>
      <c r="AT40" s="51"/>
      <c r="AU40" s="51"/>
      <c r="AV40" s="51"/>
      <c r="AW40" s="51">
        <f t="shared" si="69"/>
        <v>62668472.91454</v>
      </c>
      <c r="AX40" s="51"/>
      <c r="AY40" s="43">
        <f t="shared" si="19"/>
        <v>0</v>
      </c>
      <c r="AZ40" s="49">
        <f>147000000+AG40</f>
        <v>247000000</v>
      </c>
      <c r="BA40" s="45">
        <f t="shared" si="40"/>
        <v>186825825.05110666</v>
      </c>
      <c r="BB40" s="52">
        <f t="shared" si="41"/>
        <v>0.75637985850650469</v>
      </c>
      <c r="BC40" s="1170">
        <f t="shared" si="42"/>
        <v>72531174.469900012</v>
      </c>
      <c r="BD40" s="52">
        <f t="shared" si="43"/>
        <v>0.29364847963522273</v>
      </c>
      <c r="BE40" s="50"/>
      <c r="BF40" s="50" t="s">
        <v>66</v>
      </c>
      <c r="BG40" s="45"/>
      <c r="BH40" s="53" t="s">
        <v>175</v>
      </c>
      <c r="BI40" s="1224"/>
    </row>
    <row r="41" spans="1:61" ht="54.75" customHeight="1" x14ac:dyDescent="0.25">
      <c r="A41" s="58" t="s">
        <v>198</v>
      </c>
      <c r="B41" s="59"/>
      <c r="C41" s="59"/>
      <c r="D41" s="59"/>
      <c r="E41" s="60"/>
      <c r="F41" s="60"/>
      <c r="G41" s="744"/>
      <c r="H41" s="60"/>
      <c r="I41" s="60"/>
      <c r="J41" s="60"/>
      <c r="K41" s="60"/>
      <c r="L41" s="60"/>
      <c r="M41" s="60"/>
      <c r="N41" s="60"/>
      <c r="O41" s="685">
        <f>+SUMPRODUCT(O42:O50,AC42:AC50)</f>
        <v>1</v>
      </c>
      <c r="P41" s="685">
        <f>+SUMPRODUCT(P42:P50,AD42:AD50)</f>
        <v>0.82500000000000007</v>
      </c>
      <c r="Q41" s="685">
        <f>+SUMPRODUCT(Q42:Q50,AE42:AE50)</f>
        <v>1</v>
      </c>
      <c r="R41" s="685">
        <f>+SUMPRODUCT(R42:R50,AF42:AF50)</f>
        <v>0.86249999999999993</v>
      </c>
      <c r="S41" s="65"/>
      <c r="T41" s="58"/>
      <c r="U41" s="75"/>
      <c r="V41" s="75"/>
      <c r="W41" s="75"/>
      <c r="X41" s="75"/>
      <c r="Y41" s="62"/>
      <c r="Z41" s="62"/>
      <c r="AA41" s="61">
        <f>+SUMPRODUCT(AA42:AA50,AB42:AB50)</f>
        <v>0.91364583333333338</v>
      </c>
      <c r="AB41" s="61">
        <v>0.2</v>
      </c>
      <c r="AC41" s="61">
        <v>0.2</v>
      </c>
      <c r="AD41" s="61">
        <v>0.2</v>
      </c>
      <c r="AE41" s="61">
        <v>0.2</v>
      </c>
      <c r="AF41" s="61">
        <v>0.2</v>
      </c>
      <c r="AG41" s="59">
        <f>SUM(AG42:AG50)</f>
        <v>2200400677</v>
      </c>
      <c r="AH41" s="59">
        <v>1958460418</v>
      </c>
      <c r="AI41" s="59">
        <v>3293912195</v>
      </c>
      <c r="AJ41" s="59">
        <f t="shared" ref="AJ41:AK41" si="70">SUM(AJ42:AJ50)</f>
        <v>2703373304</v>
      </c>
      <c r="AK41" s="59">
        <f t="shared" si="70"/>
        <v>2149926187</v>
      </c>
      <c r="AL41" s="1137">
        <f t="shared" si="11"/>
        <v>0.97706122774475046</v>
      </c>
      <c r="AM41" s="734">
        <v>1958460418</v>
      </c>
      <c r="AN41" s="724">
        <v>2793967479.1999998</v>
      </c>
      <c r="AO41" s="241">
        <f t="shared" ref="AO41" si="71">SUM(AO42:AO50)</f>
        <v>46415591</v>
      </c>
      <c r="AP41" s="241">
        <f t="shared" ref="AP41" si="72">SUM(AP42:AP50)</f>
        <v>14809000</v>
      </c>
      <c r="AQ41" s="1156">
        <f t="shared" si="16"/>
        <v>6.7301379038795855E-3</v>
      </c>
      <c r="AR41" s="63">
        <f t="shared" si="17"/>
        <v>2135117187</v>
      </c>
      <c r="AS41" s="63">
        <v>1272442749</v>
      </c>
      <c r="AT41" s="63">
        <v>400000000</v>
      </c>
      <c r="AU41" s="530">
        <f>+AI41-AN41</f>
        <v>499944715.80000019</v>
      </c>
      <c r="AV41" s="679">
        <v>0</v>
      </c>
      <c r="AW41" s="63">
        <f t="shared" si="69"/>
        <v>2656957713</v>
      </c>
      <c r="AX41" s="63">
        <f t="shared" ref="AX41" si="73">SUM(AX42:AX50)</f>
        <v>0</v>
      </c>
      <c r="AY41" s="61">
        <f t="shared" si="19"/>
        <v>0</v>
      </c>
      <c r="AZ41" s="59">
        <f>SUM(AZ42:AZ50)-3000000000</f>
        <v>10219703971</v>
      </c>
      <c r="BA41" s="59">
        <f t="shared" si="40"/>
        <v>10105672104</v>
      </c>
      <c r="BB41" s="61">
        <f t="shared" si="41"/>
        <v>0.98884195987245982</v>
      </c>
      <c r="BC41" s="1171">
        <f t="shared" si="42"/>
        <v>5213652488.1999998</v>
      </c>
      <c r="BD41" s="61">
        <f t="shared" si="43"/>
        <v>0.51015689916210394</v>
      </c>
      <c r="BE41" s="59"/>
      <c r="BF41" s="59" t="s">
        <v>66</v>
      </c>
      <c r="BG41" s="59"/>
      <c r="BH41" s="59"/>
      <c r="BI41" s="617"/>
    </row>
    <row r="42" spans="1:61" ht="40.5" customHeight="1" x14ac:dyDescent="0.25">
      <c r="A42" s="72" t="s">
        <v>199</v>
      </c>
      <c r="B42" s="40" t="s">
        <v>200</v>
      </c>
      <c r="C42" s="40" t="s">
        <v>1776</v>
      </c>
      <c r="D42" s="40">
        <v>1</v>
      </c>
      <c r="E42" s="76">
        <v>0</v>
      </c>
      <c r="F42" s="66">
        <v>0</v>
      </c>
      <c r="G42" s="743">
        <v>0</v>
      </c>
      <c r="H42" s="66">
        <v>1</v>
      </c>
      <c r="I42" s="42" t="s">
        <v>163</v>
      </c>
      <c r="J42" s="42" t="s">
        <v>163</v>
      </c>
      <c r="K42" s="42" t="s">
        <v>163</v>
      </c>
      <c r="L42" s="42"/>
      <c r="M42" s="593"/>
      <c r="N42" s="593"/>
      <c r="O42" s="575">
        <f t="shared" si="44"/>
        <v>1</v>
      </c>
      <c r="P42" s="575">
        <f t="shared" si="44"/>
        <v>0</v>
      </c>
      <c r="Q42" s="575">
        <f t="shared" si="44"/>
        <v>0</v>
      </c>
      <c r="R42" s="44">
        <f t="shared" si="28"/>
        <v>0</v>
      </c>
      <c r="S42" s="293"/>
      <c r="T42" s="103"/>
      <c r="U42" s="46"/>
      <c r="V42" s="40"/>
      <c r="W42" s="45"/>
      <c r="X42" s="45"/>
      <c r="Y42" s="47">
        <f t="shared" ref="Y42:Y50" si="74">SUM(D42:G42)</f>
        <v>1</v>
      </c>
      <c r="Z42" s="47">
        <f t="shared" ref="Z42:Z50" si="75">SUM(H42:N42)</f>
        <v>1</v>
      </c>
      <c r="AA42" s="44">
        <f t="shared" ref="AA42:AA50" si="76">IF(Z42/Y42&gt;=100%,100%,Z42/Y42)</f>
        <v>1</v>
      </c>
      <c r="AB42" s="48">
        <v>0.03</v>
      </c>
      <c r="AC42" s="48">
        <v>0.1</v>
      </c>
      <c r="AD42" s="48">
        <v>0</v>
      </c>
      <c r="AE42" s="43">
        <v>0</v>
      </c>
      <c r="AF42" s="43">
        <v>0</v>
      </c>
      <c r="AG42" s="70">
        <v>0</v>
      </c>
      <c r="AH42" s="50"/>
      <c r="AI42" s="50"/>
      <c r="AJ42" s="240"/>
      <c r="AK42" s="240"/>
      <c r="AL42" s="932" t="e">
        <f t="shared" si="11"/>
        <v>#DIV/0!</v>
      </c>
      <c r="AM42" s="50"/>
      <c r="AN42" s="723"/>
      <c r="AO42" s="240"/>
      <c r="AP42" s="240"/>
      <c r="AQ42" s="1155" t="e">
        <f t="shared" si="16"/>
        <v>#DIV/0!</v>
      </c>
      <c r="AR42" s="51">
        <f t="shared" si="17"/>
        <v>0</v>
      </c>
      <c r="AS42" s="51"/>
      <c r="AT42" s="51"/>
      <c r="AU42" s="51"/>
      <c r="AV42" s="51"/>
      <c r="AW42" s="51">
        <f t="shared" si="69"/>
        <v>0</v>
      </c>
      <c r="AX42" s="51"/>
      <c r="AY42" s="43" t="e">
        <f t="shared" si="19"/>
        <v>#DIV/0!</v>
      </c>
      <c r="AZ42" s="70">
        <f>100000000+AG42+119303293.5</f>
        <v>219303293.5</v>
      </c>
      <c r="BA42" s="45">
        <f t="shared" si="40"/>
        <v>0</v>
      </c>
      <c r="BB42" s="52">
        <f t="shared" si="41"/>
        <v>0</v>
      </c>
      <c r="BC42" s="1170">
        <f t="shared" si="42"/>
        <v>0</v>
      </c>
      <c r="BD42" s="52">
        <f t="shared" si="43"/>
        <v>0</v>
      </c>
      <c r="BE42" s="50"/>
      <c r="BF42" s="50"/>
      <c r="BG42" s="45"/>
      <c r="BH42" s="53" t="s">
        <v>175</v>
      </c>
      <c r="BI42" s="1222" t="s">
        <v>201</v>
      </c>
    </row>
    <row r="43" spans="1:61" ht="93" customHeight="1" x14ac:dyDescent="0.25">
      <c r="A43" s="72" t="s">
        <v>202</v>
      </c>
      <c r="B43" s="40" t="s">
        <v>203</v>
      </c>
      <c r="C43" s="40" t="s">
        <v>1776</v>
      </c>
      <c r="D43" s="40">
        <v>1</v>
      </c>
      <c r="E43" s="66">
        <v>1</v>
      </c>
      <c r="F43" s="66">
        <v>1</v>
      </c>
      <c r="G43" s="743">
        <v>1</v>
      </c>
      <c r="H43" s="66">
        <v>1</v>
      </c>
      <c r="I43" s="42">
        <v>1</v>
      </c>
      <c r="J43" s="56">
        <v>1</v>
      </c>
      <c r="K43" s="56">
        <v>1</v>
      </c>
      <c r="L43" s="42"/>
      <c r="M43" s="593"/>
      <c r="N43" s="593"/>
      <c r="O43" s="575">
        <f t="shared" si="44"/>
        <v>1</v>
      </c>
      <c r="P43" s="575">
        <f t="shared" si="44"/>
        <v>1</v>
      </c>
      <c r="Q43" s="575">
        <f t="shared" si="44"/>
        <v>1</v>
      </c>
      <c r="R43" s="43">
        <f t="shared" si="28"/>
        <v>1</v>
      </c>
      <c r="S43" s="1111" t="s">
        <v>1658</v>
      </c>
      <c r="T43" s="234"/>
      <c r="U43" s="40" t="s">
        <v>1796</v>
      </c>
      <c r="V43" s="40"/>
      <c r="W43" s="283" t="s">
        <v>1758</v>
      </c>
      <c r="X43" s="945" t="s">
        <v>1736</v>
      </c>
      <c r="Y43" s="47">
        <f t="shared" si="74"/>
        <v>4</v>
      </c>
      <c r="Z43" s="47">
        <f t="shared" si="75"/>
        <v>4</v>
      </c>
      <c r="AA43" s="44">
        <f t="shared" si="76"/>
        <v>1</v>
      </c>
      <c r="AB43" s="48">
        <v>0.12</v>
      </c>
      <c r="AC43" s="48">
        <v>0.2</v>
      </c>
      <c r="AD43" s="48">
        <v>0.13</v>
      </c>
      <c r="AE43" s="48">
        <v>0.13</v>
      </c>
      <c r="AF43" s="48">
        <v>0.13</v>
      </c>
      <c r="AG43" s="49">
        <v>300000000</v>
      </c>
      <c r="AH43" s="50"/>
      <c r="AI43" s="50"/>
      <c r="AJ43" s="240">
        <v>786435870.25454545</v>
      </c>
      <c r="AK43" s="240">
        <v>293118368.32342511</v>
      </c>
      <c r="AL43" s="932">
        <f t="shared" si="11"/>
        <v>0.97706122774475035</v>
      </c>
      <c r="AM43" s="50"/>
      <c r="AN43" s="723"/>
      <c r="AO43" s="240">
        <v>13460521.389999999</v>
      </c>
      <c r="AP43" s="240">
        <v>2019041.3711638756</v>
      </c>
      <c r="AQ43" s="1155">
        <f t="shared" si="16"/>
        <v>6.7301379038795855E-3</v>
      </c>
      <c r="AR43" s="51">
        <f t="shared" si="17"/>
        <v>291099326.95226121</v>
      </c>
      <c r="AS43" s="51"/>
      <c r="AT43" s="51"/>
      <c r="AU43" s="51"/>
      <c r="AV43" s="51"/>
      <c r="AW43" s="51">
        <f t="shared" si="69"/>
        <v>772975348.86454546</v>
      </c>
      <c r="AX43" s="51"/>
      <c r="AY43" s="43">
        <f t="shared" si="19"/>
        <v>0</v>
      </c>
      <c r="AZ43" s="49">
        <f>1750000000.5+AG43+100000000</f>
        <v>2150000000.5</v>
      </c>
      <c r="BA43" s="45">
        <f t="shared" si="40"/>
        <v>1079554238.5779705</v>
      </c>
      <c r="BB43" s="52">
        <f t="shared" si="41"/>
        <v>0.50211825038461</v>
      </c>
      <c r="BC43" s="1170">
        <f t="shared" si="42"/>
        <v>15479562.761163874</v>
      </c>
      <c r="BD43" s="52">
        <f t="shared" si="43"/>
        <v>7.1997966314251045E-3</v>
      </c>
      <c r="BE43" s="50"/>
      <c r="BF43" s="50" t="s">
        <v>66</v>
      </c>
      <c r="BG43" s="45"/>
      <c r="BH43" s="57"/>
      <c r="BI43" s="1223"/>
    </row>
    <row r="44" spans="1:61" ht="74.25" customHeight="1" x14ac:dyDescent="0.25">
      <c r="A44" s="77" t="s">
        <v>204</v>
      </c>
      <c r="B44" s="40" t="s">
        <v>205</v>
      </c>
      <c r="C44" s="40" t="s">
        <v>1776</v>
      </c>
      <c r="D44" s="40">
        <v>0</v>
      </c>
      <c r="E44" s="66">
        <v>1</v>
      </c>
      <c r="F44" s="66">
        <v>1</v>
      </c>
      <c r="G44" s="743">
        <v>1</v>
      </c>
      <c r="H44" s="604" t="s">
        <v>163</v>
      </c>
      <c r="I44" s="291">
        <v>0</v>
      </c>
      <c r="J44" s="56">
        <v>1</v>
      </c>
      <c r="K44" s="56">
        <v>1</v>
      </c>
      <c r="L44" s="291"/>
      <c r="M44" s="593"/>
      <c r="N44" s="593"/>
      <c r="O44" s="604">
        <f t="shared" si="44"/>
        <v>0</v>
      </c>
      <c r="P44" s="604">
        <f t="shared" si="44"/>
        <v>0</v>
      </c>
      <c r="Q44" s="604">
        <f t="shared" si="44"/>
        <v>1</v>
      </c>
      <c r="R44" s="43">
        <f t="shared" si="28"/>
        <v>1</v>
      </c>
      <c r="S44" s="54" t="s">
        <v>1659</v>
      </c>
      <c r="T44" s="234"/>
      <c r="U44" s="40" t="s">
        <v>1796</v>
      </c>
      <c r="V44" s="40"/>
      <c r="W44" s="283" t="s">
        <v>1758</v>
      </c>
      <c r="X44" s="945" t="s">
        <v>1736</v>
      </c>
      <c r="Y44" s="47">
        <f t="shared" si="74"/>
        <v>3</v>
      </c>
      <c r="Z44" s="47">
        <f t="shared" si="75"/>
        <v>2</v>
      </c>
      <c r="AA44" s="44">
        <f t="shared" si="76"/>
        <v>0.66666666666666663</v>
      </c>
      <c r="AB44" s="48">
        <v>0.04</v>
      </c>
      <c r="AC44" s="48">
        <v>0</v>
      </c>
      <c r="AD44" s="48">
        <v>0.05</v>
      </c>
      <c r="AE44" s="43">
        <v>0.05</v>
      </c>
      <c r="AF44" s="48">
        <v>0.05</v>
      </c>
      <c r="AG44" s="49">
        <v>30000000</v>
      </c>
      <c r="AH44" s="50"/>
      <c r="AI44" s="50"/>
      <c r="AJ44" s="240">
        <v>29491345.134545457</v>
      </c>
      <c r="AK44" s="240">
        <v>29311836.832342513</v>
      </c>
      <c r="AL44" s="932">
        <f t="shared" si="11"/>
        <v>0.97706122774475046</v>
      </c>
      <c r="AM44" s="50"/>
      <c r="AN44" s="723"/>
      <c r="AO44" s="240">
        <v>506351.90181818185</v>
      </c>
      <c r="AP44" s="240">
        <v>201904.13711638754</v>
      </c>
      <c r="AQ44" s="1155">
        <f t="shared" si="16"/>
        <v>6.7301379038795846E-3</v>
      </c>
      <c r="AR44" s="51">
        <f t="shared" si="17"/>
        <v>29109932.695226125</v>
      </c>
      <c r="AS44" s="51"/>
      <c r="AT44" s="51"/>
      <c r="AU44" s="51"/>
      <c r="AV44" s="51"/>
      <c r="AW44" s="51">
        <f t="shared" si="69"/>
        <v>28984993.232727274</v>
      </c>
      <c r="AX44" s="51"/>
      <c r="AY44" s="43">
        <f t="shared" si="19"/>
        <v>0</v>
      </c>
      <c r="AZ44" s="49">
        <f>550000000+AG44+100000000</f>
        <v>680000000</v>
      </c>
      <c r="BA44" s="45">
        <f t="shared" si="40"/>
        <v>58803181.966887966</v>
      </c>
      <c r="BB44" s="52">
        <f t="shared" si="41"/>
        <v>8.6475267598364658E-2</v>
      </c>
      <c r="BC44" s="1170">
        <f t="shared" si="42"/>
        <v>708256.03893456934</v>
      </c>
      <c r="BD44" s="52">
        <f t="shared" si="43"/>
        <v>1.0415529984331901E-3</v>
      </c>
      <c r="BE44" s="50"/>
      <c r="BF44" s="50" t="s">
        <v>66</v>
      </c>
      <c r="BG44" s="45"/>
      <c r="BH44" s="57"/>
      <c r="BI44" s="1223"/>
    </row>
    <row r="45" spans="1:61" ht="234.75" customHeight="1" x14ac:dyDescent="0.25">
      <c r="A45" s="72" t="s">
        <v>206</v>
      </c>
      <c r="B45" s="40" t="s">
        <v>207</v>
      </c>
      <c r="C45" s="40" t="s">
        <v>1778</v>
      </c>
      <c r="D45" s="575">
        <v>0.25</v>
      </c>
      <c r="E45" s="48">
        <v>0.75</v>
      </c>
      <c r="F45" s="48">
        <v>1</v>
      </c>
      <c r="G45" s="696">
        <v>1</v>
      </c>
      <c r="H45" s="48">
        <v>0.25</v>
      </c>
      <c r="I45" s="43">
        <v>0.75</v>
      </c>
      <c r="J45" s="576">
        <v>1</v>
      </c>
      <c r="K45" s="576">
        <v>1</v>
      </c>
      <c r="L45" s="42"/>
      <c r="M45" s="593"/>
      <c r="N45" s="593"/>
      <c r="O45" s="575">
        <f t="shared" si="44"/>
        <v>1</v>
      </c>
      <c r="P45" s="575">
        <f t="shared" si="44"/>
        <v>1</v>
      </c>
      <c r="Q45" s="575">
        <f t="shared" si="44"/>
        <v>1</v>
      </c>
      <c r="R45" s="43">
        <f t="shared" si="28"/>
        <v>1</v>
      </c>
      <c r="S45" s="54" t="s">
        <v>1633</v>
      </c>
      <c r="T45" s="234"/>
      <c r="U45" s="40" t="s">
        <v>1796</v>
      </c>
      <c r="V45" s="40"/>
      <c r="W45" s="283" t="s">
        <v>1758</v>
      </c>
      <c r="X45" s="945" t="s">
        <v>1736</v>
      </c>
      <c r="Y45" s="43">
        <f t="shared" si="74"/>
        <v>3</v>
      </c>
      <c r="Z45" s="698">
        <f t="shared" si="75"/>
        <v>3</v>
      </c>
      <c r="AA45" s="44">
        <f t="shared" si="76"/>
        <v>1</v>
      </c>
      <c r="AB45" s="48">
        <v>0.5</v>
      </c>
      <c r="AC45" s="48">
        <v>0.5</v>
      </c>
      <c r="AD45" s="48">
        <v>0.5</v>
      </c>
      <c r="AE45" s="43">
        <v>0.51</v>
      </c>
      <c r="AF45" s="48">
        <v>0.51</v>
      </c>
      <c r="AG45" s="49">
        <v>1000000000</v>
      </c>
      <c r="AH45" s="50"/>
      <c r="AI45" s="50"/>
      <c r="AJ45" s="240">
        <v>983044837.81818187</v>
      </c>
      <c r="AK45" s="240">
        <v>977061227.74475038</v>
      </c>
      <c r="AL45" s="932">
        <f t="shared" si="11"/>
        <v>0.97706122774475035</v>
      </c>
      <c r="AM45" s="50"/>
      <c r="AN45" s="723"/>
      <c r="AO45" s="240">
        <v>16709612.76</v>
      </c>
      <c r="AP45" s="240">
        <v>6730137.9038795847</v>
      </c>
      <c r="AQ45" s="1155">
        <f t="shared" si="16"/>
        <v>6.7301379038795846E-3</v>
      </c>
      <c r="AR45" s="51">
        <f t="shared" si="17"/>
        <v>970331089.84087074</v>
      </c>
      <c r="AS45" s="51"/>
      <c r="AT45" s="51"/>
      <c r="AU45" s="51"/>
      <c r="AV45" s="51"/>
      <c r="AW45" s="51">
        <f t="shared" si="69"/>
        <v>966335225.05818188</v>
      </c>
      <c r="AX45" s="51"/>
      <c r="AY45" s="43">
        <f t="shared" si="19"/>
        <v>0</v>
      </c>
      <c r="AZ45" s="49">
        <f>3693000000+AG45+100000000</f>
        <v>4793000000</v>
      </c>
      <c r="BA45" s="45">
        <f t="shared" si="40"/>
        <v>1960106065.5629323</v>
      </c>
      <c r="BB45" s="52">
        <f t="shared" si="41"/>
        <v>0.40895181839410227</v>
      </c>
      <c r="BC45" s="1170">
        <f t="shared" si="42"/>
        <v>23439750.663879585</v>
      </c>
      <c r="BD45" s="52">
        <f t="shared" si="43"/>
        <v>4.8904132409513012E-3</v>
      </c>
      <c r="BE45" s="50"/>
      <c r="BF45" s="50" t="s">
        <v>66</v>
      </c>
      <c r="BG45" s="45" t="s">
        <v>100</v>
      </c>
      <c r="BH45" s="53" t="s">
        <v>175</v>
      </c>
      <c r="BI45" s="1223"/>
    </row>
    <row r="46" spans="1:61" ht="70.5" customHeight="1" x14ac:dyDescent="0.25">
      <c r="A46" s="72" t="s">
        <v>209</v>
      </c>
      <c r="B46" s="40" t="s">
        <v>210</v>
      </c>
      <c r="C46" s="40" t="s">
        <v>1778</v>
      </c>
      <c r="D46" s="40">
        <v>0</v>
      </c>
      <c r="E46" s="48">
        <v>0.1</v>
      </c>
      <c r="F46" s="48">
        <v>0.5</v>
      </c>
      <c r="G46" s="696">
        <v>1</v>
      </c>
      <c r="H46" s="48">
        <v>0</v>
      </c>
      <c r="I46" s="575">
        <v>0</v>
      </c>
      <c r="J46" s="576">
        <v>0.5</v>
      </c>
      <c r="K46" s="576">
        <v>0.5</v>
      </c>
      <c r="L46" s="575"/>
      <c r="M46" s="698"/>
      <c r="N46" s="698"/>
      <c r="O46" s="604">
        <f t="shared" si="44"/>
        <v>0</v>
      </c>
      <c r="P46" s="604">
        <f t="shared" si="44"/>
        <v>0</v>
      </c>
      <c r="Q46" s="604">
        <f t="shared" si="44"/>
        <v>1</v>
      </c>
      <c r="R46" s="43">
        <f t="shared" si="28"/>
        <v>0.5</v>
      </c>
      <c r="S46" s="1112" t="s">
        <v>1671</v>
      </c>
      <c r="T46" s="234"/>
      <c r="U46" s="40" t="s">
        <v>1796</v>
      </c>
      <c r="V46" s="544"/>
      <c r="W46" s="283" t="s">
        <v>1758</v>
      </c>
      <c r="X46" s="945" t="s">
        <v>1736</v>
      </c>
      <c r="Y46" s="43">
        <f t="shared" si="74"/>
        <v>1.6</v>
      </c>
      <c r="Z46" s="698">
        <f t="shared" si="75"/>
        <v>1</v>
      </c>
      <c r="AA46" s="44">
        <f t="shared" si="76"/>
        <v>0.625</v>
      </c>
      <c r="AB46" s="48">
        <v>0.1</v>
      </c>
      <c r="AC46" s="48">
        <v>0</v>
      </c>
      <c r="AD46" s="48">
        <v>0.1</v>
      </c>
      <c r="AE46" s="48">
        <v>0.1</v>
      </c>
      <c r="AF46" s="48">
        <v>0.1</v>
      </c>
      <c r="AG46" s="49">
        <v>50000000</v>
      </c>
      <c r="AH46" s="50"/>
      <c r="AI46" s="50"/>
      <c r="AJ46" s="240">
        <v>98304483.781818181</v>
      </c>
      <c r="AK46" s="240">
        <v>48853061.387237519</v>
      </c>
      <c r="AL46" s="932">
        <f t="shared" si="11"/>
        <v>0.97706122774475035</v>
      </c>
      <c r="AM46" s="50"/>
      <c r="AN46" s="723"/>
      <c r="AO46" s="240">
        <v>1687839.6727272726</v>
      </c>
      <c r="AP46" s="240">
        <v>336506.89519397926</v>
      </c>
      <c r="AQ46" s="1155">
        <f t="shared" si="16"/>
        <v>6.7301379038795855E-3</v>
      </c>
      <c r="AR46" s="51">
        <f t="shared" si="17"/>
        <v>48516554.49204354</v>
      </c>
      <c r="AS46" s="51"/>
      <c r="AT46" s="51"/>
      <c r="AU46" s="51"/>
      <c r="AV46" s="51"/>
      <c r="AW46" s="51">
        <f t="shared" si="69"/>
        <v>96616644.109090909</v>
      </c>
      <c r="AX46" s="51"/>
      <c r="AY46" s="43">
        <f t="shared" si="19"/>
        <v>0</v>
      </c>
      <c r="AZ46" s="49">
        <f>550000000+AG46+100000000</f>
        <v>700000000</v>
      </c>
      <c r="BA46" s="45">
        <f t="shared" si="40"/>
        <v>147157545.1690557</v>
      </c>
      <c r="BB46" s="52">
        <f t="shared" si="41"/>
        <v>0.21022506452722242</v>
      </c>
      <c r="BC46" s="1170">
        <f t="shared" si="42"/>
        <v>2024346.567921252</v>
      </c>
      <c r="BD46" s="52">
        <f t="shared" si="43"/>
        <v>2.8919236684589312E-3</v>
      </c>
      <c r="BE46" s="50"/>
      <c r="BF46" s="50" t="s">
        <v>66</v>
      </c>
      <c r="BG46" s="45" t="s">
        <v>100</v>
      </c>
      <c r="BH46" s="53" t="s">
        <v>175</v>
      </c>
      <c r="BI46" s="1223"/>
    </row>
    <row r="47" spans="1:61" ht="27.75" customHeight="1" x14ac:dyDescent="0.25">
      <c r="A47" s="77" t="s">
        <v>211</v>
      </c>
      <c r="B47" s="40" t="s">
        <v>212</v>
      </c>
      <c r="C47" s="40" t="s">
        <v>1776</v>
      </c>
      <c r="D47" s="40">
        <v>0</v>
      </c>
      <c r="E47" s="66">
        <v>1</v>
      </c>
      <c r="F47" s="66">
        <v>1</v>
      </c>
      <c r="G47" s="743">
        <v>1</v>
      </c>
      <c r="H47" s="66">
        <v>0</v>
      </c>
      <c r="I47" s="42">
        <v>0</v>
      </c>
      <c r="J47" s="56">
        <v>1</v>
      </c>
      <c r="K47" s="42">
        <v>1</v>
      </c>
      <c r="L47" s="42"/>
      <c r="M47" s="42"/>
      <c r="N47" s="42"/>
      <c r="O47" s="604">
        <f t="shared" si="44"/>
        <v>0</v>
      </c>
      <c r="P47" s="604">
        <f t="shared" si="44"/>
        <v>0</v>
      </c>
      <c r="Q47" s="604">
        <f t="shared" si="44"/>
        <v>1</v>
      </c>
      <c r="R47" s="43">
        <f t="shared" si="28"/>
        <v>1</v>
      </c>
      <c r="S47" s="770" t="s">
        <v>1686</v>
      </c>
      <c r="T47" s="234"/>
      <c r="U47" s="40" t="s">
        <v>1796</v>
      </c>
      <c r="V47" s="40"/>
      <c r="W47" s="283" t="s">
        <v>1758</v>
      </c>
      <c r="X47" s="945" t="s">
        <v>1736</v>
      </c>
      <c r="Y47" s="47">
        <f t="shared" si="74"/>
        <v>3</v>
      </c>
      <c r="Z47" s="47">
        <f t="shared" si="75"/>
        <v>2</v>
      </c>
      <c r="AA47" s="44">
        <f t="shared" si="76"/>
        <v>0.66666666666666663</v>
      </c>
      <c r="AB47" s="48">
        <v>0.01</v>
      </c>
      <c r="AC47" s="48">
        <v>0</v>
      </c>
      <c r="AD47" s="48">
        <v>0.02</v>
      </c>
      <c r="AE47" s="43">
        <v>0.01</v>
      </c>
      <c r="AF47" s="48">
        <v>0.01</v>
      </c>
      <c r="AG47" s="49">
        <v>50400677</v>
      </c>
      <c r="AH47" s="50"/>
      <c r="AI47" s="50"/>
      <c r="AJ47" s="240">
        <v>49152241.890909091</v>
      </c>
      <c r="AK47" s="240">
        <v>49244547.3487866</v>
      </c>
      <c r="AL47" s="932">
        <f t="shared" si="11"/>
        <v>0.97706122774475035</v>
      </c>
      <c r="AM47" s="50"/>
      <c r="AN47" s="723"/>
      <c r="AO47" s="240">
        <v>843919.83636363631</v>
      </c>
      <c r="AP47" s="240">
        <v>339203.50665889203</v>
      </c>
      <c r="AQ47" s="1155">
        <f t="shared" si="16"/>
        <v>6.7301379038795855E-3</v>
      </c>
      <c r="AR47" s="51">
        <f t="shared" si="17"/>
        <v>48905343.842127711</v>
      </c>
      <c r="AS47" s="51"/>
      <c r="AT47" s="51"/>
      <c r="AU47" s="51"/>
      <c r="AV47" s="51"/>
      <c r="AW47" s="51">
        <f t="shared" si="69"/>
        <v>48308322.054545455</v>
      </c>
      <c r="AX47" s="51"/>
      <c r="AY47" s="43">
        <f t="shared" si="19"/>
        <v>0</v>
      </c>
      <c r="AZ47" s="49">
        <f>157000000+AG47+100000000</f>
        <v>307400677</v>
      </c>
      <c r="BA47" s="45">
        <f t="shared" si="40"/>
        <v>98396789.239695698</v>
      </c>
      <c r="BB47" s="52">
        <f t="shared" si="41"/>
        <v>0.32009294904609364</v>
      </c>
      <c r="BC47" s="1170">
        <f t="shared" si="42"/>
        <v>1183123.3430225283</v>
      </c>
      <c r="BD47" s="52">
        <f t="shared" si="43"/>
        <v>3.8487987553213108E-3</v>
      </c>
      <c r="BE47" s="50"/>
      <c r="BF47" s="50" t="s">
        <v>66</v>
      </c>
      <c r="BG47" s="45"/>
      <c r="BH47" s="53" t="s">
        <v>175</v>
      </c>
      <c r="BI47" s="1223"/>
    </row>
    <row r="48" spans="1:61" ht="91.5" customHeight="1" x14ac:dyDescent="0.25">
      <c r="A48" s="79" t="s">
        <v>214</v>
      </c>
      <c r="B48" s="40" t="s">
        <v>215</v>
      </c>
      <c r="C48" s="40" t="s">
        <v>1776</v>
      </c>
      <c r="D48" s="40">
        <v>1</v>
      </c>
      <c r="E48" s="66">
        <v>1</v>
      </c>
      <c r="F48" s="66">
        <v>1</v>
      </c>
      <c r="G48" s="743">
        <v>1</v>
      </c>
      <c r="H48" s="66">
        <v>1</v>
      </c>
      <c r="I48" s="42">
        <v>1</v>
      </c>
      <c r="J48" s="56">
        <v>1</v>
      </c>
      <c r="K48" s="56">
        <v>1</v>
      </c>
      <c r="L48" s="42"/>
      <c r="M48" s="593"/>
      <c r="N48" s="593"/>
      <c r="O48" s="575">
        <f t="shared" si="44"/>
        <v>1</v>
      </c>
      <c r="P48" s="575">
        <f t="shared" si="44"/>
        <v>1</v>
      </c>
      <c r="Q48" s="575">
        <f t="shared" si="44"/>
        <v>1</v>
      </c>
      <c r="R48" s="43">
        <f t="shared" si="28"/>
        <v>1</v>
      </c>
      <c r="S48" s="54" t="s">
        <v>1634</v>
      </c>
      <c r="T48" s="234"/>
      <c r="U48" s="40" t="s">
        <v>1796</v>
      </c>
      <c r="V48" s="544"/>
      <c r="W48" s="283" t="s">
        <v>1758</v>
      </c>
      <c r="X48" s="945" t="s">
        <v>1736</v>
      </c>
      <c r="Y48" s="47">
        <f t="shared" si="74"/>
        <v>4</v>
      </c>
      <c r="Z48" s="47">
        <f t="shared" si="75"/>
        <v>4</v>
      </c>
      <c r="AA48" s="44">
        <f t="shared" si="76"/>
        <v>1</v>
      </c>
      <c r="AB48" s="48">
        <v>0.1</v>
      </c>
      <c r="AC48" s="48">
        <v>0.1</v>
      </c>
      <c r="AD48" s="48">
        <v>0.1</v>
      </c>
      <c r="AE48" s="43">
        <v>0.1</v>
      </c>
      <c r="AF48" s="48">
        <v>0.1</v>
      </c>
      <c r="AG48" s="49">
        <v>300000000</v>
      </c>
      <c r="AH48" s="50"/>
      <c r="AI48" s="50"/>
      <c r="AJ48" s="240">
        <v>294913451.34545457</v>
      </c>
      <c r="AK48" s="240">
        <v>293118368.32342511</v>
      </c>
      <c r="AL48" s="932">
        <f t="shared" si="11"/>
        <v>0.97706122774475035</v>
      </c>
      <c r="AM48" s="50"/>
      <c r="AN48" s="723"/>
      <c r="AO48" s="240">
        <v>5063519.0181818176</v>
      </c>
      <c r="AP48" s="240">
        <v>2019041.3711638756</v>
      </c>
      <c r="AQ48" s="1155">
        <f t="shared" si="16"/>
        <v>6.7301379038795855E-3</v>
      </c>
      <c r="AR48" s="51">
        <f t="shared" si="17"/>
        <v>291099326.95226121</v>
      </c>
      <c r="AS48" s="51"/>
      <c r="AT48" s="51"/>
      <c r="AU48" s="51"/>
      <c r="AV48" s="51"/>
      <c r="AW48" s="51">
        <f t="shared" si="69"/>
        <v>289849932.32727277</v>
      </c>
      <c r="AX48" s="51"/>
      <c r="AY48" s="43">
        <f t="shared" si="19"/>
        <v>0</v>
      </c>
      <c r="AZ48" s="49">
        <f>1300000000+AG48+100000000</f>
        <v>1700000000</v>
      </c>
      <c r="BA48" s="45">
        <f t="shared" si="40"/>
        <v>588031819.66887975</v>
      </c>
      <c r="BB48" s="52">
        <f t="shared" si="41"/>
        <v>0.34590107039345869</v>
      </c>
      <c r="BC48" s="1170">
        <f t="shared" si="42"/>
        <v>7082560.3893456934</v>
      </c>
      <c r="BD48" s="52">
        <f t="shared" si="43"/>
        <v>4.1662119937327605E-3</v>
      </c>
      <c r="BE48" s="50"/>
      <c r="BF48" s="50" t="s">
        <v>66</v>
      </c>
      <c r="BG48" s="45" t="s">
        <v>100</v>
      </c>
      <c r="BH48" s="57"/>
      <c r="BI48" s="1223"/>
    </row>
    <row r="49" spans="1:61" ht="26.25" customHeight="1" x14ac:dyDescent="0.25">
      <c r="A49" s="77" t="s">
        <v>217</v>
      </c>
      <c r="B49" s="40" t="s">
        <v>218</v>
      </c>
      <c r="C49" s="40" t="s">
        <v>1778</v>
      </c>
      <c r="D49" s="575">
        <v>0.1</v>
      </c>
      <c r="E49" s="48">
        <v>0.3</v>
      </c>
      <c r="F49" s="48">
        <v>0.5</v>
      </c>
      <c r="G49" s="696">
        <v>0.7</v>
      </c>
      <c r="H49" s="48">
        <v>0.1</v>
      </c>
      <c r="I49" s="43">
        <v>0.27</v>
      </c>
      <c r="J49" s="576">
        <v>0.5</v>
      </c>
      <c r="K49" s="576">
        <v>0</v>
      </c>
      <c r="L49" s="42"/>
      <c r="M49" s="593"/>
      <c r="N49" s="593"/>
      <c r="O49" s="687">
        <f t="shared" si="44"/>
        <v>1</v>
      </c>
      <c r="P49" s="687">
        <f t="shared" si="44"/>
        <v>0.90000000000000013</v>
      </c>
      <c r="Q49" s="687">
        <f t="shared" si="44"/>
        <v>1</v>
      </c>
      <c r="R49" s="43">
        <f t="shared" si="28"/>
        <v>0</v>
      </c>
      <c r="S49" s="770" t="s">
        <v>1687</v>
      </c>
      <c r="T49" s="234"/>
      <c r="U49" s="40" t="s">
        <v>1796</v>
      </c>
      <c r="V49" s="544"/>
      <c r="W49" s="283" t="s">
        <v>1758</v>
      </c>
      <c r="X49" s="945" t="s">
        <v>1736</v>
      </c>
      <c r="Y49" s="43">
        <f t="shared" si="74"/>
        <v>1.6</v>
      </c>
      <c r="Z49" s="698">
        <f t="shared" si="75"/>
        <v>0.87</v>
      </c>
      <c r="AA49" s="43">
        <f t="shared" si="76"/>
        <v>0.54374999999999996</v>
      </c>
      <c r="AB49" s="48">
        <v>0.05</v>
      </c>
      <c r="AC49" s="48">
        <v>0.05</v>
      </c>
      <c r="AD49" s="48">
        <v>0.05</v>
      </c>
      <c r="AE49" s="43">
        <v>0.05</v>
      </c>
      <c r="AF49" s="48">
        <v>0.05</v>
      </c>
      <c r="AG49" s="49">
        <v>70000000</v>
      </c>
      <c r="AH49" s="50"/>
      <c r="AI49" s="50"/>
      <c r="AJ49" s="240">
        <v>68813138.647272736</v>
      </c>
      <c r="AK49" s="240">
        <v>68394285.942132518</v>
      </c>
      <c r="AL49" s="932">
        <f t="shared" si="11"/>
        <v>0.97706122774475024</v>
      </c>
      <c r="AM49" s="50"/>
      <c r="AN49" s="723"/>
      <c r="AO49" s="240">
        <v>1181487.770909091</v>
      </c>
      <c r="AP49" s="240">
        <v>471109.65327157092</v>
      </c>
      <c r="AQ49" s="1155">
        <f t="shared" si="16"/>
        <v>6.7301379038795846E-3</v>
      </c>
      <c r="AR49" s="51">
        <f t="shared" si="17"/>
        <v>67923176.288860947</v>
      </c>
      <c r="AS49" s="51"/>
      <c r="AT49" s="51"/>
      <c r="AU49" s="51"/>
      <c r="AV49" s="51"/>
      <c r="AW49" s="51">
        <f t="shared" si="69"/>
        <v>67631650.87636365</v>
      </c>
      <c r="AX49" s="51"/>
      <c r="AY49" s="43">
        <f t="shared" si="19"/>
        <v>0</v>
      </c>
      <c r="AZ49" s="49">
        <f>1000000000+AG49+100000000</f>
        <v>1170000000</v>
      </c>
      <c r="BA49" s="45">
        <f t="shared" si="40"/>
        <v>137207424.58940524</v>
      </c>
      <c r="BB49" s="52">
        <f t="shared" si="41"/>
        <v>0.11727130306786772</v>
      </c>
      <c r="BC49" s="1170">
        <f t="shared" si="42"/>
        <v>1652597.4241806618</v>
      </c>
      <c r="BD49" s="52">
        <f t="shared" si="43"/>
        <v>1.4124764309236427E-3</v>
      </c>
      <c r="BE49" s="50"/>
      <c r="BF49" s="50" t="s">
        <v>66</v>
      </c>
      <c r="BG49" s="45"/>
      <c r="BH49" s="53" t="s">
        <v>175</v>
      </c>
      <c r="BI49" s="1223"/>
    </row>
    <row r="50" spans="1:61" ht="29.25" customHeight="1" x14ac:dyDescent="0.25">
      <c r="A50" s="79" t="s">
        <v>219</v>
      </c>
      <c r="B50" s="40" t="s">
        <v>220</v>
      </c>
      <c r="C50" s="40" t="s">
        <v>1778</v>
      </c>
      <c r="D50" s="575">
        <v>1</v>
      </c>
      <c r="E50" s="48">
        <v>1</v>
      </c>
      <c r="F50" s="48">
        <v>1</v>
      </c>
      <c r="G50" s="696">
        <v>1</v>
      </c>
      <c r="H50" s="48">
        <v>1</v>
      </c>
      <c r="I50" s="43">
        <v>1</v>
      </c>
      <c r="J50" s="576">
        <v>1</v>
      </c>
      <c r="K50" s="698">
        <v>0.25</v>
      </c>
      <c r="L50" s="42"/>
      <c r="M50" s="593"/>
      <c r="N50" s="593"/>
      <c r="O50" s="575">
        <f t="shared" si="44"/>
        <v>1</v>
      </c>
      <c r="P50" s="575">
        <f t="shared" si="44"/>
        <v>1</v>
      </c>
      <c r="Q50" s="575">
        <f t="shared" si="44"/>
        <v>1</v>
      </c>
      <c r="R50" s="43">
        <f t="shared" si="28"/>
        <v>0.25</v>
      </c>
      <c r="S50" s="770" t="s">
        <v>1673</v>
      </c>
      <c r="T50" s="234"/>
      <c r="U50" s="40" t="s">
        <v>1796</v>
      </c>
      <c r="V50" s="544"/>
      <c r="W50" s="283" t="s">
        <v>1758</v>
      </c>
      <c r="X50" s="945" t="s">
        <v>1736</v>
      </c>
      <c r="Y50" s="43">
        <f t="shared" si="74"/>
        <v>4</v>
      </c>
      <c r="Z50" s="698">
        <f t="shared" si="75"/>
        <v>3.25</v>
      </c>
      <c r="AA50" s="44">
        <f t="shared" si="76"/>
        <v>0.8125</v>
      </c>
      <c r="AB50" s="48">
        <v>0.05</v>
      </c>
      <c r="AC50" s="48">
        <v>0.05</v>
      </c>
      <c r="AD50" s="48">
        <v>0.05</v>
      </c>
      <c r="AE50" s="43">
        <v>0.05</v>
      </c>
      <c r="AF50" s="48">
        <v>0.05</v>
      </c>
      <c r="AG50" s="49">
        <v>400000000</v>
      </c>
      <c r="AH50" s="50"/>
      <c r="AI50" s="50"/>
      <c r="AJ50" s="240">
        <v>393217935.12727273</v>
      </c>
      <c r="AK50" s="240">
        <v>390824491.09790015</v>
      </c>
      <c r="AL50" s="932">
        <f t="shared" si="11"/>
        <v>0.97706122774475035</v>
      </c>
      <c r="AM50" s="50"/>
      <c r="AN50" s="723"/>
      <c r="AO50" s="240">
        <v>6962338.6499999994</v>
      </c>
      <c r="AP50" s="240">
        <v>2692055.1615518341</v>
      </c>
      <c r="AQ50" s="1155">
        <f t="shared" si="16"/>
        <v>6.7301379038795855E-3</v>
      </c>
      <c r="AR50" s="51">
        <f t="shared" si="17"/>
        <v>388132435.93634832</v>
      </c>
      <c r="AS50" s="51"/>
      <c r="AT50" s="51"/>
      <c r="AU50" s="51"/>
      <c r="AV50" s="51"/>
      <c r="AW50" s="51">
        <f t="shared" si="69"/>
        <v>386255596.47727275</v>
      </c>
      <c r="AX50" s="51"/>
      <c r="AY50" s="43">
        <f t="shared" si="19"/>
        <v>0</v>
      </c>
      <c r="AZ50" s="49">
        <f>1000000000+AG50+100000000</f>
        <v>1500000000</v>
      </c>
      <c r="BA50" s="45">
        <f t="shared" si="40"/>
        <v>784042426.22517288</v>
      </c>
      <c r="BB50" s="43">
        <f t="shared" si="41"/>
        <v>0.52269495081678197</v>
      </c>
      <c r="BC50" s="591">
        <f t="shared" si="42"/>
        <v>9654393.8115518335</v>
      </c>
      <c r="BD50" s="43">
        <f t="shared" si="43"/>
        <v>6.4362625410345556E-3</v>
      </c>
      <c r="BE50" s="50"/>
      <c r="BF50" s="50" t="s">
        <v>66</v>
      </c>
      <c r="BG50" s="45" t="s">
        <v>101</v>
      </c>
      <c r="BH50" s="53" t="s">
        <v>175</v>
      </c>
      <c r="BI50" s="1224"/>
    </row>
    <row r="51" spans="1:61" s="284" customFormat="1" ht="45.75" customHeight="1" x14ac:dyDescent="0.25">
      <c r="A51" s="23" t="s">
        <v>221</v>
      </c>
      <c r="B51" s="28"/>
      <c r="C51" s="28"/>
      <c r="D51" s="28"/>
      <c r="E51" s="81"/>
      <c r="F51" s="81"/>
      <c r="G51" s="741"/>
      <c r="H51" s="81"/>
      <c r="I51" s="81"/>
      <c r="J51" s="81"/>
      <c r="K51" s="81"/>
      <c r="L51" s="81"/>
      <c r="M51" s="81"/>
      <c r="N51" s="81"/>
      <c r="O51" s="609">
        <f>+(O52*AC52)+(O56*AC56)+(O60*AC60)</f>
        <v>1</v>
      </c>
      <c r="P51" s="609">
        <f>+(P52*AD52)+(P56*AD56)+(P60*AD60)</f>
        <v>1</v>
      </c>
      <c r="Q51" s="609">
        <f>+(Q52*AE52)+(Q56*AE56)+(Q60*AE60)</f>
        <v>0.78088214285714286</v>
      </c>
      <c r="R51" s="609">
        <f>+(R52*AF52)+(R56*AF56)+(R60*AF60)</f>
        <v>0.76519999999999988</v>
      </c>
      <c r="S51" s="83"/>
      <c r="T51" s="23"/>
      <c r="U51" s="82"/>
      <c r="V51" s="82"/>
      <c r="W51" s="82"/>
      <c r="X51" s="28"/>
      <c r="Y51" s="966">
        <f t="shared" ref="Y51:AA51" si="77">Y52+Y56+Y60</f>
        <v>0</v>
      </c>
      <c r="Z51" s="966">
        <f t="shared" si="77"/>
        <v>0</v>
      </c>
      <c r="AA51" s="966">
        <f t="shared" si="77"/>
        <v>2.6995263157894733</v>
      </c>
      <c r="AB51" s="609">
        <v>0.4</v>
      </c>
      <c r="AC51" s="609">
        <v>0.4</v>
      </c>
      <c r="AD51" s="609">
        <v>0.4</v>
      </c>
      <c r="AE51" s="609">
        <v>0.4</v>
      </c>
      <c r="AF51" s="609">
        <v>0.4</v>
      </c>
      <c r="AG51" s="243">
        <f>AG52+AG56+AG60</f>
        <v>1200000000</v>
      </c>
      <c r="AH51" s="243">
        <f t="shared" ref="AH51:AK51" si="78">AH52+AH56+AH60</f>
        <v>375909133</v>
      </c>
      <c r="AI51" s="243">
        <f t="shared" si="78"/>
        <v>6803924041.3600006</v>
      </c>
      <c r="AJ51" s="243">
        <f t="shared" si="78"/>
        <v>28309753555.267963</v>
      </c>
      <c r="AK51" s="243">
        <f t="shared" si="78"/>
        <v>611489500</v>
      </c>
      <c r="AL51" s="1134">
        <f t="shared" si="11"/>
        <v>0.50957458333333339</v>
      </c>
      <c r="AM51" s="28">
        <f>+AM52+AM56+AM60</f>
        <v>375909133</v>
      </c>
      <c r="AN51" s="722">
        <f>+AN52+AN56+AN60</f>
        <v>2002871533.3600001</v>
      </c>
      <c r="AO51" s="243">
        <f t="shared" ref="AO51" si="79">AO52+AO56+AO60</f>
        <v>14563204365.959999</v>
      </c>
      <c r="AP51" s="243">
        <f t="shared" ref="AP51" si="80">AP52+AP56+AP60</f>
        <v>40958846</v>
      </c>
      <c r="AQ51" s="1153">
        <f t="shared" si="16"/>
        <v>3.4132371666666668E-2</v>
      </c>
      <c r="AR51" s="28">
        <f t="shared" si="17"/>
        <v>570530654</v>
      </c>
      <c r="AS51" s="28">
        <f>+AS52+AS56+AS60</f>
        <v>64872850</v>
      </c>
      <c r="AT51" s="28">
        <f>+AT52+AT56+AT60</f>
        <v>64872850</v>
      </c>
      <c r="AU51" s="28">
        <f>+AU52+AU56+AU60</f>
        <v>4801052508</v>
      </c>
      <c r="AV51" s="28">
        <f>+AV52+AV56+AV60</f>
        <v>4509327908</v>
      </c>
      <c r="AW51" s="29">
        <f t="shared" si="69"/>
        <v>13746549189.307964</v>
      </c>
      <c r="AX51" s="29">
        <f t="shared" ref="AX51" si="81">AX52+AX56+AX60</f>
        <v>0</v>
      </c>
      <c r="AY51" s="26">
        <f t="shared" si="19"/>
        <v>0</v>
      </c>
      <c r="AZ51" s="28">
        <f>+AZ52+AZ56+AZ60</f>
        <v>39267894714</v>
      </c>
      <c r="BA51" s="28">
        <f t="shared" ref="BA51" si="82">BA52+BA56+BA60</f>
        <v>36101076229.62796</v>
      </c>
      <c r="BB51" s="26">
        <f t="shared" si="8"/>
        <v>0.91935349456758653</v>
      </c>
      <c r="BC51" s="1168">
        <f t="shared" ref="BC51" si="83">BC52+BC56+BC60</f>
        <v>21557144636.32</v>
      </c>
      <c r="BD51" s="26">
        <f t="shared" si="22"/>
        <v>0.54897632769281957</v>
      </c>
      <c r="BE51" s="28"/>
      <c r="BF51" s="28"/>
      <c r="BG51" s="28"/>
      <c r="BH51" s="28"/>
      <c r="BI51" s="615"/>
    </row>
    <row r="52" spans="1:61" ht="44.25" customHeight="1" x14ac:dyDescent="0.25">
      <c r="A52" s="58" t="s">
        <v>222</v>
      </c>
      <c r="B52" s="59"/>
      <c r="C52" s="59"/>
      <c r="D52" s="59"/>
      <c r="E52" s="60"/>
      <c r="F52" s="60"/>
      <c r="G52" s="744"/>
      <c r="H52" s="60"/>
      <c r="I52" s="61"/>
      <c r="J52" s="61"/>
      <c r="K52" s="61"/>
      <c r="L52" s="61"/>
      <c r="M52" s="61"/>
      <c r="N52" s="61"/>
      <c r="O52" s="685">
        <f>+SUMPRODUCT(O53:O55,AC53:AC55)</f>
        <v>1</v>
      </c>
      <c r="P52" s="685">
        <f>+SUMPRODUCT(P53:P55,AD53:AD55)</f>
        <v>1</v>
      </c>
      <c r="Q52" s="685">
        <f>+SUMPRODUCT(Q53:Q55,AE53:AE55)</f>
        <v>0.89285714285714279</v>
      </c>
      <c r="R52" s="685">
        <f>+SUMPRODUCT(R53:R55,AF53:AF55)</f>
        <v>0.88400000000000001</v>
      </c>
      <c r="S52" s="62"/>
      <c r="T52" s="62"/>
      <c r="U52" s="75"/>
      <c r="V52" s="75"/>
      <c r="W52" s="1180"/>
      <c r="X52" s="1180"/>
      <c r="Y52" s="62"/>
      <c r="Z52" s="62"/>
      <c r="AA52" s="61">
        <f>+SUMPRODUCT(AA53:AA55,AB53:AB55)</f>
        <v>0.96052631578947367</v>
      </c>
      <c r="AB52" s="61">
        <v>0.3</v>
      </c>
      <c r="AC52" s="61">
        <v>0.3</v>
      </c>
      <c r="AD52" s="61">
        <v>0.3</v>
      </c>
      <c r="AE52" s="61">
        <v>0.3</v>
      </c>
      <c r="AF52" s="61">
        <v>0.3</v>
      </c>
      <c r="AG52" s="59">
        <f>SUM(AG53:AG55)</f>
        <v>200000000</v>
      </c>
      <c r="AH52" s="59">
        <v>173543333</v>
      </c>
      <c r="AI52" s="59">
        <v>270045127</v>
      </c>
      <c r="AJ52" s="59">
        <f t="shared" ref="AJ52:AK52" si="84">SUM(AJ53:AJ55)</f>
        <v>2466864098.2679596</v>
      </c>
      <c r="AK52" s="59">
        <f t="shared" si="84"/>
        <v>68760500</v>
      </c>
      <c r="AL52" s="1137">
        <f t="shared" si="11"/>
        <v>0.34380250000000001</v>
      </c>
      <c r="AM52" s="734">
        <v>173543333</v>
      </c>
      <c r="AN52" s="724">
        <v>260045127</v>
      </c>
      <c r="AO52" s="241">
        <f t="shared" ref="AO52" si="85">SUM(AO53:AO55)</f>
        <v>2329752098.96</v>
      </c>
      <c r="AP52" s="241">
        <f t="shared" ref="AP52" si="86">SUM(AP53:AP55)</f>
        <v>3760500</v>
      </c>
      <c r="AQ52" s="1156">
        <f t="shared" si="16"/>
        <v>1.88025E-2</v>
      </c>
      <c r="AR52" s="63">
        <f t="shared" si="17"/>
        <v>65000000</v>
      </c>
      <c r="AS52" s="63"/>
      <c r="AT52" s="63"/>
      <c r="AU52" s="530">
        <f>+AI52-AN52</f>
        <v>10000000</v>
      </c>
      <c r="AV52" s="679">
        <v>10000000</v>
      </c>
      <c r="AW52" s="63">
        <f t="shared" si="69"/>
        <v>137111999.30795956</v>
      </c>
      <c r="AX52" s="63">
        <f t="shared" ref="AX52" si="87">SUM(AX53:AX55)</f>
        <v>0</v>
      </c>
      <c r="AY52" s="61">
        <f t="shared" si="19"/>
        <v>0</v>
      </c>
      <c r="AZ52" s="59">
        <f>SUM(AZ53:AZ55)-600000000</f>
        <v>3697909222</v>
      </c>
      <c r="BA52" s="59">
        <f t="shared" ref="BA52:BA64" si="88">SUM(AH52:AK52)</f>
        <v>2979213058.2679596</v>
      </c>
      <c r="BB52" s="61">
        <f t="shared" si="8"/>
        <v>0.80564797008636779</v>
      </c>
      <c r="BC52" s="1171">
        <f t="shared" ref="BC52:BC64" si="89">SUM(AM52:AP52)+AT52+AV52+AX52</f>
        <v>2777101058.96</v>
      </c>
      <c r="BD52" s="61">
        <f t="shared" si="22"/>
        <v>0.75099222080362904</v>
      </c>
      <c r="BE52" s="59"/>
      <c r="BF52" s="59" t="s">
        <v>76</v>
      </c>
      <c r="BG52" s="59"/>
      <c r="BH52" s="59"/>
      <c r="BI52" s="617"/>
    </row>
    <row r="53" spans="1:61" ht="144" customHeight="1" x14ac:dyDescent="0.25">
      <c r="A53" s="39" t="s">
        <v>223</v>
      </c>
      <c r="B53" s="40" t="s">
        <v>224</v>
      </c>
      <c r="C53" s="40" t="s">
        <v>1776</v>
      </c>
      <c r="D53" s="40">
        <v>2</v>
      </c>
      <c r="E53" s="66">
        <v>3</v>
      </c>
      <c r="F53" s="66">
        <v>5</v>
      </c>
      <c r="G53" s="743">
        <v>5</v>
      </c>
      <c r="H53" s="66">
        <v>4</v>
      </c>
      <c r="I53" s="42">
        <v>4</v>
      </c>
      <c r="J53" s="42">
        <v>5</v>
      </c>
      <c r="K53" s="42">
        <v>4</v>
      </c>
      <c r="L53" s="42"/>
      <c r="M53" s="593"/>
      <c r="N53" s="593"/>
      <c r="O53" s="575">
        <f t="shared" ref="O53:Q55" si="90">+IFERROR(IF((H53+L53)/D53&gt;=100%,100%,(H53+L53)/D53),0)</f>
        <v>1</v>
      </c>
      <c r="P53" s="575">
        <f t="shared" si="90"/>
        <v>1</v>
      </c>
      <c r="Q53" s="575">
        <f t="shared" si="90"/>
        <v>1</v>
      </c>
      <c r="R53" s="44">
        <f t="shared" ref="R53:R55" si="91">+IFERROR(IF(K53/G53&gt;=100%,100%,K53/G53),0)</f>
        <v>0.8</v>
      </c>
      <c r="S53" s="1113" t="s">
        <v>1613</v>
      </c>
      <c r="T53" s="234"/>
      <c r="U53" s="40" t="s">
        <v>1796</v>
      </c>
      <c r="V53" s="549"/>
      <c r="W53" s="1183" t="s">
        <v>1758</v>
      </c>
      <c r="X53" s="1184" t="s">
        <v>1737</v>
      </c>
      <c r="Y53" s="1178">
        <f t="shared" ref="Y53:Y55" si="92">SUM(D53:G53)</f>
        <v>15</v>
      </c>
      <c r="Z53" s="47">
        <f t="shared" ref="Z53:Z55" si="93">SUM(H53:N53)</f>
        <v>17</v>
      </c>
      <c r="AA53" s="44">
        <f t="shared" ref="AA53:AA55" si="94">IF(Z53/Y53&gt;=100%,100%,Z53/Y53)</f>
        <v>1</v>
      </c>
      <c r="AB53" s="48">
        <v>0.57999999999999996</v>
      </c>
      <c r="AC53" s="48">
        <v>0.5</v>
      </c>
      <c r="AD53" s="48">
        <v>0.57999999999999996</v>
      </c>
      <c r="AE53" s="48">
        <v>0.57999999999999996</v>
      </c>
      <c r="AF53" s="48">
        <v>0.57999999999999996</v>
      </c>
      <c r="AG53" s="49">
        <v>100000000</v>
      </c>
      <c r="AH53" s="50"/>
      <c r="AI53" s="50"/>
      <c r="AJ53" s="240">
        <v>2449073277.7882509</v>
      </c>
      <c r="AK53" s="240">
        <v>34380250</v>
      </c>
      <c r="AL53" s="932">
        <f t="shared" si="11"/>
        <v>0.34380250000000001</v>
      </c>
      <c r="AM53" s="50"/>
      <c r="AN53" s="723"/>
      <c r="AO53" s="240">
        <v>2312950118.9141903</v>
      </c>
      <c r="AP53" s="240">
        <v>1880250</v>
      </c>
      <c r="AQ53" s="1155">
        <f t="shared" si="16"/>
        <v>1.88025E-2</v>
      </c>
      <c r="AR53" s="51">
        <f t="shared" si="17"/>
        <v>32500000</v>
      </c>
      <c r="AS53" s="51"/>
      <c r="AT53" s="51"/>
      <c r="AU53" s="51"/>
      <c r="AV53" s="51"/>
      <c r="AW53" s="51">
        <f t="shared" si="69"/>
        <v>136123158.87406063</v>
      </c>
      <c r="AX53" s="51"/>
      <c r="AY53" s="43">
        <f t="shared" si="19"/>
        <v>0</v>
      </c>
      <c r="AZ53" s="49">
        <f>1430000000+AG53+2197909222</f>
        <v>3727909222</v>
      </c>
      <c r="BA53" s="45">
        <f t="shared" si="88"/>
        <v>2483453527.7882509</v>
      </c>
      <c r="BB53" s="52">
        <f t="shared" si="8"/>
        <v>0.66617864864635667</v>
      </c>
      <c r="BC53" s="1170">
        <f t="shared" si="89"/>
        <v>2314830368.9141903</v>
      </c>
      <c r="BD53" s="52">
        <f t="shared" si="22"/>
        <v>0.6209460131843817</v>
      </c>
      <c r="BE53" s="50"/>
      <c r="BF53" s="50" t="s">
        <v>76</v>
      </c>
      <c r="BG53" s="45"/>
      <c r="BH53" s="53" t="s">
        <v>225</v>
      </c>
      <c r="BI53" s="1222" t="s">
        <v>226</v>
      </c>
    </row>
    <row r="54" spans="1:61" ht="120.75" customHeight="1" x14ac:dyDescent="0.25">
      <c r="A54" s="39" t="s">
        <v>227</v>
      </c>
      <c r="B54" s="40" t="s">
        <v>228</v>
      </c>
      <c r="C54" s="40" t="s">
        <v>1778</v>
      </c>
      <c r="D54" s="43">
        <v>0</v>
      </c>
      <c r="E54" s="48">
        <v>0.2</v>
      </c>
      <c r="F54" s="48">
        <v>0.7</v>
      </c>
      <c r="G54" s="696">
        <v>1</v>
      </c>
      <c r="H54" s="48" t="s">
        <v>163</v>
      </c>
      <c r="I54" s="43">
        <v>0.2</v>
      </c>
      <c r="J54" s="43">
        <v>0.2</v>
      </c>
      <c r="K54" s="43">
        <v>1</v>
      </c>
      <c r="L54" s="42"/>
      <c r="M54" s="699"/>
      <c r="N54" s="699"/>
      <c r="O54" s="575">
        <f t="shared" si="90"/>
        <v>0</v>
      </c>
      <c r="P54" s="575">
        <f t="shared" si="90"/>
        <v>1</v>
      </c>
      <c r="Q54" s="575">
        <f t="shared" si="90"/>
        <v>0.28571428571428575</v>
      </c>
      <c r="R54" s="44">
        <f t="shared" si="91"/>
        <v>1</v>
      </c>
      <c r="S54" s="1114" t="s">
        <v>1847</v>
      </c>
      <c r="T54" s="234"/>
      <c r="U54" s="40" t="s">
        <v>1800</v>
      </c>
      <c r="V54" s="549"/>
      <c r="W54" s="1183" t="s">
        <v>1758</v>
      </c>
      <c r="X54" s="1185"/>
      <c r="Y54" s="1179">
        <f t="shared" si="92"/>
        <v>1.9</v>
      </c>
      <c r="Z54" s="698">
        <f t="shared" si="93"/>
        <v>1.4</v>
      </c>
      <c r="AA54" s="44">
        <f t="shared" si="94"/>
        <v>0.73684210526315785</v>
      </c>
      <c r="AB54" s="48">
        <v>0.15</v>
      </c>
      <c r="AC54" s="48">
        <v>0</v>
      </c>
      <c r="AD54" s="48">
        <v>0.15</v>
      </c>
      <c r="AE54" s="48">
        <v>0.15</v>
      </c>
      <c r="AF54" s="48">
        <v>0.15</v>
      </c>
      <c r="AG54" s="49">
        <v>80000000</v>
      </c>
      <c r="AH54" s="50"/>
      <c r="AI54" s="50"/>
      <c r="AJ54" s="240">
        <v>8895410.2398545463</v>
      </c>
      <c r="AK54" s="240">
        <v>27504200</v>
      </c>
      <c r="AL54" s="932">
        <f t="shared" si="11"/>
        <v>0.34380250000000001</v>
      </c>
      <c r="AM54" s="50"/>
      <c r="AN54" s="723"/>
      <c r="AO54" s="240">
        <v>8400990.0229048915</v>
      </c>
      <c r="AP54" s="240">
        <v>1504200</v>
      </c>
      <c r="AQ54" s="1155">
        <f t="shared" si="16"/>
        <v>1.88025E-2</v>
      </c>
      <c r="AR54" s="51">
        <f t="shared" si="17"/>
        <v>26000000</v>
      </c>
      <c r="AS54" s="51"/>
      <c r="AT54" s="51"/>
      <c r="AU54" s="51"/>
      <c r="AV54" s="51"/>
      <c r="AW54" s="51">
        <f t="shared" si="69"/>
        <v>494420.21694965474</v>
      </c>
      <c r="AX54" s="51"/>
      <c r="AY54" s="43">
        <f t="shared" si="19"/>
        <v>0</v>
      </c>
      <c r="AZ54" s="49">
        <f>83000000+AG54</f>
        <v>163000000</v>
      </c>
      <c r="BA54" s="45">
        <f t="shared" si="88"/>
        <v>36399610.239854544</v>
      </c>
      <c r="BB54" s="52">
        <f t="shared" si="8"/>
        <v>0.22331049226904628</v>
      </c>
      <c r="BC54" s="1170">
        <f t="shared" si="89"/>
        <v>9905190.0229048915</v>
      </c>
      <c r="BD54" s="52">
        <f t="shared" si="22"/>
        <v>6.0768036950336758E-2</v>
      </c>
      <c r="BE54" s="50"/>
      <c r="BF54" s="50" t="s">
        <v>76</v>
      </c>
      <c r="BG54" s="45"/>
      <c r="BH54" s="53" t="s">
        <v>175</v>
      </c>
      <c r="BI54" s="1223"/>
    </row>
    <row r="55" spans="1:61" ht="59.25" customHeight="1" x14ac:dyDescent="0.25">
      <c r="A55" s="39" t="s">
        <v>229</v>
      </c>
      <c r="B55" s="40" t="s">
        <v>230</v>
      </c>
      <c r="C55" s="40" t="s">
        <v>1778</v>
      </c>
      <c r="D55" s="575">
        <v>1</v>
      </c>
      <c r="E55" s="48">
        <v>1</v>
      </c>
      <c r="F55" s="48">
        <v>1</v>
      </c>
      <c r="G55" s="696">
        <v>1</v>
      </c>
      <c r="H55" s="48">
        <v>1</v>
      </c>
      <c r="I55" s="48">
        <v>1</v>
      </c>
      <c r="J55" s="43">
        <v>1</v>
      </c>
      <c r="K55" s="43">
        <v>1</v>
      </c>
      <c r="L55" s="42"/>
      <c r="M55" s="593"/>
      <c r="N55" s="593"/>
      <c r="O55" s="575">
        <f t="shared" si="90"/>
        <v>1</v>
      </c>
      <c r="P55" s="575">
        <f t="shared" si="90"/>
        <v>1</v>
      </c>
      <c r="Q55" s="575">
        <f t="shared" si="90"/>
        <v>1</v>
      </c>
      <c r="R55" s="44">
        <f t="shared" si="91"/>
        <v>1</v>
      </c>
      <c r="S55" s="1114" t="s">
        <v>1846</v>
      </c>
      <c r="T55" s="234"/>
      <c r="U55" s="40" t="s">
        <v>1796</v>
      </c>
      <c r="V55" s="40"/>
      <c r="W55" s="1181" t="s">
        <v>1758</v>
      </c>
      <c r="X55" s="1182" t="s">
        <v>1737</v>
      </c>
      <c r="Y55" s="43">
        <f t="shared" si="92"/>
        <v>4</v>
      </c>
      <c r="Z55" s="698">
        <f t="shared" si="93"/>
        <v>4</v>
      </c>
      <c r="AA55" s="44">
        <f t="shared" si="94"/>
        <v>1</v>
      </c>
      <c r="AB55" s="48">
        <v>0.27</v>
      </c>
      <c r="AC55" s="48">
        <v>0.5</v>
      </c>
      <c r="AD55" s="48">
        <v>0.27</v>
      </c>
      <c r="AE55" s="48">
        <v>0.27</v>
      </c>
      <c r="AF55" s="48">
        <v>0.27</v>
      </c>
      <c r="AG55" s="49">
        <v>20000000</v>
      </c>
      <c r="AH55" s="50"/>
      <c r="AI55" s="50"/>
      <c r="AJ55" s="240">
        <v>8895410.2398545463</v>
      </c>
      <c r="AK55" s="240">
        <v>6876050</v>
      </c>
      <c r="AL55" s="932">
        <f t="shared" si="11"/>
        <v>0.34380250000000001</v>
      </c>
      <c r="AM55" s="50"/>
      <c r="AN55" s="723"/>
      <c r="AO55" s="240">
        <v>8400990.0229048915</v>
      </c>
      <c r="AP55" s="240">
        <v>376050</v>
      </c>
      <c r="AQ55" s="1155">
        <f t="shared" si="16"/>
        <v>1.88025E-2</v>
      </c>
      <c r="AR55" s="51">
        <f t="shared" si="17"/>
        <v>6500000</v>
      </c>
      <c r="AS55" s="51"/>
      <c r="AT55" s="51"/>
      <c r="AU55" s="51"/>
      <c r="AV55" s="51"/>
      <c r="AW55" s="51">
        <f t="shared" si="69"/>
        <v>494420.21694965474</v>
      </c>
      <c r="AX55" s="51"/>
      <c r="AY55" s="43">
        <f t="shared" si="19"/>
        <v>0</v>
      </c>
      <c r="AZ55" s="49">
        <f>387000000+AG55</f>
        <v>407000000</v>
      </c>
      <c r="BA55" s="45">
        <f t="shared" si="88"/>
        <v>15771460.239854546</v>
      </c>
      <c r="BB55" s="52">
        <f t="shared" si="8"/>
        <v>3.8750516559839181E-2</v>
      </c>
      <c r="BC55" s="1170">
        <f t="shared" si="89"/>
        <v>8777040.0229048915</v>
      </c>
      <c r="BD55" s="52">
        <f t="shared" si="22"/>
        <v>2.1565208901486221E-2</v>
      </c>
      <c r="BE55" s="50"/>
      <c r="BF55" s="50" t="s">
        <v>74</v>
      </c>
      <c r="BG55" s="45"/>
      <c r="BH55" s="53" t="s">
        <v>231</v>
      </c>
      <c r="BI55" s="1224"/>
    </row>
    <row r="56" spans="1:61" ht="38.25" customHeight="1" x14ac:dyDescent="0.25">
      <c r="A56" s="32" t="s">
        <v>232</v>
      </c>
      <c r="B56" s="33"/>
      <c r="C56" s="33"/>
      <c r="D56" s="33"/>
      <c r="E56" s="34"/>
      <c r="F56" s="34"/>
      <c r="G56" s="745"/>
      <c r="H56" s="34"/>
      <c r="I56" s="34"/>
      <c r="J56" s="34"/>
      <c r="K56" s="34"/>
      <c r="L56" s="34"/>
      <c r="M56" s="34"/>
      <c r="N56" s="34"/>
      <c r="O56" s="607">
        <f>+SUMPRODUCT(O57:O59,AC57:AC59)</f>
        <v>1</v>
      </c>
      <c r="P56" s="607">
        <f>+SUMPRODUCT(P57:P59,AD57:AD59)</f>
        <v>1</v>
      </c>
      <c r="Q56" s="607">
        <f>+SUMPRODUCT(Q57:Q59,AE57:AE59)</f>
        <v>0.73675000000000002</v>
      </c>
      <c r="R56" s="607">
        <f>+SUMPRODUCT(R57:R59,AF57:AF59)</f>
        <v>1</v>
      </c>
      <c r="S56" s="38"/>
      <c r="T56" s="32"/>
      <c r="U56" s="71"/>
      <c r="V56" s="71"/>
      <c r="W56" s="71"/>
      <c r="X56" s="285"/>
      <c r="Y56" s="36"/>
      <c r="Z56" s="36"/>
      <c r="AA56" s="35">
        <f>+SUMPRODUCT(AA57:AA59,AB57:AB59)</f>
        <v>0.82899999999999996</v>
      </c>
      <c r="AB56" s="35">
        <v>0.3</v>
      </c>
      <c r="AC56" s="35">
        <v>0.3</v>
      </c>
      <c r="AD56" s="35">
        <v>0.3</v>
      </c>
      <c r="AE56" s="35">
        <v>0.3</v>
      </c>
      <c r="AF56" s="35">
        <v>0.3</v>
      </c>
      <c r="AG56" s="33">
        <f>SUM(AG57:AG59)</f>
        <v>100000000</v>
      </c>
      <c r="AH56" s="33">
        <f>SUM(AH57:AH59)</f>
        <v>0</v>
      </c>
      <c r="AI56" s="33">
        <v>135951000</v>
      </c>
      <c r="AJ56" s="33">
        <f t="shared" ref="AJ56:AK56" si="95">SUM(AJ57:AJ59)</f>
        <v>191237500</v>
      </c>
      <c r="AK56" s="33">
        <f t="shared" si="95"/>
        <v>36000000</v>
      </c>
      <c r="AL56" s="1138">
        <f t="shared" si="11"/>
        <v>0.36</v>
      </c>
      <c r="AM56" s="733">
        <f>SUM(AM57:AM59)</f>
        <v>0</v>
      </c>
      <c r="AN56" s="725">
        <v>30226400</v>
      </c>
      <c r="AO56" s="242">
        <f t="shared" ref="AO56" si="96">SUM(AO57:AO59)</f>
        <v>191237500</v>
      </c>
      <c r="AP56" s="242">
        <f t="shared" ref="AP56" si="97">SUM(AP57:AP59)</f>
        <v>0</v>
      </c>
      <c r="AQ56" s="1158">
        <f t="shared" si="16"/>
        <v>0</v>
      </c>
      <c r="AR56" s="37">
        <f t="shared" si="17"/>
        <v>36000000</v>
      </c>
      <c r="AS56" s="37"/>
      <c r="AT56" s="37"/>
      <c r="AU56" s="530">
        <f>+AI56-AN56</f>
        <v>105724600</v>
      </c>
      <c r="AV56" s="679">
        <v>0</v>
      </c>
      <c r="AW56" s="37">
        <f t="shared" si="69"/>
        <v>0</v>
      </c>
      <c r="AX56" s="37">
        <f t="shared" ref="AX56" si="98">SUM(AX57:AX59)</f>
        <v>0</v>
      </c>
      <c r="AY56" s="35" t="e">
        <f t="shared" si="19"/>
        <v>#DIV/0!</v>
      </c>
      <c r="AZ56" s="33">
        <f>SUM(AZ57:AZ59)-400000000</f>
        <v>740000000</v>
      </c>
      <c r="BA56" s="33">
        <f t="shared" si="88"/>
        <v>363188500</v>
      </c>
      <c r="BB56" s="35">
        <f t="shared" si="8"/>
        <v>0.49079527027027026</v>
      </c>
      <c r="BC56" s="1172">
        <f t="shared" si="89"/>
        <v>221463900</v>
      </c>
      <c r="BD56" s="35">
        <f t="shared" si="22"/>
        <v>0.29927554054054056</v>
      </c>
      <c r="BE56" s="33"/>
      <c r="BF56" s="33" t="s">
        <v>76</v>
      </c>
      <c r="BG56" s="33"/>
      <c r="BH56" s="33"/>
      <c r="BI56" s="618"/>
    </row>
    <row r="57" spans="1:61" ht="63" customHeight="1" x14ac:dyDescent="0.25">
      <c r="A57" s="39" t="s">
        <v>233</v>
      </c>
      <c r="B57" s="40" t="s">
        <v>234</v>
      </c>
      <c r="C57" s="40" t="s">
        <v>1778</v>
      </c>
      <c r="D57" s="575">
        <v>0.2</v>
      </c>
      <c r="E57" s="73">
        <v>0.8</v>
      </c>
      <c r="F57" s="73">
        <v>1</v>
      </c>
      <c r="G57" s="696">
        <v>0</v>
      </c>
      <c r="H57" s="590">
        <v>0.05</v>
      </c>
      <c r="I57" s="43">
        <v>0.8</v>
      </c>
      <c r="J57" s="43">
        <v>1</v>
      </c>
      <c r="K57" s="575" t="s">
        <v>163</v>
      </c>
      <c r="L57" s="43">
        <v>0.15</v>
      </c>
      <c r="M57" s="52"/>
      <c r="N57" s="52"/>
      <c r="O57" s="575">
        <f t="shared" ref="O57:Q59" si="99">+IFERROR(IF((H57+L57)/D57&gt;=100%,100%,(H57+L57)/D57),0)</f>
        <v>1</v>
      </c>
      <c r="P57" s="575">
        <f t="shared" si="99"/>
        <v>1</v>
      </c>
      <c r="Q57" s="575">
        <f t="shared" si="99"/>
        <v>1</v>
      </c>
      <c r="R57" s="44">
        <f t="shared" ref="R57:R59" si="100">+IFERROR(IF(K57/G57&gt;=100%,100%,K57/G57),0)</f>
        <v>0</v>
      </c>
      <c r="S57" s="54"/>
      <c r="T57" s="234"/>
      <c r="U57" s="543" t="s">
        <v>1804</v>
      </c>
      <c r="V57" s="40"/>
      <c r="W57" s="545"/>
      <c r="Y57" s="704">
        <f t="shared" ref="Y57:Y59" si="101">SUM(D57:G57)</f>
        <v>2</v>
      </c>
      <c r="Z57" s="605">
        <f t="shared" ref="Z57:Z59" si="102">SUM(H57:N57)</f>
        <v>2</v>
      </c>
      <c r="AA57" s="698">
        <f t="shared" ref="AA57:AA59" si="103">IF(Z57/Y57&gt;=100%,100%,Z57/Y57)</f>
        <v>1</v>
      </c>
      <c r="AB57" s="48">
        <v>0.46</v>
      </c>
      <c r="AC57" s="48">
        <v>1</v>
      </c>
      <c r="AD57" s="48">
        <v>0.63</v>
      </c>
      <c r="AE57" s="48">
        <v>0.46</v>
      </c>
      <c r="AF57" s="43">
        <v>0</v>
      </c>
      <c r="AG57" s="49"/>
      <c r="AH57" s="50"/>
      <c r="AI57" s="50"/>
      <c r="AJ57" s="240">
        <v>24091907.091751736</v>
      </c>
      <c r="AK57" s="240"/>
      <c r="AL57" s="932" t="e">
        <f t="shared" si="11"/>
        <v>#DIV/0!</v>
      </c>
      <c r="AM57" s="50"/>
      <c r="AN57" s="723"/>
      <c r="AO57" s="240">
        <v>24091907.091751736</v>
      </c>
      <c r="AP57" s="240"/>
      <c r="AQ57" s="1155" t="e">
        <f t="shared" si="16"/>
        <v>#DIV/0!</v>
      </c>
      <c r="AR57" s="51">
        <f t="shared" si="17"/>
        <v>0</v>
      </c>
      <c r="AS57" s="51"/>
      <c r="AT57" s="51"/>
      <c r="AU57" s="51"/>
      <c r="AV57" s="51"/>
      <c r="AW57" s="51">
        <f t="shared" si="69"/>
        <v>0</v>
      </c>
      <c r="AX57" s="51"/>
      <c r="AY57" s="43" t="e">
        <f t="shared" si="19"/>
        <v>#DIV/0!</v>
      </c>
      <c r="AZ57" s="49">
        <f>360000000+AG57</f>
        <v>360000000</v>
      </c>
      <c r="BA57" s="45">
        <f t="shared" si="88"/>
        <v>24091907.091751736</v>
      </c>
      <c r="BB57" s="52">
        <f t="shared" si="8"/>
        <v>6.6921964143754828E-2</v>
      </c>
      <c r="BC57" s="1170">
        <f t="shared" si="89"/>
        <v>24091907.091751736</v>
      </c>
      <c r="BD57" s="52">
        <f t="shared" si="22"/>
        <v>6.6921964143754828E-2</v>
      </c>
      <c r="BE57" s="50"/>
      <c r="BF57" s="50" t="s">
        <v>76</v>
      </c>
      <c r="BG57" s="45"/>
      <c r="BH57" s="53" t="s">
        <v>235</v>
      </c>
      <c r="BI57" s="1222" t="s">
        <v>236</v>
      </c>
    </row>
    <row r="58" spans="1:61" ht="40.5" customHeight="1" x14ac:dyDescent="0.25">
      <c r="A58" s="39" t="s">
        <v>237</v>
      </c>
      <c r="B58" s="40" t="s">
        <v>238</v>
      </c>
      <c r="C58" s="40" t="s">
        <v>1778</v>
      </c>
      <c r="D58" s="575">
        <v>0</v>
      </c>
      <c r="E58" s="73">
        <v>0.2</v>
      </c>
      <c r="F58" s="73">
        <v>0.8</v>
      </c>
      <c r="G58" s="696">
        <v>0</v>
      </c>
      <c r="H58" s="73" t="s">
        <v>163</v>
      </c>
      <c r="I58" s="43">
        <v>0.15</v>
      </c>
      <c r="J58" s="43">
        <v>0.3</v>
      </c>
      <c r="K58" s="43" t="s">
        <v>163</v>
      </c>
      <c r="L58" s="42"/>
      <c r="M58" s="699">
        <v>0.05</v>
      </c>
      <c r="N58" s="699"/>
      <c r="O58" s="687">
        <f t="shared" si="99"/>
        <v>0</v>
      </c>
      <c r="P58" s="687">
        <f t="shared" si="99"/>
        <v>1</v>
      </c>
      <c r="Q58" s="687">
        <f t="shared" si="99"/>
        <v>0.37499999999999994</v>
      </c>
      <c r="R58" s="44">
        <f t="shared" si="100"/>
        <v>0</v>
      </c>
      <c r="S58" s="423"/>
      <c r="T58" s="234"/>
      <c r="U58" s="543" t="s">
        <v>1804</v>
      </c>
      <c r="V58" s="40"/>
      <c r="W58" s="545"/>
      <c r="X58" s="546"/>
      <c r="Y58" s="43">
        <f t="shared" si="101"/>
        <v>1</v>
      </c>
      <c r="Z58" s="605">
        <f t="shared" si="102"/>
        <v>0.49999999999999994</v>
      </c>
      <c r="AA58" s="44">
        <f t="shared" si="103"/>
        <v>0.49999999999999994</v>
      </c>
      <c r="AB58" s="48">
        <v>0.21</v>
      </c>
      <c r="AC58" s="48">
        <v>0</v>
      </c>
      <c r="AD58" s="48">
        <v>0.37</v>
      </c>
      <c r="AE58" s="48">
        <v>0.21</v>
      </c>
      <c r="AF58" s="43">
        <v>0</v>
      </c>
      <c r="AG58" s="49"/>
      <c r="AH58" s="50"/>
      <c r="AI58" s="50"/>
      <c r="AJ58" s="240">
        <v>123213291.74093629</v>
      </c>
      <c r="AK58" s="240"/>
      <c r="AL58" s="932" t="e">
        <f t="shared" si="11"/>
        <v>#DIV/0!</v>
      </c>
      <c r="AM58" s="50"/>
      <c r="AN58" s="723"/>
      <c r="AO58" s="240">
        <v>123213291.74093629</v>
      </c>
      <c r="AP58" s="240"/>
      <c r="AQ58" s="1155" t="e">
        <f t="shared" si="16"/>
        <v>#DIV/0!</v>
      </c>
      <c r="AR58" s="51">
        <f t="shared" si="17"/>
        <v>0</v>
      </c>
      <c r="AS58" s="51"/>
      <c r="AT58" s="51"/>
      <c r="AU58" s="51"/>
      <c r="AV58" s="51"/>
      <c r="AW58" s="51">
        <f t="shared" si="69"/>
        <v>0</v>
      </c>
      <c r="AX58" s="51"/>
      <c r="AY58" s="43" t="e">
        <f t="shared" si="19"/>
        <v>#DIV/0!</v>
      </c>
      <c r="AZ58" s="49">
        <f>340000000+AG58</f>
        <v>340000000</v>
      </c>
      <c r="BA58" s="45">
        <f t="shared" si="88"/>
        <v>123213291.74093629</v>
      </c>
      <c r="BB58" s="52">
        <f t="shared" si="8"/>
        <v>0.36239203453216556</v>
      </c>
      <c r="BC58" s="1170">
        <f t="shared" si="89"/>
        <v>123213291.74093629</v>
      </c>
      <c r="BD58" s="52">
        <f t="shared" si="22"/>
        <v>0.36239203453216556</v>
      </c>
      <c r="BE58" s="50"/>
      <c r="BF58" s="50" t="s">
        <v>76</v>
      </c>
      <c r="BG58" s="45"/>
      <c r="BH58" s="53" t="s">
        <v>235</v>
      </c>
      <c r="BI58" s="1223"/>
    </row>
    <row r="59" spans="1:61" ht="64.5" customHeight="1" x14ac:dyDescent="0.25">
      <c r="A59" s="39" t="s">
        <v>240</v>
      </c>
      <c r="B59" s="290" t="s">
        <v>241</v>
      </c>
      <c r="C59" s="40" t="s">
        <v>1776</v>
      </c>
      <c r="D59" s="290">
        <v>0</v>
      </c>
      <c r="E59" s="41">
        <v>0</v>
      </c>
      <c r="F59" s="41">
        <v>0.5</v>
      </c>
      <c r="G59" s="743">
        <v>0.5</v>
      </c>
      <c r="H59" s="41" t="s">
        <v>163</v>
      </c>
      <c r="I59" s="42" t="s">
        <v>163</v>
      </c>
      <c r="J59" s="84">
        <v>0.3</v>
      </c>
      <c r="K59" s="84">
        <v>0.5</v>
      </c>
      <c r="L59" s="42"/>
      <c r="M59" s="596"/>
      <c r="N59" s="596"/>
      <c r="O59" s="575">
        <f t="shared" si="99"/>
        <v>0</v>
      </c>
      <c r="P59" s="575">
        <f t="shared" si="99"/>
        <v>0</v>
      </c>
      <c r="Q59" s="575">
        <f t="shared" si="99"/>
        <v>0.6</v>
      </c>
      <c r="R59" s="44">
        <f t="shared" si="100"/>
        <v>1</v>
      </c>
      <c r="S59" s="1114" t="s">
        <v>1848</v>
      </c>
      <c r="T59" s="234"/>
      <c r="U59" s="40" t="s">
        <v>1796</v>
      </c>
      <c r="V59" s="40"/>
      <c r="W59" s="283" t="s">
        <v>1758</v>
      </c>
      <c r="X59" s="552" t="s">
        <v>1858</v>
      </c>
      <c r="Y59" s="47">
        <f t="shared" si="101"/>
        <v>1</v>
      </c>
      <c r="Z59" s="581">
        <f t="shared" si="102"/>
        <v>0.8</v>
      </c>
      <c r="AA59" s="44">
        <f t="shared" si="103"/>
        <v>0.8</v>
      </c>
      <c r="AB59" s="48">
        <v>0.33</v>
      </c>
      <c r="AC59" s="48">
        <v>0</v>
      </c>
      <c r="AD59" s="48">
        <v>0</v>
      </c>
      <c r="AE59" s="48">
        <v>0.33</v>
      </c>
      <c r="AF59" s="43">
        <v>1</v>
      </c>
      <c r="AG59" s="941">
        <v>100000000</v>
      </c>
      <c r="AH59" s="50"/>
      <c r="AI59" s="50"/>
      <c r="AJ59" s="240">
        <v>43932301.167311981</v>
      </c>
      <c r="AK59" s="240">
        <v>36000000</v>
      </c>
      <c r="AL59" s="932">
        <f t="shared" si="11"/>
        <v>0.36</v>
      </c>
      <c r="AM59" s="50"/>
      <c r="AN59" s="723"/>
      <c r="AO59" s="240">
        <v>43932301.167311981</v>
      </c>
      <c r="AP59" s="240"/>
      <c r="AQ59" s="1155">
        <f t="shared" si="16"/>
        <v>0</v>
      </c>
      <c r="AR59" s="51">
        <f t="shared" si="17"/>
        <v>36000000</v>
      </c>
      <c r="AS59" s="51"/>
      <c r="AT59" s="51"/>
      <c r="AU59" s="51"/>
      <c r="AV59" s="51"/>
      <c r="AW59" s="51">
        <f t="shared" si="69"/>
        <v>0</v>
      </c>
      <c r="AX59" s="51"/>
      <c r="AY59" s="43" t="e">
        <f t="shared" si="19"/>
        <v>#DIV/0!</v>
      </c>
      <c r="AZ59" s="70">
        <f>700000000+AG59-360000000</f>
        <v>440000000</v>
      </c>
      <c r="BA59" s="45">
        <f t="shared" si="88"/>
        <v>79932301.167311981</v>
      </c>
      <c r="BB59" s="52">
        <f t="shared" si="8"/>
        <v>0.18166432083479997</v>
      </c>
      <c r="BC59" s="1170">
        <f t="shared" si="89"/>
        <v>43932301.167311981</v>
      </c>
      <c r="BD59" s="52">
        <f t="shared" si="22"/>
        <v>9.9846139016618138E-2</v>
      </c>
      <c r="BE59" s="50"/>
      <c r="BF59" s="50" t="s">
        <v>76</v>
      </c>
      <c r="BG59" s="45"/>
      <c r="BH59" s="53" t="s">
        <v>225</v>
      </c>
      <c r="BI59" s="1224"/>
    </row>
    <row r="60" spans="1:61" ht="51.75" customHeight="1" x14ac:dyDescent="0.25">
      <c r="A60" s="58" t="s">
        <v>242</v>
      </c>
      <c r="B60" s="59"/>
      <c r="C60" s="59"/>
      <c r="D60" s="59"/>
      <c r="E60" s="60"/>
      <c r="F60" s="60"/>
      <c r="G60" s="744"/>
      <c r="H60" s="60"/>
      <c r="I60" s="60"/>
      <c r="J60" s="60"/>
      <c r="K60" s="60"/>
      <c r="L60" s="60"/>
      <c r="M60" s="60"/>
      <c r="N60" s="60"/>
      <c r="O60" s="685">
        <f>+SUMPRODUCT(O61:O64,AC61:AC64)</f>
        <v>1</v>
      </c>
      <c r="P60" s="685">
        <f>+SUMPRODUCT(P61:P64,AD61:AD64)</f>
        <v>1</v>
      </c>
      <c r="Q60" s="685">
        <f>+SUMPRODUCT(Q61:Q64,AE61:AE64)</f>
        <v>0.73</v>
      </c>
      <c r="R60" s="685">
        <f>+SUMPRODUCT(R61:R64,AF61:AF64)</f>
        <v>0.5</v>
      </c>
      <c r="S60" s="65"/>
      <c r="T60" s="58"/>
      <c r="U60" s="75"/>
      <c r="V60" s="75"/>
      <c r="W60" s="75"/>
      <c r="X60" s="59"/>
      <c r="Y60" s="62"/>
      <c r="Z60" s="62"/>
      <c r="AA60" s="61">
        <f>+SUMPRODUCT(AA61:AA64,AB61:AB64)</f>
        <v>0.90999999999999992</v>
      </c>
      <c r="AB60" s="61">
        <v>0.4</v>
      </c>
      <c r="AC60" s="61">
        <v>0.4</v>
      </c>
      <c r="AD60" s="61">
        <v>0.4</v>
      </c>
      <c r="AE60" s="61">
        <v>0.4</v>
      </c>
      <c r="AF60" s="61">
        <v>0.4</v>
      </c>
      <c r="AG60" s="59">
        <f>SUM(AG61:AG64)</f>
        <v>900000000</v>
      </c>
      <c r="AH60" s="59">
        <v>202365800</v>
      </c>
      <c r="AI60" s="59">
        <v>6397927914.3600006</v>
      </c>
      <c r="AJ60" s="59">
        <f t="shared" ref="AJ60:AK60" si="104">SUM(AJ61:AJ64)</f>
        <v>25651651957.000004</v>
      </c>
      <c r="AK60" s="59">
        <f t="shared" si="104"/>
        <v>506728999.99999994</v>
      </c>
      <c r="AL60" s="1137">
        <f t="shared" si="11"/>
        <v>0.56303222222222216</v>
      </c>
      <c r="AM60" s="734">
        <v>202365800</v>
      </c>
      <c r="AN60" s="724">
        <v>1712600006.3600001</v>
      </c>
      <c r="AO60" s="241">
        <f t="shared" ref="AO60" si="105">SUM(AO61:AO64)</f>
        <v>12042214766.999998</v>
      </c>
      <c r="AP60" s="241">
        <f t="shared" ref="AP60" si="106">SUM(AP61:AP64)</f>
        <v>37198346</v>
      </c>
      <c r="AQ60" s="1156">
        <f t="shared" si="16"/>
        <v>4.1331495555555556E-2</v>
      </c>
      <c r="AR60" s="63">
        <f t="shared" si="17"/>
        <v>469530653.99999994</v>
      </c>
      <c r="AS60" s="63">
        <v>64872850</v>
      </c>
      <c r="AT60" s="63">
        <v>64872850</v>
      </c>
      <c r="AU60" s="530">
        <f>+AI60-AN60</f>
        <v>4685327908</v>
      </c>
      <c r="AV60" s="682">
        <v>4499327908</v>
      </c>
      <c r="AW60" s="63">
        <f t="shared" si="69"/>
        <v>13609437190.000006</v>
      </c>
      <c r="AX60" s="63">
        <f t="shared" ref="AX60" si="107">SUM(AX61:AX64)</f>
        <v>0</v>
      </c>
      <c r="AY60" s="61">
        <f t="shared" si="19"/>
        <v>0</v>
      </c>
      <c r="AZ60" s="59">
        <f>SUM(AZ61:AZ64)-2500000000</f>
        <v>34829985492</v>
      </c>
      <c r="BA60" s="59">
        <f t="shared" si="88"/>
        <v>32758674671.360004</v>
      </c>
      <c r="BB60" s="61">
        <f t="shared" si="8"/>
        <v>0.94053081586508991</v>
      </c>
      <c r="BC60" s="1171">
        <f t="shared" si="89"/>
        <v>18558579677.360001</v>
      </c>
      <c r="BD60" s="61">
        <f t="shared" si="22"/>
        <v>0.53283340246072364</v>
      </c>
      <c r="BE60" s="59"/>
      <c r="BF60" s="59" t="s">
        <v>76</v>
      </c>
      <c r="BG60" s="59"/>
      <c r="BH60" s="59"/>
      <c r="BI60" s="617"/>
    </row>
    <row r="61" spans="1:61" ht="151.5" customHeight="1" x14ac:dyDescent="0.25">
      <c r="A61" s="39" t="s">
        <v>243</v>
      </c>
      <c r="B61" s="68" t="s">
        <v>244</v>
      </c>
      <c r="C61" s="40" t="s">
        <v>1776</v>
      </c>
      <c r="D61" s="68">
        <v>1</v>
      </c>
      <c r="E61" s="76">
        <v>1</v>
      </c>
      <c r="F61" s="76">
        <v>1</v>
      </c>
      <c r="G61" s="748">
        <v>0</v>
      </c>
      <c r="H61" s="76">
        <v>1</v>
      </c>
      <c r="I61" s="42">
        <v>1</v>
      </c>
      <c r="J61" s="80">
        <v>0</v>
      </c>
      <c r="K61" s="80" t="s">
        <v>163</v>
      </c>
      <c r="L61" s="42"/>
      <c r="M61" s="593"/>
      <c r="N61" s="593"/>
      <c r="O61" s="575">
        <f t="shared" ref="O61:Q64" si="108">+IFERROR(IF((H61+L61)/D61&gt;=100%,100%,(H61+L61)/D61),0)</f>
        <v>1</v>
      </c>
      <c r="P61" s="575">
        <f t="shared" si="108"/>
        <v>1</v>
      </c>
      <c r="Q61" s="575">
        <f t="shared" si="108"/>
        <v>0</v>
      </c>
      <c r="R61" s="44">
        <f t="shared" ref="R61:R64" si="109">+IFERROR(IF(K61/G61&gt;=100%,100%,K61/G61),0)</f>
        <v>0</v>
      </c>
      <c r="S61" s="1109" t="s">
        <v>1688</v>
      </c>
      <c r="T61" s="234"/>
      <c r="U61" s="40" t="s">
        <v>1804</v>
      </c>
      <c r="V61" s="544"/>
      <c r="W61" s="283" t="s">
        <v>1797</v>
      </c>
      <c r="X61" s="947"/>
      <c r="Y61" s="47">
        <f t="shared" ref="Y61:Y64" si="110">SUM(D61:G61)</f>
        <v>3</v>
      </c>
      <c r="Z61" s="47">
        <f t="shared" ref="Z61:Z64" si="111">SUM(H61:N61)</f>
        <v>2</v>
      </c>
      <c r="AA61" s="44">
        <f t="shared" ref="AA61:AA64" si="112">IF(Z61/Y61&gt;=100%,100%,Z61/Y61)</f>
        <v>0.66666666666666663</v>
      </c>
      <c r="AB61" s="48">
        <v>0.27</v>
      </c>
      <c r="AC61" s="48">
        <v>0.5</v>
      </c>
      <c r="AD61" s="48">
        <v>0.27</v>
      </c>
      <c r="AE61" s="48">
        <v>0.27</v>
      </c>
      <c r="AF61" s="43">
        <v>0</v>
      </c>
      <c r="AG61" s="49"/>
      <c r="AH61" s="50"/>
      <c r="AI61" s="50"/>
      <c r="AJ61" s="240">
        <v>395093736.43907392</v>
      </c>
      <c r="AK61" s="240"/>
      <c r="AL61" s="932" t="e">
        <f t="shared" si="11"/>
        <v>#DIV/0!</v>
      </c>
      <c r="AM61" s="50"/>
      <c r="AN61" s="723"/>
      <c r="AO61" s="240">
        <v>185477474.71669087</v>
      </c>
      <c r="AP61" s="240"/>
      <c r="AQ61" s="1155" t="e">
        <f t="shared" si="16"/>
        <v>#DIV/0!</v>
      </c>
      <c r="AR61" s="51">
        <f t="shared" si="17"/>
        <v>0</v>
      </c>
      <c r="AS61" s="51"/>
      <c r="AT61" s="51"/>
      <c r="AU61" s="678"/>
      <c r="AV61" s="674"/>
      <c r="AW61" s="51">
        <f t="shared" si="69"/>
        <v>209616261.72238305</v>
      </c>
      <c r="AX61" s="51"/>
      <c r="AY61" s="43">
        <f t="shared" si="19"/>
        <v>0</v>
      </c>
      <c r="AZ61" s="49">
        <f>900000000+AG61+27729985492</f>
        <v>28629985492</v>
      </c>
      <c r="BA61" s="45">
        <f t="shared" si="88"/>
        <v>395093736.43907392</v>
      </c>
      <c r="BB61" s="52">
        <f t="shared" si="8"/>
        <v>1.3799997787266568E-2</v>
      </c>
      <c r="BC61" s="1170">
        <f t="shared" si="89"/>
        <v>185477474.71669087</v>
      </c>
      <c r="BD61" s="52">
        <f t="shared" si="22"/>
        <v>6.4784341147681801E-3</v>
      </c>
      <c r="BE61" s="50"/>
      <c r="BF61" s="50" t="s">
        <v>76</v>
      </c>
      <c r="BG61" s="45"/>
      <c r="BH61" s="53" t="s">
        <v>235</v>
      </c>
      <c r="BI61" s="1222" t="s">
        <v>245</v>
      </c>
    </row>
    <row r="62" spans="1:61" ht="39" customHeight="1" x14ac:dyDescent="0.25">
      <c r="A62" s="209" t="s">
        <v>246</v>
      </c>
      <c r="B62" s="68" t="s">
        <v>247</v>
      </c>
      <c r="C62" s="40" t="s">
        <v>1778</v>
      </c>
      <c r="D62" s="576">
        <v>0.1</v>
      </c>
      <c r="E62" s="85">
        <v>0.9</v>
      </c>
      <c r="F62" s="85">
        <v>1</v>
      </c>
      <c r="G62" s="749">
        <v>0</v>
      </c>
      <c r="H62" s="85">
        <v>0.1</v>
      </c>
      <c r="I62" s="43">
        <v>0.9</v>
      </c>
      <c r="J62" s="85">
        <v>1</v>
      </c>
      <c r="K62" s="78" t="s">
        <v>163</v>
      </c>
      <c r="L62" s="42"/>
      <c r="M62" s="593"/>
      <c r="N62" s="593"/>
      <c r="O62" s="575">
        <f t="shared" si="108"/>
        <v>1</v>
      </c>
      <c r="P62" s="575">
        <f t="shared" si="108"/>
        <v>1</v>
      </c>
      <c r="Q62" s="575">
        <f t="shared" si="108"/>
        <v>1</v>
      </c>
      <c r="R62" s="44">
        <f t="shared" si="109"/>
        <v>0</v>
      </c>
      <c r="S62" s="424"/>
      <c r="T62" s="234"/>
      <c r="U62" s="543" t="s">
        <v>1804</v>
      </c>
      <c r="V62" s="40"/>
      <c r="W62" s="545"/>
      <c r="X62" s="546"/>
      <c r="Y62" s="43">
        <f t="shared" si="110"/>
        <v>2</v>
      </c>
      <c r="Z62" s="47">
        <f t="shared" si="111"/>
        <v>2</v>
      </c>
      <c r="AA62" s="43">
        <f t="shared" si="112"/>
        <v>1</v>
      </c>
      <c r="AB62" s="48">
        <v>0.33</v>
      </c>
      <c r="AC62" s="48">
        <v>0.5</v>
      </c>
      <c r="AD62" s="48">
        <v>0.33</v>
      </c>
      <c r="AE62" s="48">
        <v>0.33</v>
      </c>
      <c r="AF62" s="43">
        <v>0</v>
      </c>
      <c r="AG62" s="49"/>
      <c r="AH62" s="50"/>
      <c r="AI62" s="50"/>
      <c r="AJ62" s="240">
        <v>25009624635.286507</v>
      </c>
      <c r="AK62" s="240"/>
      <c r="AL62" s="932" t="e">
        <f t="shared" si="11"/>
        <v>#DIV/0!</v>
      </c>
      <c r="AM62" s="50"/>
      <c r="AN62" s="723"/>
      <c r="AO62" s="240">
        <v>11740813870.585377</v>
      </c>
      <c r="AP62" s="240"/>
      <c r="AQ62" s="1155" t="e">
        <f t="shared" si="16"/>
        <v>#DIV/0!</v>
      </c>
      <c r="AR62" s="51">
        <f t="shared" si="17"/>
        <v>0</v>
      </c>
      <c r="AS62" s="51"/>
      <c r="AT62" s="51"/>
      <c r="AU62" s="51"/>
      <c r="AV62" s="51"/>
      <c r="AW62" s="51">
        <f t="shared" si="69"/>
        <v>13268810764.70113</v>
      </c>
      <c r="AX62" s="51"/>
      <c r="AY62" s="43">
        <f t="shared" si="19"/>
        <v>0</v>
      </c>
      <c r="AZ62" s="49">
        <f>4700000000+AG62</f>
        <v>4700000000</v>
      </c>
      <c r="BA62" s="45">
        <f t="shared" si="88"/>
        <v>25009624635.286507</v>
      </c>
      <c r="BB62" s="52">
        <f t="shared" si="8"/>
        <v>5.3211967309120229</v>
      </c>
      <c r="BC62" s="1170">
        <f t="shared" si="89"/>
        <v>11740813870.585377</v>
      </c>
      <c r="BD62" s="52">
        <f t="shared" si="22"/>
        <v>2.4980455043798675</v>
      </c>
      <c r="BE62" s="50"/>
      <c r="BF62" s="50" t="s">
        <v>76</v>
      </c>
      <c r="BG62" s="45"/>
      <c r="BH62" s="53" t="s">
        <v>235</v>
      </c>
      <c r="BI62" s="1223"/>
    </row>
    <row r="63" spans="1:61" ht="280.5" x14ac:dyDescent="0.25">
      <c r="A63" s="39" t="s">
        <v>248</v>
      </c>
      <c r="B63" s="68" t="s">
        <v>249</v>
      </c>
      <c r="C63" s="40" t="s">
        <v>1776</v>
      </c>
      <c r="D63" s="68">
        <v>0</v>
      </c>
      <c r="E63" s="76">
        <v>1</v>
      </c>
      <c r="F63" s="76">
        <v>2</v>
      </c>
      <c r="G63" s="748">
        <v>2</v>
      </c>
      <c r="H63" s="76" t="s">
        <v>163</v>
      </c>
      <c r="I63" s="42">
        <v>7</v>
      </c>
      <c r="J63" s="78">
        <v>4</v>
      </c>
      <c r="K63" s="78">
        <v>1</v>
      </c>
      <c r="L63" s="42"/>
      <c r="M63" s="593"/>
      <c r="N63" s="593"/>
      <c r="O63" s="575">
        <f t="shared" si="108"/>
        <v>0</v>
      </c>
      <c r="P63" s="575">
        <f t="shared" si="108"/>
        <v>1</v>
      </c>
      <c r="Q63" s="575">
        <f t="shared" si="108"/>
        <v>1</v>
      </c>
      <c r="R63" s="44">
        <f t="shared" si="109"/>
        <v>0.5</v>
      </c>
      <c r="S63" s="54" t="s">
        <v>1622</v>
      </c>
      <c r="T63" s="234"/>
      <c r="U63" s="40" t="s">
        <v>1796</v>
      </c>
      <c r="V63" s="40"/>
      <c r="W63" s="283" t="s">
        <v>1758</v>
      </c>
      <c r="X63" s="947" t="s">
        <v>1738</v>
      </c>
      <c r="Y63" s="47">
        <f t="shared" si="110"/>
        <v>5</v>
      </c>
      <c r="Z63" s="47">
        <f t="shared" si="111"/>
        <v>12</v>
      </c>
      <c r="AA63" s="43">
        <f t="shared" si="112"/>
        <v>1</v>
      </c>
      <c r="AB63" s="48">
        <v>0.2</v>
      </c>
      <c r="AC63" s="48">
        <v>0</v>
      </c>
      <c r="AD63" s="48">
        <v>0.2</v>
      </c>
      <c r="AE63" s="48">
        <v>0.2</v>
      </c>
      <c r="AF63" s="43">
        <v>0.5</v>
      </c>
      <c r="AG63" s="49">
        <v>800000000</v>
      </c>
      <c r="AH63" s="50"/>
      <c r="AI63" s="50"/>
      <c r="AJ63" s="240">
        <v>132293186.70925951</v>
      </c>
      <c r="AK63" s="240">
        <v>450425777.77777773</v>
      </c>
      <c r="AL63" s="932">
        <f t="shared" si="11"/>
        <v>0.56303222222222216</v>
      </c>
      <c r="AM63" s="50"/>
      <c r="AN63" s="723"/>
      <c r="AO63" s="240">
        <v>62105277.634136781</v>
      </c>
      <c r="AP63" s="240">
        <v>33065196.444444444</v>
      </c>
      <c r="AQ63" s="1155">
        <f t="shared" si="16"/>
        <v>4.1331495555555556E-2</v>
      </c>
      <c r="AR63" s="51">
        <f t="shared" si="17"/>
        <v>417360581.33333331</v>
      </c>
      <c r="AS63" s="51"/>
      <c r="AT63" s="51"/>
      <c r="AU63" s="51"/>
      <c r="AV63" s="51"/>
      <c r="AW63" s="51">
        <f t="shared" si="69"/>
        <v>70187909.075122729</v>
      </c>
      <c r="AX63" s="51"/>
      <c r="AY63" s="43">
        <f t="shared" si="19"/>
        <v>0</v>
      </c>
      <c r="AZ63" s="49">
        <f>2400000000+AG63</f>
        <v>3200000000</v>
      </c>
      <c r="BA63" s="45">
        <f t="shared" si="88"/>
        <v>582718964.48703718</v>
      </c>
      <c r="BB63" s="52">
        <f t="shared" si="8"/>
        <v>0.18209967640219912</v>
      </c>
      <c r="BC63" s="1170">
        <f t="shared" si="89"/>
        <v>95170474.078581229</v>
      </c>
      <c r="BD63" s="52">
        <f t="shared" si="22"/>
        <v>2.9740773149556633E-2</v>
      </c>
      <c r="BE63" s="50"/>
      <c r="BF63" s="50" t="s">
        <v>76</v>
      </c>
      <c r="BG63" s="45"/>
      <c r="BH63" s="53" t="s">
        <v>235</v>
      </c>
      <c r="BI63" s="1223"/>
    </row>
    <row r="64" spans="1:61" ht="306" x14ac:dyDescent="0.25">
      <c r="A64" s="39" t="s">
        <v>250</v>
      </c>
      <c r="B64" s="68" t="s">
        <v>251</v>
      </c>
      <c r="C64" s="40" t="s">
        <v>1776</v>
      </c>
      <c r="D64" s="68">
        <v>0</v>
      </c>
      <c r="E64" s="76">
        <v>1</v>
      </c>
      <c r="F64" s="76">
        <v>2</v>
      </c>
      <c r="G64" s="748">
        <v>2</v>
      </c>
      <c r="H64" s="76" t="s">
        <v>163</v>
      </c>
      <c r="I64" s="42">
        <v>2</v>
      </c>
      <c r="J64" s="78">
        <v>2</v>
      </c>
      <c r="K64" s="78">
        <v>1</v>
      </c>
      <c r="L64" s="42"/>
      <c r="M64" s="593"/>
      <c r="N64" s="593"/>
      <c r="O64" s="575">
        <f t="shared" si="108"/>
        <v>0</v>
      </c>
      <c r="P64" s="575">
        <f t="shared" si="108"/>
        <v>1</v>
      </c>
      <c r="Q64" s="575">
        <f t="shared" si="108"/>
        <v>1</v>
      </c>
      <c r="R64" s="44">
        <f t="shared" si="109"/>
        <v>0.5</v>
      </c>
      <c r="S64" s="54" t="s">
        <v>1623</v>
      </c>
      <c r="T64" s="234"/>
      <c r="U64" s="40" t="s">
        <v>1796</v>
      </c>
      <c r="V64" s="544"/>
      <c r="W64" s="283" t="s">
        <v>1758</v>
      </c>
      <c r="X64" s="947" t="s">
        <v>1738</v>
      </c>
      <c r="Y64" s="47">
        <f t="shared" si="110"/>
        <v>5</v>
      </c>
      <c r="Z64" s="47">
        <f t="shared" si="111"/>
        <v>5</v>
      </c>
      <c r="AA64" s="44">
        <f t="shared" si="112"/>
        <v>1</v>
      </c>
      <c r="AB64" s="48">
        <v>0.2</v>
      </c>
      <c r="AC64" s="48">
        <v>0</v>
      </c>
      <c r="AD64" s="48">
        <v>0.2</v>
      </c>
      <c r="AE64" s="48">
        <v>0.2</v>
      </c>
      <c r="AF64" s="43">
        <v>0.5</v>
      </c>
      <c r="AG64" s="49">
        <v>100000000</v>
      </c>
      <c r="AH64" s="50"/>
      <c r="AI64" s="50"/>
      <c r="AJ64" s="240">
        <v>114640398.56516169</v>
      </c>
      <c r="AK64" s="240">
        <v>56303222.222222216</v>
      </c>
      <c r="AL64" s="932">
        <f t="shared" si="11"/>
        <v>0.56303222222222216</v>
      </c>
      <c r="AM64" s="50"/>
      <c r="AN64" s="723"/>
      <c r="AO64" s="240">
        <v>53818144.063795023</v>
      </c>
      <c r="AP64" s="240">
        <v>4133149.5555555555</v>
      </c>
      <c r="AQ64" s="1155">
        <f t="shared" si="16"/>
        <v>4.1331495555555556E-2</v>
      </c>
      <c r="AR64" s="51">
        <f t="shared" si="17"/>
        <v>52170072.666666664</v>
      </c>
      <c r="AS64" s="51"/>
      <c r="AT64" s="51"/>
      <c r="AU64" s="51"/>
      <c r="AV64" s="51"/>
      <c r="AW64" s="51">
        <f t="shared" si="69"/>
        <v>60822254.501366667</v>
      </c>
      <c r="AX64" s="51"/>
      <c r="AY64" s="43">
        <f t="shared" si="19"/>
        <v>0</v>
      </c>
      <c r="AZ64" s="49">
        <v>800000000</v>
      </c>
      <c r="BA64" s="45">
        <f t="shared" si="88"/>
        <v>170943620.78738391</v>
      </c>
      <c r="BB64" s="43">
        <f t="shared" si="8"/>
        <v>0.2136795259842299</v>
      </c>
      <c r="BC64" s="591">
        <f t="shared" si="89"/>
        <v>57951293.619350575</v>
      </c>
      <c r="BD64" s="43">
        <f t="shared" si="22"/>
        <v>7.2439117024188218E-2</v>
      </c>
      <c r="BE64" s="50"/>
      <c r="BF64" s="50" t="s">
        <v>76</v>
      </c>
      <c r="BG64" s="45"/>
      <c r="BH64" s="57"/>
      <c r="BI64" s="1224"/>
    </row>
    <row r="65" spans="1:61" ht="42" customHeight="1" x14ac:dyDescent="0.25">
      <c r="A65" s="13" t="s">
        <v>252</v>
      </c>
      <c r="B65" s="14"/>
      <c r="C65" s="14"/>
      <c r="D65" s="14"/>
      <c r="E65" s="15"/>
      <c r="F65" s="15"/>
      <c r="G65" s="740"/>
      <c r="H65" s="15"/>
      <c r="I65" s="15"/>
      <c r="J65" s="15"/>
      <c r="K65" s="15"/>
      <c r="L65" s="15"/>
      <c r="M65" s="15"/>
      <c r="N65" s="15"/>
      <c r="O65" s="683">
        <f>+(O66*AC66)+(O107*AC107)</f>
        <v>0.9724799999999999</v>
      </c>
      <c r="P65" s="683">
        <f>+(P66*AD66)+(P107*AD107)</f>
        <v>0.94728450000000008</v>
      </c>
      <c r="Q65" s="683">
        <f>+(Q66*AE66)+(Q107*AE107)</f>
        <v>0.82988000000000006</v>
      </c>
      <c r="R65" s="683">
        <f>+(R66*AF66)+(R107*AF107)</f>
        <v>0.65664119999999992</v>
      </c>
      <c r="S65" s="22"/>
      <c r="T65" s="13"/>
      <c r="U65" s="17"/>
      <c r="V65" s="17"/>
      <c r="W65" s="17"/>
      <c r="X65" s="14"/>
      <c r="Y65" s="19"/>
      <c r="Z65" s="19"/>
      <c r="AA65" s="20">
        <f>+(AA66*AB66)+(AA107*AB107)</f>
        <v>0.79352915952380954</v>
      </c>
      <c r="AB65" s="20">
        <v>0.35</v>
      </c>
      <c r="AC65" s="20">
        <v>0.35</v>
      </c>
      <c r="AD65" s="20">
        <v>0.35</v>
      </c>
      <c r="AE65" s="20">
        <v>0.35</v>
      </c>
      <c r="AF65" s="20">
        <v>0.35</v>
      </c>
      <c r="AG65" s="86">
        <f>AG66+AG107</f>
        <v>33731470964</v>
      </c>
      <c r="AH65" s="86">
        <f t="shared" ref="AH65:AK65" si="113">AH66+AH107</f>
        <v>3769259577</v>
      </c>
      <c r="AI65" s="86">
        <f t="shared" si="113"/>
        <v>16097354847.26</v>
      </c>
      <c r="AJ65" s="86">
        <f t="shared" si="113"/>
        <v>37245199044.5</v>
      </c>
      <c r="AK65" s="86">
        <f t="shared" si="113"/>
        <v>6717830947</v>
      </c>
      <c r="AL65" s="1139">
        <f t="shared" si="11"/>
        <v>0.1991561813052749</v>
      </c>
      <c r="AM65" s="86">
        <f>+AM66+AM107</f>
        <v>3769259577</v>
      </c>
      <c r="AN65" s="721">
        <f>+AN66+AN107</f>
        <v>7098869826.7799997</v>
      </c>
      <c r="AO65" s="244">
        <f t="shared" ref="AO65" si="114">AO66+AO107</f>
        <v>14516152877.73</v>
      </c>
      <c r="AP65" s="244">
        <f t="shared" ref="AP65" si="115">AP66+AP107</f>
        <v>1132327352</v>
      </c>
      <c r="AQ65" s="1159">
        <f t="shared" si="16"/>
        <v>3.3568869653163934E-2</v>
      </c>
      <c r="AR65" s="86">
        <f t="shared" si="17"/>
        <v>5585503595</v>
      </c>
      <c r="AS65" s="86">
        <f>+AS66+AS107</f>
        <v>2564933639</v>
      </c>
      <c r="AT65" s="86">
        <f>+AT66+AT107</f>
        <v>2490093189</v>
      </c>
      <c r="AU65" s="86">
        <f>+AU66+AU107</f>
        <v>8998485020.4799995</v>
      </c>
      <c r="AV65" s="86">
        <v>2664933639</v>
      </c>
      <c r="AW65" s="21">
        <f t="shared" si="69"/>
        <v>22729046166.77</v>
      </c>
      <c r="AX65" s="21">
        <f t="shared" ref="AX65" si="116">AX66+AX107</f>
        <v>0</v>
      </c>
      <c r="AY65" s="20">
        <f t="shared" si="19"/>
        <v>0</v>
      </c>
      <c r="AZ65" s="14">
        <f>+AZ66+AZ107</f>
        <v>99548790216.999985</v>
      </c>
      <c r="BA65" s="14">
        <f t="shared" ref="BA65" si="117">BA66+BA107</f>
        <v>63829644415.760002</v>
      </c>
      <c r="BB65" s="20">
        <f t="shared" si="8"/>
        <v>0.64118955415351486</v>
      </c>
      <c r="BC65" s="1167">
        <f t="shared" ref="BC65" si="118">BC66+BC107</f>
        <v>30538063659.039997</v>
      </c>
      <c r="BD65" s="20">
        <f t="shared" si="22"/>
        <v>0.30676478933065932</v>
      </c>
      <c r="BE65" s="14"/>
      <c r="BF65" s="14"/>
      <c r="BG65" s="14"/>
      <c r="BH65" s="14"/>
      <c r="BI65" s="620"/>
    </row>
    <row r="66" spans="1:61" ht="32.25" customHeight="1" x14ac:dyDescent="0.25">
      <c r="A66" s="23" t="s">
        <v>253</v>
      </c>
      <c r="B66" s="28"/>
      <c r="C66" s="28"/>
      <c r="D66" s="28"/>
      <c r="E66" s="81"/>
      <c r="F66" s="81"/>
      <c r="G66" s="741"/>
      <c r="H66" s="81"/>
      <c r="I66" s="81"/>
      <c r="J66" s="81"/>
      <c r="K66" s="81"/>
      <c r="L66" s="81"/>
      <c r="M66" s="81"/>
      <c r="N66" s="81"/>
      <c r="O66" s="609">
        <f>+(O67*AC67)+(O72*AC72)+(O77*AC77)+(O86*AC86)+(O91*AC91)+(O103*AC103)</f>
        <v>1</v>
      </c>
      <c r="P66" s="609">
        <f>+(P67*AD67)+(P72*AD72)+(P77*AD77)+(P86*AD86)+(P91*AD91)+(P103*AD103)</f>
        <v>0.90751666666666675</v>
      </c>
      <c r="Q66" s="609">
        <f>+(Q67*AE67)+(Q72*AE72)+(Q77*AE77)+(Q86*AE86)+(Q91*AE91)+(Q103*AE103)</f>
        <v>0.95200000000000018</v>
      </c>
      <c r="R66" s="609">
        <f>+(R67*AF67)+(R72*AF72)+(R77*AF77)+(R86*AF86)+(R91*AF91)+(R103*AF103)</f>
        <v>0.70616000000000012</v>
      </c>
      <c r="S66" s="31"/>
      <c r="T66" s="23"/>
      <c r="U66" s="28"/>
      <c r="V66" s="28"/>
      <c r="W66" s="28"/>
      <c r="X66" s="28"/>
      <c r="Y66" s="83"/>
      <c r="Z66" s="83"/>
      <c r="AA66" s="26">
        <f>+(AA67*AB67)+(AA72*AB72)+(AA77*AB77)+(AA86*AB86)+(AA91*AB91)+(AA103*AB103)</f>
        <v>0.80788000000000015</v>
      </c>
      <c r="AB66" s="26">
        <v>0.56999999999999995</v>
      </c>
      <c r="AC66" s="26">
        <v>0.56999999999999995</v>
      </c>
      <c r="AD66" s="26">
        <v>0.56999999999999995</v>
      </c>
      <c r="AE66" s="26">
        <v>0.56999999999999995</v>
      </c>
      <c r="AF66" s="26">
        <v>0.56999999999999995</v>
      </c>
      <c r="AG66" s="87">
        <f>AG67+AG72+AG77+AG86+AG91+AG103</f>
        <v>23113174784</v>
      </c>
      <c r="AH66" s="87">
        <f>AH67+AH72+AH77+AH86+AH91+AH103</f>
        <v>2105594404</v>
      </c>
      <c r="AI66" s="87">
        <f t="shared" ref="AI66:AK66" si="119">AI67+AI72+AI77+AI86+AI91+AI103</f>
        <v>11165772211</v>
      </c>
      <c r="AJ66" s="87">
        <f t="shared" si="119"/>
        <v>28685450081</v>
      </c>
      <c r="AK66" s="87">
        <f t="shared" si="119"/>
        <v>2139422682</v>
      </c>
      <c r="AL66" s="1134">
        <f t="shared" si="11"/>
        <v>9.2562908470756974E-2</v>
      </c>
      <c r="AM66" s="87">
        <f>+AM67+AM72+AM77+AM86+AM91+AM103</f>
        <v>2105594404</v>
      </c>
      <c r="AN66" s="722">
        <f>+AN67+AN72+AN77+AN86+AN91+AN103</f>
        <v>3483287190.5199995</v>
      </c>
      <c r="AO66" s="243">
        <f t="shared" ref="AO66" si="120">AO67+AO72+AO77+AO86+AO91+AO103</f>
        <v>10992062097.74</v>
      </c>
      <c r="AP66" s="243">
        <f t="shared" ref="AP66" si="121">AP67+AP72+AP77+AP86+AP91+AP103</f>
        <v>248385497</v>
      </c>
      <c r="AQ66" s="1153">
        <f t="shared" si="16"/>
        <v>1.0746489797323034E-2</v>
      </c>
      <c r="AR66" s="87">
        <f t="shared" si="17"/>
        <v>1891037185</v>
      </c>
      <c r="AS66" s="87">
        <f>+AS67+AS72+AS77+AS86+AS91+AS103</f>
        <v>502530071</v>
      </c>
      <c r="AT66" s="87">
        <f>+AT67+AT72+AT77+AT86+AT91+AT103</f>
        <v>474740371</v>
      </c>
      <c r="AU66" s="87">
        <f>+AU67+AU72+AU77+AU86+AU91+AU103</f>
        <v>7682485020.4800005</v>
      </c>
      <c r="AV66" s="87">
        <f>+AV67+AV72+AV77+AV86+AV91+AV103</f>
        <v>1531360836.53</v>
      </c>
      <c r="AW66" s="29">
        <f t="shared" si="69"/>
        <v>17693387983.260002</v>
      </c>
      <c r="AX66" s="29">
        <f t="shared" ref="AX66" si="122">AX67+AX72+AX77+AX86+AX91+AX103</f>
        <v>0</v>
      </c>
      <c r="AY66" s="26">
        <f t="shared" si="19"/>
        <v>0</v>
      </c>
      <c r="AZ66" s="28">
        <f>+AZ67+AZ72+AZ77+AZ86+AZ91+AZ103</f>
        <v>71779293134</v>
      </c>
      <c r="BA66" s="28">
        <f t="shared" ref="BA66" si="123">BA67+BA72+BA77+BA86+BA91+BA103</f>
        <v>44096239378</v>
      </c>
      <c r="BB66" s="26">
        <f t="shared" si="8"/>
        <v>0.61433092264756151</v>
      </c>
      <c r="BC66" s="1168">
        <f t="shared" ref="BC66" si="124">BC67+BC72+BC77+BC86+BC91+BC103</f>
        <v>18835430396.789997</v>
      </c>
      <c r="BD66" s="26">
        <f t="shared" si="22"/>
        <v>0.26240757709368051</v>
      </c>
      <c r="BE66" s="28"/>
      <c r="BF66" s="28" t="s">
        <v>68</v>
      </c>
      <c r="BG66" s="28"/>
      <c r="BH66" s="28"/>
      <c r="BI66" s="615"/>
    </row>
    <row r="67" spans="1:61" ht="49.5" customHeight="1" x14ac:dyDescent="0.25">
      <c r="A67" s="32" t="s">
        <v>254</v>
      </c>
      <c r="B67" s="33"/>
      <c r="C67" s="33"/>
      <c r="D67" s="33"/>
      <c r="E67" s="34"/>
      <c r="F67" s="34"/>
      <c r="G67" s="745"/>
      <c r="H67" s="34"/>
      <c r="I67" s="34"/>
      <c r="J67" s="34"/>
      <c r="K67" s="34"/>
      <c r="L67" s="34"/>
      <c r="M67" s="34"/>
      <c r="N67" s="34"/>
      <c r="O67" s="607">
        <f>+SUMPRODUCT(O68:O71,AC68:AC71)</f>
        <v>1</v>
      </c>
      <c r="P67" s="607">
        <f>+SUMPRODUCT(P68:P71,AD68:AD71)</f>
        <v>1</v>
      </c>
      <c r="Q67" s="607">
        <f>+SUMPRODUCT(Q68:Q71,AE68:AE71)</f>
        <v>1</v>
      </c>
      <c r="R67" s="607">
        <f>+SUMPRODUCT(R68:R71,AF68:AF71)</f>
        <v>0.75</v>
      </c>
      <c r="S67" s="38"/>
      <c r="T67" s="32"/>
      <c r="U67" s="33"/>
      <c r="V67" s="33"/>
      <c r="W67" s="33"/>
      <c r="X67" s="33"/>
      <c r="Y67" s="36"/>
      <c r="Z67" s="36"/>
      <c r="AA67" s="35">
        <f>+SUMPRODUCT(AA68:AA71,AB68:AB71)</f>
        <v>0.96500000000000008</v>
      </c>
      <c r="AB67" s="35">
        <v>0.1</v>
      </c>
      <c r="AC67" s="35">
        <v>0.1</v>
      </c>
      <c r="AD67" s="35">
        <v>0.1</v>
      </c>
      <c r="AE67" s="35">
        <v>0.1</v>
      </c>
      <c r="AF67" s="35">
        <v>0.1</v>
      </c>
      <c r="AG67" s="88">
        <f>SUM(AG68:AG71)</f>
        <v>3058061464</v>
      </c>
      <c r="AH67" s="88">
        <v>8919489</v>
      </c>
      <c r="AI67" s="88">
        <v>8651645903</v>
      </c>
      <c r="AJ67" s="88">
        <f t="shared" ref="AJ67:AK67" si="125">SUM(AJ68:AJ71)</f>
        <v>7256867163</v>
      </c>
      <c r="AK67" s="88">
        <f t="shared" si="125"/>
        <v>243786949</v>
      </c>
      <c r="AL67" s="1138">
        <f t="shared" si="11"/>
        <v>7.9719440524626414E-2</v>
      </c>
      <c r="AM67" s="732">
        <v>8919489</v>
      </c>
      <c r="AN67" s="725">
        <v>1604736545.3199999</v>
      </c>
      <c r="AO67" s="242">
        <f t="shared" ref="AO67" si="126">SUM(AO68:AO71)</f>
        <v>5212329820</v>
      </c>
      <c r="AP67" s="242">
        <f t="shared" ref="AP67" si="127">SUM(AP68:AP71)</f>
        <v>134107467</v>
      </c>
      <c r="AQ67" s="1158">
        <f t="shared" si="16"/>
        <v>4.3853751331925483E-2</v>
      </c>
      <c r="AR67" s="37">
        <f t="shared" si="17"/>
        <v>109679482</v>
      </c>
      <c r="AS67" s="37"/>
      <c r="AT67" s="37"/>
      <c r="AU67" s="530">
        <f>+AI67-AN67</f>
        <v>7046909357.6800003</v>
      </c>
      <c r="AV67" s="679">
        <v>1531255702.3099999</v>
      </c>
      <c r="AW67" s="37">
        <f t="shared" si="69"/>
        <v>2044537343</v>
      </c>
      <c r="AX67" s="37">
        <f t="shared" ref="AX67" si="128">SUM(AX68:AX71)</f>
        <v>0</v>
      </c>
      <c r="AY67" s="35">
        <f t="shared" si="19"/>
        <v>0</v>
      </c>
      <c r="AZ67" s="33">
        <f>SUM(AZ68:AZ71)-1000000000</f>
        <v>19756834783</v>
      </c>
      <c r="BA67" s="33">
        <f t="shared" ref="BA67:BA106" si="129">SUM(AH67:AK67)</f>
        <v>16161219504</v>
      </c>
      <c r="BB67" s="35">
        <f t="shared" ref="BB67:BB106" si="130">+BA67/AZ67</f>
        <v>0.81800651174681638</v>
      </c>
      <c r="BC67" s="1172">
        <f t="shared" ref="BC67:BC106" si="131">SUM(AM67:AP67)+AT67+AV67+AX67</f>
        <v>8491349023.6299992</v>
      </c>
      <c r="BD67" s="35">
        <f t="shared" ref="BD67:BD106" si="132">+BC67/AZ67</f>
        <v>0.42979298642191816</v>
      </c>
      <c r="BE67" s="33"/>
      <c r="BF67" s="33" t="s">
        <v>68</v>
      </c>
      <c r="BG67" s="33"/>
      <c r="BH67" s="33"/>
      <c r="BI67" s="618"/>
    </row>
    <row r="68" spans="1:61" ht="56.25" customHeight="1" x14ac:dyDescent="0.25">
      <c r="A68" s="931" t="s">
        <v>255</v>
      </c>
      <c r="B68" s="68" t="s">
        <v>256</v>
      </c>
      <c r="C68" s="40" t="s">
        <v>1776</v>
      </c>
      <c r="D68" s="68">
        <v>1</v>
      </c>
      <c r="E68" s="76">
        <v>2</v>
      </c>
      <c r="F68" s="76">
        <v>2</v>
      </c>
      <c r="G68" s="748">
        <v>0</v>
      </c>
      <c r="H68" s="76">
        <v>1</v>
      </c>
      <c r="I68" s="42">
        <v>2</v>
      </c>
      <c r="J68" s="42">
        <v>2</v>
      </c>
      <c r="K68" s="42" t="s">
        <v>163</v>
      </c>
      <c r="L68" s="42"/>
      <c r="M68" s="593"/>
      <c r="N68" s="593"/>
      <c r="O68" s="575">
        <f t="shared" ref="O68:Q106" si="133">+IFERROR(IF((H68+L68)/D68&gt;=100%,100%,(H68+L68)/D68),0)</f>
        <v>1</v>
      </c>
      <c r="P68" s="575">
        <f t="shared" si="133"/>
        <v>1</v>
      </c>
      <c r="Q68" s="575">
        <f t="shared" si="133"/>
        <v>1</v>
      </c>
      <c r="R68" s="44">
        <f t="shared" ref="R68:R106" si="134">+IFERROR(IF(K68/G68&gt;=100%,100%,K68/G68),0)</f>
        <v>0</v>
      </c>
      <c r="S68" s="54"/>
      <c r="T68" s="234"/>
      <c r="U68" s="543" t="s">
        <v>1804</v>
      </c>
      <c r="V68" s="544"/>
      <c r="W68" s="45"/>
      <c r="X68" s="547"/>
      <c r="Y68" s="47">
        <f t="shared" ref="Y68:Y71" si="135">SUM(D68:G68)</f>
        <v>5</v>
      </c>
      <c r="Z68" s="47">
        <f t="shared" ref="Z68:Z71" si="136">SUM(H68:N68)</f>
        <v>5</v>
      </c>
      <c r="AA68" s="44">
        <f t="shared" ref="AA68:AA71" si="137">IF(Z68/Y68&gt;=100%,100%,Z68/Y68)</f>
        <v>1</v>
      </c>
      <c r="AB68" s="48">
        <v>0.55000000000000004</v>
      </c>
      <c r="AC68" s="48">
        <v>1</v>
      </c>
      <c r="AD68" s="48">
        <v>0.55000000000000004</v>
      </c>
      <c r="AE68" s="43">
        <v>1</v>
      </c>
      <c r="AF68" s="43">
        <v>0</v>
      </c>
      <c r="AG68" s="49"/>
      <c r="AH68" s="50"/>
      <c r="AI68" s="50"/>
      <c r="AJ68" s="240">
        <v>7256867163</v>
      </c>
      <c r="AK68" s="240"/>
      <c r="AL68" s="932" t="e">
        <f t="shared" si="11"/>
        <v>#DIV/0!</v>
      </c>
      <c r="AM68" s="50"/>
      <c r="AN68" s="723"/>
      <c r="AO68" s="240">
        <v>5212329820</v>
      </c>
      <c r="AP68" s="240"/>
      <c r="AQ68" s="1155" t="e">
        <f t="shared" si="16"/>
        <v>#DIV/0!</v>
      </c>
      <c r="AR68" s="51">
        <f t="shared" si="17"/>
        <v>0</v>
      </c>
      <c r="AS68" s="51"/>
      <c r="AT68" s="51"/>
      <c r="AU68" s="51"/>
      <c r="AV68" s="51"/>
      <c r="AW68" s="51">
        <f t="shared" si="69"/>
        <v>2044537343</v>
      </c>
      <c r="AX68" s="51"/>
      <c r="AY68" s="43">
        <f t="shared" si="19"/>
        <v>0</v>
      </c>
      <c r="AZ68" s="49">
        <f>1600000000+AG68</f>
        <v>1600000000</v>
      </c>
      <c r="BA68" s="45">
        <f t="shared" si="129"/>
        <v>7256867163</v>
      </c>
      <c r="BB68" s="52">
        <f t="shared" si="130"/>
        <v>4.5355419768749998</v>
      </c>
      <c r="BC68" s="1170">
        <f t="shared" si="131"/>
        <v>5212329820</v>
      </c>
      <c r="BD68" s="52">
        <f t="shared" si="132"/>
        <v>3.2577061375</v>
      </c>
      <c r="BE68" s="50"/>
      <c r="BF68" s="50" t="s">
        <v>68</v>
      </c>
      <c r="BG68" s="45"/>
      <c r="BH68" s="90" t="s">
        <v>258</v>
      </c>
      <c r="BI68" s="1222" t="s">
        <v>259</v>
      </c>
    </row>
    <row r="69" spans="1:61" ht="84.75" customHeight="1" x14ac:dyDescent="0.25">
      <c r="A69" s="842" t="s">
        <v>260</v>
      </c>
      <c r="B69" s="68" t="s">
        <v>261</v>
      </c>
      <c r="C69" s="40" t="s">
        <v>1776</v>
      </c>
      <c r="D69" s="68">
        <v>0</v>
      </c>
      <c r="E69" s="76">
        <v>1</v>
      </c>
      <c r="F69" s="76">
        <v>0</v>
      </c>
      <c r="G69" s="748">
        <v>1</v>
      </c>
      <c r="H69" s="42" t="s">
        <v>163</v>
      </c>
      <c r="I69" s="42">
        <v>2</v>
      </c>
      <c r="J69" s="42" t="s">
        <v>163</v>
      </c>
      <c r="K69" s="42">
        <v>1</v>
      </c>
      <c r="L69" s="42"/>
      <c r="M69" s="593"/>
      <c r="N69" s="593"/>
      <c r="O69" s="575">
        <f t="shared" si="133"/>
        <v>0</v>
      </c>
      <c r="P69" s="575">
        <f t="shared" si="133"/>
        <v>1</v>
      </c>
      <c r="Q69" s="575">
        <f t="shared" si="133"/>
        <v>0</v>
      </c>
      <c r="R69" s="44">
        <f t="shared" si="134"/>
        <v>1</v>
      </c>
      <c r="S69" s="293" t="s">
        <v>1707</v>
      </c>
      <c r="T69" s="236"/>
      <c r="U69" s="40" t="s">
        <v>1796</v>
      </c>
      <c r="V69" s="40"/>
      <c r="W69" s="283" t="s">
        <v>1758</v>
      </c>
      <c r="X69" s="45" t="s">
        <v>1739</v>
      </c>
      <c r="Y69" s="47">
        <f t="shared" si="135"/>
        <v>2</v>
      </c>
      <c r="Z69" s="47">
        <f t="shared" si="136"/>
        <v>3</v>
      </c>
      <c r="AA69" s="44">
        <f t="shared" si="137"/>
        <v>1</v>
      </c>
      <c r="AB69" s="48">
        <v>0.3</v>
      </c>
      <c r="AC69" s="48">
        <v>0</v>
      </c>
      <c r="AD69" s="48">
        <v>0.3</v>
      </c>
      <c r="AE69" s="43">
        <v>0</v>
      </c>
      <c r="AF69" s="43">
        <v>0.49</v>
      </c>
      <c r="AG69" s="49">
        <f>'Anexo 2 Mat Inf Gastos 23'!N127+'Anexo 2 Mat Inf Gastos 23'!N131</f>
        <v>2858061464</v>
      </c>
      <c r="AH69" s="50"/>
      <c r="AI69" s="50"/>
      <c r="AJ69" s="276"/>
      <c r="AK69" s="240">
        <f>'Anexo 2 Mat Inf Gastos 23'!S127</f>
        <v>127189242</v>
      </c>
      <c r="AL69" s="932">
        <f t="shared" si="11"/>
        <v>4.4501926778716748E-2</v>
      </c>
      <c r="AM69" s="50"/>
      <c r="AN69" s="723"/>
      <c r="AO69" s="276"/>
      <c r="AP69" s="240">
        <f>'Anexo 2 Mat Inf Gastos 23'!T127</f>
        <v>121067627</v>
      </c>
      <c r="AQ69" s="1155">
        <f t="shared" si="16"/>
        <v>4.2360050168606174E-2</v>
      </c>
      <c r="AR69" s="51">
        <f t="shared" si="17"/>
        <v>6121615</v>
      </c>
      <c r="AS69" s="51"/>
      <c r="AT69" s="51"/>
      <c r="AU69" s="51"/>
      <c r="AV69" s="51"/>
      <c r="AW69" s="51">
        <f t="shared" si="69"/>
        <v>0</v>
      </c>
      <c r="AX69" s="51">
        <f>'Anexo 2 Mat Inf Gastos 23'!AB127</f>
        <v>0</v>
      </c>
      <c r="AY69" s="43" t="e">
        <f t="shared" si="19"/>
        <v>#DIV/0!</v>
      </c>
      <c r="AZ69" s="49">
        <f>738057118+AG69+14998773319</f>
        <v>18594891901</v>
      </c>
      <c r="BA69" s="45">
        <f t="shared" si="129"/>
        <v>127189242</v>
      </c>
      <c r="BB69" s="52">
        <f t="shared" si="130"/>
        <v>6.8400097552145482E-3</v>
      </c>
      <c r="BC69" s="1170">
        <f t="shared" si="131"/>
        <v>121067627</v>
      </c>
      <c r="BD69" s="52">
        <f t="shared" si="132"/>
        <v>6.5108002587253118E-3</v>
      </c>
      <c r="BE69" s="50"/>
      <c r="BF69" s="50" t="s">
        <v>68</v>
      </c>
      <c r="BG69" s="45" t="s">
        <v>90</v>
      </c>
      <c r="BH69" s="57"/>
      <c r="BI69" s="1223"/>
    </row>
    <row r="70" spans="1:61" ht="89.25" x14ac:dyDescent="0.25">
      <c r="A70" s="841" t="s">
        <v>262</v>
      </c>
      <c r="B70" s="68" t="s">
        <v>263</v>
      </c>
      <c r="C70" s="40" t="s">
        <v>1776</v>
      </c>
      <c r="D70" s="68">
        <v>0</v>
      </c>
      <c r="E70" s="76">
        <v>1</v>
      </c>
      <c r="F70" s="76">
        <v>0</v>
      </c>
      <c r="G70" s="748">
        <v>1</v>
      </c>
      <c r="H70" s="42" t="s">
        <v>163</v>
      </c>
      <c r="I70" s="42">
        <v>1</v>
      </c>
      <c r="J70" s="42" t="s">
        <v>163</v>
      </c>
      <c r="K70" s="42">
        <v>1</v>
      </c>
      <c r="L70" s="42"/>
      <c r="M70" s="593"/>
      <c r="N70" s="593"/>
      <c r="O70" s="575">
        <f t="shared" si="133"/>
        <v>0</v>
      </c>
      <c r="P70" s="575">
        <f t="shared" si="133"/>
        <v>1</v>
      </c>
      <c r="Q70" s="575">
        <f t="shared" si="133"/>
        <v>0</v>
      </c>
      <c r="R70" s="44">
        <f t="shared" si="134"/>
        <v>1</v>
      </c>
      <c r="S70" s="1106" t="s">
        <v>1708</v>
      </c>
      <c r="T70" s="103"/>
      <c r="U70" s="40" t="s">
        <v>1796</v>
      </c>
      <c r="V70" s="40"/>
      <c r="W70" s="283" t="s">
        <v>1801</v>
      </c>
      <c r="X70" s="45" t="s">
        <v>1859</v>
      </c>
      <c r="Y70" s="47">
        <f t="shared" si="135"/>
        <v>2</v>
      </c>
      <c r="Z70" s="47">
        <f t="shared" si="136"/>
        <v>2</v>
      </c>
      <c r="AA70" s="44">
        <f t="shared" si="137"/>
        <v>1</v>
      </c>
      <c r="AB70" s="48">
        <v>0.08</v>
      </c>
      <c r="AC70" s="48">
        <v>0</v>
      </c>
      <c r="AD70" s="48">
        <v>0.08</v>
      </c>
      <c r="AE70" s="43">
        <v>0</v>
      </c>
      <c r="AF70" s="43">
        <v>0.26</v>
      </c>
      <c r="AG70" s="49">
        <f>'Anexo 2 Mat Inf Gastos 23'!R95</f>
        <v>200000000</v>
      </c>
      <c r="AH70" s="50"/>
      <c r="AI70" s="50"/>
      <c r="AJ70" s="276"/>
      <c r="AK70" s="240">
        <f>'Anexo 2 Mat Inf Gastos 23'!S95</f>
        <v>116597707</v>
      </c>
      <c r="AL70" s="932">
        <f t="shared" si="11"/>
        <v>0.58298853500000003</v>
      </c>
      <c r="AM70" s="50"/>
      <c r="AN70" s="723"/>
      <c r="AO70" s="276"/>
      <c r="AP70" s="240">
        <f>'Anexo 2 Mat Inf Gastos 23'!T95</f>
        <v>13039840</v>
      </c>
      <c r="AQ70" s="1155">
        <f t="shared" si="16"/>
        <v>6.5199199999999999E-2</v>
      </c>
      <c r="AR70" s="51">
        <f t="shared" si="17"/>
        <v>103557867</v>
      </c>
      <c r="AS70" s="51"/>
      <c r="AT70" s="51"/>
      <c r="AU70" s="51"/>
      <c r="AV70" s="51"/>
      <c r="AW70" s="51">
        <f t="shared" si="69"/>
        <v>0</v>
      </c>
      <c r="AX70" s="51">
        <f>'Anexo 2 Mat Inf Gastos 23'!AB95</f>
        <v>0</v>
      </c>
      <c r="AY70" s="43" t="e">
        <f t="shared" si="19"/>
        <v>#DIV/0!</v>
      </c>
      <c r="AZ70" s="49">
        <f>300000000+AG70</f>
        <v>500000000</v>
      </c>
      <c r="BA70" s="45">
        <f t="shared" si="129"/>
        <v>116597707</v>
      </c>
      <c r="BB70" s="52">
        <f t="shared" si="130"/>
        <v>0.23319541399999999</v>
      </c>
      <c r="BC70" s="1170">
        <f t="shared" si="131"/>
        <v>13039840</v>
      </c>
      <c r="BD70" s="52">
        <f t="shared" si="132"/>
        <v>2.6079680000000001E-2</v>
      </c>
      <c r="BE70" s="50"/>
      <c r="BF70" s="50" t="s">
        <v>68</v>
      </c>
      <c r="BG70" s="45"/>
      <c r="BH70" s="90" t="s">
        <v>258</v>
      </c>
      <c r="BI70" s="1223"/>
    </row>
    <row r="71" spans="1:61" ht="45" customHeight="1" x14ac:dyDescent="0.25">
      <c r="A71" s="841" t="s">
        <v>264</v>
      </c>
      <c r="B71" s="68" t="s">
        <v>265</v>
      </c>
      <c r="C71" s="40" t="s">
        <v>1776</v>
      </c>
      <c r="D71" s="68">
        <v>0</v>
      </c>
      <c r="E71" s="76">
        <v>1</v>
      </c>
      <c r="F71" s="76">
        <v>0</v>
      </c>
      <c r="G71" s="748">
        <v>1</v>
      </c>
      <c r="H71" s="42" t="s">
        <v>163</v>
      </c>
      <c r="I71" s="42">
        <v>1</v>
      </c>
      <c r="J71" s="42" t="s">
        <v>163</v>
      </c>
      <c r="K71" s="42">
        <v>0</v>
      </c>
      <c r="L71" s="42"/>
      <c r="M71" s="593"/>
      <c r="N71" s="593"/>
      <c r="O71" s="575">
        <f t="shared" si="133"/>
        <v>0</v>
      </c>
      <c r="P71" s="575">
        <f t="shared" si="133"/>
        <v>1</v>
      </c>
      <c r="Q71" s="575">
        <f t="shared" si="133"/>
        <v>0</v>
      </c>
      <c r="R71" s="44">
        <f t="shared" si="134"/>
        <v>0</v>
      </c>
      <c r="S71" s="293"/>
      <c r="T71" s="103"/>
      <c r="U71" s="46"/>
      <c r="V71" s="40"/>
      <c r="W71" s="45"/>
      <c r="X71" s="45"/>
      <c r="Y71" s="47">
        <f t="shared" si="135"/>
        <v>2</v>
      </c>
      <c r="Z71" s="47">
        <f t="shared" si="136"/>
        <v>1</v>
      </c>
      <c r="AA71" s="44">
        <f t="shared" si="137"/>
        <v>0.5</v>
      </c>
      <c r="AB71" s="48">
        <v>7.0000000000000007E-2</v>
      </c>
      <c r="AC71" s="48">
        <v>0</v>
      </c>
      <c r="AD71" s="48">
        <v>7.0000000000000007E-2</v>
      </c>
      <c r="AE71" s="43">
        <v>0</v>
      </c>
      <c r="AF71" s="43">
        <v>0.25</v>
      </c>
      <c r="AG71" s="49"/>
      <c r="AH71" s="50"/>
      <c r="AI71" s="50"/>
      <c r="AJ71" s="276"/>
      <c r="AK71" s="276"/>
      <c r="AL71" s="932" t="e">
        <f t="shared" si="11"/>
        <v>#DIV/0!</v>
      </c>
      <c r="AM71" s="50"/>
      <c r="AN71" s="723"/>
      <c r="AO71" s="276"/>
      <c r="AP71" s="276"/>
      <c r="AQ71" s="1155" t="e">
        <f t="shared" si="16"/>
        <v>#DIV/0!</v>
      </c>
      <c r="AR71" s="51">
        <f t="shared" si="17"/>
        <v>0</v>
      </c>
      <c r="AS71" s="51"/>
      <c r="AT71" s="51"/>
      <c r="AU71" s="51"/>
      <c r="AV71" s="51"/>
      <c r="AW71" s="51">
        <f t="shared" ref="AW71:AW101" si="138">+AJ71-AO71</f>
        <v>0</v>
      </c>
      <c r="AX71" s="51"/>
      <c r="AY71" s="43" t="e">
        <f t="shared" si="19"/>
        <v>#DIV/0!</v>
      </c>
      <c r="AZ71" s="49">
        <f>61942882+AG71</f>
        <v>61942882</v>
      </c>
      <c r="BA71" s="45">
        <f t="shared" si="129"/>
        <v>0</v>
      </c>
      <c r="BB71" s="52">
        <f t="shared" si="130"/>
        <v>0</v>
      </c>
      <c r="BC71" s="1170">
        <f t="shared" si="131"/>
        <v>0</v>
      </c>
      <c r="BD71" s="52">
        <f t="shared" si="132"/>
        <v>0</v>
      </c>
      <c r="BE71" s="50"/>
      <c r="BF71" s="50" t="s">
        <v>68</v>
      </c>
      <c r="BG71" s="45"/>
      <c r="BH71" s="57"/>
      <c r="BI71" s="1224"/>
    </row>
    <row r="72" spans="1:61" ht="75.75" customHeight="1" x14ac:dyDescent="0.25">
      <c r="A72" s="32" t="s">
        <v>266</v>
      </c>
      <c r="B72" s="33"/>
      <c r="C72" s="33"/>
      <c r="D72" s="33"/>
      <c r="E72" s="34"/>
      <c r="F72" s="34"/>
      <c r="G72" s="745"/>
      <c r="H72" s="34"/>
      <c r="I72" s="34"/>
      <c r="J72" s="34"/>
      <c r="K72" s="34"/>
      <c r="L72" s="34"/>
      <c r="M72" s="34"/>
      <c r="N72" s="34"/>
      <c r="O72" s="607">
        <f>+SUMPRODUCT(O73:O76,AC73:AC76)</f>
        <v>1</v>
      </c>
      <c r="P72" s="607">
        <f>+SUMPRODUCT(P73:P76,AD73:AD76)</f>
        <v>1</v>
      </c>
      <c r="Q72" s="607">
        <f>+SUMPRODUCT(Q73:Q76,AE73:AE76)</f>
        <v>0.99999999999999989</v>
      </c>
      <c r="R72" s="607">
        <f>+SUMPRODUCT(R73:R76,AF73:AF76)</f>
        <v>0.5</v>
      </c>
      <c r="S72" s="35"/>
      <c r="T72" s="35"/>
      <c r="U72" s="35"/>
      <c r="V72" s="35"/>
      <c r="W72" s="35"/>
      <c r="X72" s="35"/>
      <c r="Y72" s="35">
        <f>+SUMPRODUCT(Y73:Y76,AS73:AS76)</f>
        <v>0</v>
      </c>
      <c r="Z72" s="35">
        <f>+SUMPRODUCT(Z73:Z76,AT73:AT76)</f>
        <v>0</v>
      </c>
      <c r="AA72" s="35">
        <f>+SUMPRODUCT(AA73:AA76,AU73:AU76)</f>
        <v>0</v>
      </c>
      <c r="AB72" s="35">
        <v>0.1</v>
      </c>
      <c r="AC72" s="35">
        <v>0.1</v>
      </c>
      <c r="AD72" s="35">
        <v>0.1</v>
      </c>
      <c r="AE72" s="35">
        <v>0.1</v>
      </c>
      <c r="AF72" s="35">
        <v>0.1</v>
      </c>
      <c r="AG72" s="88">
        <f>SUM(AG73:AG76)</f>
        <v>4066687778</v>
      </c>
      <c r="AH72" s="33">
        <v>5000000</v>
      </c>
      <c r="AI72" s="33">
        <v>393095718</v>
      </c>
      <c r="AJ72" s="88">
        <f t="shared" ref="AJ72:AK72" si="139">SUM(AJ73:AJ76)</f>
        <v>11224814677.999998</v>
      </c>
      <c r="AK72" s="88">
        <f t="shared" si="139"/>
        <v>78385350</v>
      </c>
      <c r="AL72" s="1138">
        <f t="shared" ref="AL72:AL135" si="140">+AK72/AG72</f>
        <v>1.9274986003117743E-2</v>
      </c>
      <c r="AM72" s="733">
        <v>5000000</v>
      </c>
      <c r="AN72" s="725">
        <v>293095718</v>
      </c>
      <c r="AO72" s="242">
        <f t="shared" ref="AO72" si="141">SUM(AO73:AO76)</f>
        <v>18704000</v>
      </c>
      <c r="AP72" s="242">
        <f t="shared" ref="AP72" si="142">SUM(AP73:AP76)</f>
        <v>385350</v>
      </c>
      <c r="AQ72" s="1158">
        <f t="shared" ref="AQ72:AQ135" si="143">+AP72/AG72</f>
        <v>9.4757704804551135E-5</v>
      </c>
      <c r="AR72" s="673">
        <f t="shared" ref="AR72:AR135" si="144">+AK72-AP72</f>
        <v>78000000</v>
      </c>
      <c r="AS72" s="673">
        <v>0</v>
      </c>
      <c r="AT72" s="673">
        <v>0</v>
      </c>
      <c r="AU72" s="530">
        <f>+AI72-AN72</f>
        <v>100000000</v>
      </c>
      <c r="AV72" s="679">
        <v>0</v>
      </c>
      <c r="AW72" s="37">
        <f t="shared" si="138"/>
        <v>11206110677.999998</v>
      </c>
      <c r="AX72" s="37">
        <f t="shared" ref="AX72" si="145">SUM(AX73:AX76)</f>
        <v>0</v>
      </c>
      <c r="AY72" s="35">
        <f t="shared" ref="AY72:AY135" si="146">+AX72/AW72</f>
        <v>0</v>
      </c>
      <c r="AZ72" s="33">
        <f>SUM(AZ73:AZ76)-200000000</f>
        <v>15859446433</v>
      </c>
      <c r="BA72" s="33">
        <f t="shared" si="129"/>
        <v>11701295745.999998</v>
      </c>
      <c r="BB72" s="35">
        <f t="shared" si="130"/>
        <v>0.73781236914121984</v>
      </c>
      <c r="BC72" s="1172">
        <f t="shared" si="131"/>
        <v>317185068</v>
      </c>
      <c r="BD72" s="35">
        <f t="shared" si="132"/>
        <v>1.999975657031812E-2</v>
      </c>
      <c r="BE72" s="33"/>
      <c r="BF72" s="33" t="s">
        <v>68</v>
      </c>
      <c r="BG72" s="33"/>
      <c r="BH72" s="33"/>
      <c r="BI72" s="618"/>
    </row>
    <row r="73" spans="1:61" ht="52.5" customHeight="1" x14ac:dyDescent="0.25">
      <c r="A73" s="841" t="s">
        <v>267</v>
      </c>
      <c r="B73" s="91" t="s">
        <v>268</v>
      </c>
      <c r="C73" s="40" t="s">
        <v>1776</v>
      </c>
      <c r="D73" s="91">
        <v>1</v>
      </c>
      <c r="E73" s="76">
        <v>1</v>
      </c>
      <c r="F73" s="76">
        <v>1</v>
      </c>
      <c r="G73" s="748">
        <v>0</v>
      </c>
      <c r="H73" s="76">
        <v>1</v>
      </c>
      <c r="I73" s="42">
        <v>4</v>
      </c>
      <c r="J73" s="42">
        <v>2</v>
      </c>
      <c r="K73" s="42" t="s">
        <v>163</v>
      </c>
      <c r="L73" s="42"/>
      <c r="M73" s="593"/>
      <c r="N73" s="593"/>
      <c r="O73" s="575">
        <f t="shared" si="133"/>
        <v>1</v>
      </c>
      <c r="P73" s="575">
        <f t="shared" si="133"/>
        <v>1</v>
      </c>
      <c r="Q73" s="575">
        <f t="shared" si="133"/>
        <v>1</v>
      </c>
      <c r="R73" s="44">
        <f t="shared" si="134"/>
        <v>0</v>
      </c>
      <c r="S73" s="54"/>
      <c r="T73" s="234"/>
      <c r="U73" s="543" t="s">
        <v>1804</v>
      </c>
      <c r="V73" s="544"/>
      <c r="W73" s="45"/>
      <c r="X73" s="551"/>
      <c r="Y73" s="47">
        <f t="shared" ref="Y73:Y76" si="147">SUM(D73:G73)</f>
        <v>3</v>
      </c>
      <c r="Z73" s="47">
        <f t="shared" ref="Z73:Z76" si="148">SUM(H73:N73)</f>
        <v>7</v>
      </c>
      <c r="AA73" s="44">
        <f t="shared" ref="AA73:AA76" si="149">IF(Z73/Y73&gt;=100%,100%,Z73/Y73)</f>
        <v>1</v>
      </c>
      <c r="AB73" s="48">
        <v>0.22</v>
      </c>
      <c r="AC73" s="48">
        <v>0.5</v>
      </c>
      <c r="AD73" s="48">
        <v>0.22</v>
      </c>
      <c r="AE73" s="48">
        <v>0.3</v>
      </c>
      <c r="AF73" s="43">
        <v>0</v>
      </c>
      <c r="AG73" s="49"/>
      <c r="AH73" s="50"/>
      <c r="AI73" s="50"/>
      <c r="AJ73" s="240">
        <v>37133268.259202696</v>
      </c>
      <c r="AK73" s="240"/>
      <c r="AL73" s="932" t="e">
        <f t="shared" si="140"/>
        <v>#DIV/0!</v>
      </c>
      <c r="AM73" s="50"/>
      <c r="AN73" s="723"/>
      <c r="AO73" s="240">
        <v>61875.466940348473</v>
      </c>
      <c r="AP73" s="240"/>
      <c r="AQ73" s="1155" t="e">
        <f t="shared" si="143"/>
        <v>#DIV/0!</v>
      </c>
      <c r="AR73" s="51">
        <f t="shared" si="144"/>
        <v>0</v>
      </c>
      <c r="AS73" s="51"/>
      <c r="AT73" s="51"/>
      <c r="AU73" s="51"/>
      <c r="AV73" s="51"/>
      <c r="AW73" s="51">
        <f t="shared" si="138"/>
        <v>37071392.792262346</v>
      </c>
      <c r="AX73" s="51"/>
      <c r="AY73" s="43">
        <f t="shared" si="146"/>
        <v>0</v>
      </c>
      <c r="AZ73" s="49">
        <f>250000000+AG73</f>
        <v>250000000</v>
      </c>
      <c r="BA73" s="45">
        <f t="shared" si="129"/>
        <v>37133268.259202696</v>
      </c>
      <c r="BB73" s="52">
        <f t="shared" si="130"/>
        <v>0.14853307303681079</v>
      </c>
      <c r="BC73" s="1170">
        <f t="shared" si="131"/>
        <v>61875.466940348473</v>
      </c>
      <c r="BD73" s="52">
        <f t="shared" si="132"/>
        <v>2.475018677613939E-4</v>
      </c>
      <c r="BE73" s="50"/>
      <c r="BF73" s="50" t="s">
        <v>68</v>
      </c>
      <c r="BG73" s="45"/>
      <c r="BH73" s="90" t="s">
        <v>258</v>
      </c>
      <c r="BI73" s="1225" t="s">
        <v>259</v>
      </c>
    </row>
    <row r="74" spans="1:61" ht="47.25" customHeight="1" x14ac:dyDescent="0.25">
      <c r="A74" s="841" t="s">
        <v>270</v>
      </c>
      <c r="B74" s="91" t="s">
        <v>271</v>
      </c>
      <c r="C74" s="91" t="s">
        <v>1778</v>
      </c>
      <c r="D74" s="577">
        <v>0.3</v>
      </c>
      <c r="E74" s="85">
        <v>0.7</v>
      </c>
      <c r="F74" s="85">
        <v>0</v>
      </c>
      <c r="G74" s="749">
        <v>0</v>
      </c>
      <c r="H74" s="85">
        <v>0.3</v>
      </c>
      <c r="I74" s="43">
        <v>0.7</v>
      </c>
      <c r="J74" s="43" t="s">
        <v>163</v>
      </c>
      <c r="K74" s="43" t="s">
        <v>163</v>
      </c>
      <c r="L74" s="42"/>
      <c r="M74" s="593"/>
      <c r="N74" s="593"/>
      <c r="O74" s="575">
        <f t="shared" si="133"/>
        <v>1</v>
      </c>
      <c r="P74" s="575">
        <f t="shared" si="133"/>
        <v>1</v>
      </c>
      <c r="Q74" s="575">
        <f t="shared" si="133"/>
        <v>0</v>
      </c>
      <c r="R74" s="44">
        <f t="shared" si="134"/>
        <v>0</v>
      </c>
      <c r="S74" s="54"/>
      <c r="T74" s="234"/>
      <c r="U74" s="543" t="s">
        <v>1804</v>
      </c>
      <c r="V74" s="544"/>
      <c r="W74" s="45"/>
      <c r="X74" s="547"/>
      <c r="Y74" s="43">
        <f t="shared" si="147"/>
        <v>1</v>
      </c>
      <c r="Z74" s="698">
        <f t="shared" si="148"/>
        <v>1</v>
      </c>
      <c r="AA74" s="44">
        <f t="shared" si="149"/>
        <v>1</v>
      </c>
      <c r="AB74" s="48">
        <v>0.22</v>
      </c>
      <c r="AC74" s="48">
        <v>0.5</v>
      </c>
      <c r="AD74" s="48">
        <v>0.22</v>
      </c>
      <c r="AE74" s="48">
        <v>0</v>
      </c>
      <c r="AF74" s="43">
        <v>0</v>
      </c>
      <c r="AG74" s="49"/>
      <c r="AH74" s="50"/>
      <c r="AI74" s="50"/>
      <c r="AJ74" s="240">
        <v>0</v>
      </c>
      <c r="AK74" s="240"/>
      <c r="AL74" s="932" t="e">
        <f t="shared" si="140"/>
        <v>#DIV/0!</v>
      </c>
      <c r="AM74" s="50"/>
      <c r="AN74" s="723"/>
      <c r="AO74" s="240">
        <v>0</v>
      </c>
      <c r="AP74" s="240"/>
      <c r="AQ74" s="1155" t="e">
        <f t="shared" si="143"/>
        <v>#DIV/0!</v>
      </c>
      <c r="AR74" s="51">
        <f t="shared" si="144"/>
        <v>0</v>
      </c>
      <c r="AS74" s="51"/>
      <c r="AT74" s="51"/>
      <c r="AU74" s="51"/>
      <c r="AV74" s="51"/>
      <c r="AW74" s="51">
        <f t="shared" si="138"/>
        <v>0</v>
      </c>
      <c r="AX74" s="51"/>
      <c r="AY74" s="43" t="e">
        <f t="shared" si="146"/>
        <v>#DIV/0!</v>
      </c>
      <c r="AZ74" s="49">
        <f>180000000+AG74</f>
        <v>180000000</v>
      </c>
      <c r="BA74" s="45">
        <f t="shared" si="129"/>
        <v>0</v>
      </c>
      <c r="BB74" s="52">
        <f t="shared" si="130"/>
        <v>0</v>
      </c>
      <c r="BC74" s="1170">
        <f t="shared" si="131"/>
        <v>0</v>
      </c>
      <c r="BD74" s="52">
        <f t="shared" si="132"/>
        <v>0</v>
      </c>
      <c r="BE74" s="50"/>
      <c r="BF74" s="50" t="s">
        <v>68</v>
      </c>
      <c r="BG74" s="45"/>
      <c r="BH74" s="90" t="s">
        <v>258</v>
      </c>
      <c r="BI74" s="1223"/>
    </row>
    <row r="75" spans="1:61" ht="83.25" customHeight="1" x14ac:dyDescent="0.25">
      <c r="A75" s="841" t="s">
        <v>272</v>
      </c>
      <c r="B75" s="91" t="s">
        <v>273</v>
      </c>
      <c r="C75" s="40" t="s">
        <v>1776</v>
      </c>
      <c r="D75" s="91">
        <v>0</v>
      </c>
      <c r="E75" s="76">
        <v>1</v>
      </c>
      <c r="F75" s="76">
        <v>1</v>
      </c>
      <c r="G75" s="748">
        <v>1</v>
      </c>
      <c r="H75" s="43" t="s">
        <v>163</v>
      </c>
      <c r="I75" s="42">
        <v>3</v>
      </c>
      <c r="J75" s="42">
        <v>2</v>
      </c>
      <c r="K75" s="42">
        <v>1</v>
      </c>
      <c r="L75" s="42"/>
      <c r="M75" s="593"/>
      <c r="N75" s="593"/>
      <c r="O75" s="575">
        <f t="shared" si="133"/>
        <v>0</v>
      </c>
      <c r="P75" s="575">
        <f t="shared" si="133"/>
        <v>1</v>
      </c>
      <c r="Q75" s="575">
        <f t="shared" si="133"/>
        <v>1</v>
      </c>
      <c r="R75" s="44">
        <f t="shared" si="134"/>
        <v>1</v>
      </c>
      <c r="S75" s="1106" t="s">
        <v>1674</v>
      </c>
      <c r="T75" s="234"/>
      <c r="U75" s="40" t="s">
        <v>1796</v>
      </c>
      <c r="V75" s="544"/>
      <c r="W75" s="283" t="s">
        <v>1801</v>
      </c>
      <c r="X75" s="47" t="s">
        <v>1859</v>
      </c>
      <c r="Y75" s="47">
        <f t="shared" si="147"/>
        <v>3</v>
      </c>
      <c r="Z75" s="47">
        <f t="shared" si="148"/>
        <v>6</v>
      </c>
      <c r="AA75" s="44">
        <f t="shared" si="149"/>
        <v>1</v>
      </c>
      <c r="AB75" s="48">
        <v>0.28000000000000003</v>
      </c>
      <c r="AC75" s="48">
        <v>0</v>
      </c>
      <c r="AD75" s="48">
        <v>0.28000000000000003</v>
      </c>
      <c r="AE75" s="48">
        <v>0.35</v>
      </c>
      <c r="AF75" s="43">
        <v>0.5</v>
      </c>
      <c r="AG75" s="49">
        <f>'Anexo 2 Mat Inf Gastos 23'!R99</f>
        <v>100000000</v>
      </c>
      <c r="AH75" s="50"/>
      <c r="AI75" s="50"/>
      <c r="AJ75" s="240">
        <v>185666341.2960135</v>
      </c>
      <c r="AK75" s="240">
        <f>'Anexo 2 Mat Inf Gastos 23'!S99</f>
        <v>78385350</v>
      </c>
      <c r="AL75" s="932">
        <f t="shared" si="140"/>
        <v>0.78385349999999998</v>
      </c>
      <c r="AM75" s="50"/>
      <c r="AN75" s="723"/>
      <c r="AO75" s="240">
        <v>309377.33470174239</v>
      </c>
      <c r="AP75" s="240">
        <f>'Anexo 2 Mat Inf Gastos 23'!T99</f>
        <v>385350</v>
      </c>
      <c r="AQ75" s="1155">
        <f t="shared" si="143"/>
        <v>3.8535000000000002E-3</v>
      </c>
      <c r="AR75" s="51">
        <f t="shared" si="144"/>
        <v>78000000</v>
      </c>
      <c r="AS75" s="51"/>
      <c r="AT75" s="51"/>
      <c r="AU75" s="51"/>
      <c r="AV75" s="51"/>
      <c r="AW75" s="51">
        <f t="shared" si="138"/>
        <v>185356963.96131176</v>
      </c>
      <c r="AX75" s="51">
        <f>'Anexo 2 Mat Inf Gastos 23'!AB99</f>
        <v>0</v>
      </c>
      <c r="AY75" s="43">
        <f t="shared" si="146"/>
        <v>0</v>
      </c>
      <c r="AZ75" s="49">
        <f>500000000+AG75</f>
        <v>600000000</v>
      </c>
      <c r="BA75" s="45">
        <f t="shared" si="129"/>
        <v>264051691.2960135</v>
      </c>
      <c r="BB75" s="52">
        <f t="shared" si="130"/>
        <v>0.4400861521600225</v>
      </c>
      <c r="BC75" s="1170">
        <f t="shared" si="131"/>
        <v>694727.33470174239</v>
      </c>
      <c r="BD75" s="52">
        <f t="shared" si="132"/>
        <v>1.1578788911695706E-3</v>
      </c>
      <c r="BE75" s="50"/>
      <c r="BF75" s="50" t="s">
        <v>68</v>
      </c>
      <c r="BG75" s="45"/>
      <c r="BH75" s="90" t="s">
        <v>258</v>
      </c>
      <c r="BI75" s="1223"/>
    </row>
    <row r="76" spans="1:61" ht="94.5" customHeight="1" x14ac:dyDescent="0.25">
      <c r="A76" s="841" t="s">
        <v>275</v>
      </c>
      <c r="B76" s="91" t="s">
        <v>276</v>
      </c>
      <c r="C76" s="40" t="s">
        <v>1776</v>
      </c>
      <c r="D76" s="91">
        <v>0</v>
      </c>
      <c r="E76" s="76">
        <v>2</v>
      </c>
      <c r="F76" s="76">
        <v>2</v>
      </c>
      <c r="G76" s="748">
        <v>1</v>
      </c>
      <c r="H76" s="43" t="s">
        <v>163</v>
      </c>
      <c r="I76" s="42">
        <v>4</v>
      </c>
      <c r="J76" s="42">
        <v>2</v>
      </c>
      <c r="K76" s="42">
        <v>0</v>
      </c>
      <c r="L76" s="42"/>
      <c r="M76" s="593"/>
      <c r="N76" s="593"/>
      <c r="O76" s="575">
        <f t="shared" si="133"/>
        <v>0</v>
      </c>
      <c r="P76" s="575">
        <f t="shared" si="133"/>
        <v>1</v>
      </c>
      <c r="Q76" s="575">
        <f t="shared" si="133"/>
        <v>1</v>
      </c>
      <c r="R76" s="44">
        <f t="shared" si="134"/>
        <v>0</v>
      </c>
      <c r="S76" s="293" t="s">
        <v>1764</v>
      </c>
      <c r="T76" s="234"/>
      <c r="U76" s="40" t="s">
        <v>1796</v>
      </c>
      <c r="V76" s="544"/>
      <c r="W76" s="283" t="s">
        <v>1758</v>
      </c>
      <c r="X76" s="47" t="s">
        <v>1860</v>
      </c>
      <c r="Y76" s="47">
        <f t="shared" si="147"/>
        <v>5</v>
      </c>
      <c r="Z76" s="47">
        <f t="shared" si="148"/>
        <v>6</v>
      </c>
      <c r="AA76" s="44">
        <f t="shared" si="149"/>
        <v>1</v>
      </c>
      <c r="AB76" s="48">
        <v>0.28000000000000003</v>
      </c>
      <c r="AC76" s="48">
        <v>0</v>
      </c>
      <c r="AD76" s="48">
        <v>0.28000000000000003</v>
      </c>
      <c r="AE76" s="48">
        <v>0.35</v>
      </c>
      <c r="AF76" s="43">
        <v>0.5</v>
      </c>
      <c r="AG76" s="49">
        <f>'Anexo 2 Mat Inf Gastos 23'!R135</f>
        <v>3966687778</v>
      </c>
      <c r="AH76" s="50"/>
      <c r="AI76" s="50"/>
      <c r="AJ76" s="240">
        <v>11002015068.444782</v>
      </c>
      <c r="AK76" s="240">
        <f>'Anexo 2 Mat Inf Gastos 23'!S135</f>
        <v>0</v>
      </c>
      <c r="AL76" s="932">
        <f t="shared" si="140"/>
        <v>0</v>
      </c>
      <c r="AM76" s="50"/>
      <c r="AN76" s="723"/>
      <c r="AO76" s="240">
        <v>18332747.19835791</v>
      </c>
      <c r="AP76" s="240">
        <f>'Anexo 2 Mat Inf Gastos 23'!T135</f>
        <v>0</v>
      </c>
      <c r="AQ76" s="1155">
        <f t="shared" si="143"/>
        <v>0</v>
      </c>
      <c r="AR76" s="51">
        <f t="shared" si="144"/>
        <v>0</v>
      </c>
      <c r="AS76" s="51"/>
      <c r="AT76" s="51"/>
      <c r="AU76" s="51"/>
      <c r="AV76" s="51"/>
      <c r="AW76" s="51">
        <f t="shared" si="138"/>
        <v>10983682321.246424</v>
      </c>
      <c r="AX76" s="51">
        <f>'Anexo 2 Mat Inf Gastos 23'!AB135</f>
        <v>0</v>
      </c>
      <c r="AY76" s="43">
        <f t="shared" si="146"/>
        <v>0</v>
      </c>
      <c r="AZ76" s="49">
        <f>370000000+AG76+10692758655</f>
        <v>15029446433</v>
      </c>
      <c r="BA76" s="45">
        <f t="shared" si="129"/>
        <v>11002015068.444782</v>
      </c>
      <c r="BB76" s="52">
        <f t="shared" si="130"/>
        <v>0.73203062517909989</v>
      </c>
      <c r="BC76" s="1170">
        <f t="shared" si="131"/>
        <v>18332747.19835791</v>
      </c>
      <c r="BD76" s="52">
        <f t="shared" si="132"/>
        <v>1.2197885850343021E-3</v>
      </c>
      <c r="BE76" s="50"/>
      <c r="BF76" s="50" t="s">
        <v>68</v>
      </c>
      <c r="BG76" s="45" t="s">
        <v>90</v>
      </c>
      <c r="BH76" s="57"/>
      <c r="BI76" s="1224"/>
    </row>
    <row r="77" spans="1:61" ht="38.25" customHeight="1" x14ac:dyDescent="0.25">
      <c r="A77" s="32" t="s">
        <v>277</v>
      </c>
      <c r="B77" s="33"/>
      <c r="C77" s="33"/>
      <c r="D77" s="33"/>
      <c r="E77" s="34"/>
      <c r="F77" s="34"/>
      <c r="G77" s="745"/>
      <c r="H77" s="34"/>
      <c r="I77" s="34"/>
      <c r="J77" s="34"/>
      <c r="K77" s="34"/>
      <c r="L77" s="34"/>
      <c r="M77" s="34"/>
      <c r="N77" s="34"/>
      <c r="O77" s="607">
        <f>+SUMPRODUCT(O78:O85,AC78:AC85)</f>
        <v>0.99999999999999989</v>
      </c>
      <c r="P77" s="607">
        <f>+SUMPRODUCT(P78:P85,AD78:AD85)</f>
        <v>0.92425000000000002</v>
      </c>
      <c r="Q77" s="607">
        <f>+SUMPRODUCT(Q78:Q85,AE78:AE85)</f>
        <v>1</v>
      </c>
      <c r="R77" s="607">
        <f>+SUMPRODUCT(R78:R85,AF78:AF85)</f>
        <v>0.45200000000000001</v>
      </c>
      <c r="S77" s="38"/>
      <c r="T77" s="32"/>
      <c r="U77" s="11"/>
      <c r="V77" s="11"/>
      <c r="W77" s="33"/>
      <c r="X77" s="33"/>
      <c r="Y77" s="36"/>
      <c r="Z77" s="36"/>
      <c r="AA77" s="629">
        <f>+SUMPRODUCT(AA78:AA85,AB78:AB85)</f>
        <v>0.90200000000000014</v>
      </c>
      <c r="AB77" s="35">
        <v>0.2</v>
      </c>
      <c r="AC77" s="35">
        <v>0.2</v>
      </c>
      <c r="AD77" s="35">
        <v>0.2</v>
      </c>
      <c r="AE77" s="35">
        <v>0.2</v>
      </c>
      <c r="AF77" s="35">
        <v>0.2</v>
      </c>
      <c r="AG77" s="88">
        <f>SUM(AG78:AG85)</f>
        <v>200000000</v>
      </c>
      <c r="AH77" s="33">
        <v>150000000</v>
      </c>
      <c r="AI77" s="33">
        <v>198279930</v>
      </c>
      <c r="AJ77" s="242">
        <f t="shared" ref="AJ77" si="150">SUM(AJ78:AJ85)</f>
        <v>2026957933</v>
      </c>
      <c r="AK77" s="242">
        <f>SUM(AK78:AK85)</f>
        <v>75237246</v>
      </c>
      <c r="AL77" s="1138">
        <f t="shared" si="140"/>
        <v>0.37618623000000001</v>
      </c>
      <c r="AM77" s="733">
        <v>150000000</v>
      </c>
      <c r="AN77" s="725">
        <v>198279930</v>
      </c>
      <c r="AO77" s="242">
        <f>SUM(AO78:AO85)</f>
        <v>1731927925.24</v>
      </c>
      <c r="AP77" s="242">
        <f>SUM(AP78:AP85)</f>
        <v>11598580</v>
      </c>
      <c r="AQ77" s="1158">
        <f t="shared" si="143"/>
        <v>5.79929E-2</v>
      </c>
      <c r="AR77" s="37">
        <f t="shared" si="144"/>
        <v>63638666</v>
      </c>
      <c r="AS77" s="37">
        <v>105000000</v>
      </c>
      <c r="AT77" s="37">
        <v>105000000</v>
      </c>
      <c r="AU77" s="530">
        <f>+AI77-AN77</f>
        <v>0</v>
      </c>
      <c r="AV77" s="37"/>
      <c r="AW77" s="37">
        <f t="shared" si="138"/>
        <v>295030007.75999999</v>
      </c>
      <c r="AX77" s="37">
        <f>SUM(AX78:AX85)</f>
        <v>0</v>
      </c>
      <c r="AY77" s="35">
        <f t="shared" si="146"/>
        <v>0</v>
      </c>
      <c r="AZ77" s="33">
        <f>SUM(AZ78:AZ85)-250000000</f>
        <v>2599947695</v>
      </c>
      <c r="BA77" s="33">
        <f t="shared" si="129"/>
        <v>2450475109</v>
      </c>
      <c r="BB77" s="35">
        <f t="shared" si="130"/>
        <v>0.94250938728980849</v>
      </c>
      <c r="BC77" s="1172">
        <f t="shared" si="131"/>
        <v>2196806435.2399998</v>
      </c>
      <c r="BD77" s="35">
        <f t="shared" si="132"/>
        <v>0.84494254998464491</v>
      </c>
      <c r="BE77" s="33"/>
      <c r="BF77" s="33" t="s">
        <v>68</v>
      </c>
      <c r="BG77" s="33"/>
      <c r="BH77" s="33"/>
      <c r="BI77" s="618"/>
    </row>
    <row r="78" spans="1:61" ht="67.5" customHeight="1" x14ac:dyDescent="0.25">
      <c r="A78" s="39" t="s">
        <v>278</v>
      </c>
      <c r="B78" s="91" t="s">
        <v>279</v>
      </c>
      <c r="C78" s="91" t="s">
        <v>1778</v>
      </c>
      <c r="D78" s="577">
        <v>1</v>
      </c>
      <c r="E78" s="85">
        <v>1</v>
      </c>
      <c r="F78" s="85">
        <v>1</v>
      </c>
      <c r="G78" s="749">
        <v>1</v>
      </c>
      <c r="H78" s="85">
        <v>0.4</v>
      </c>
      <c r="I78" s="43">
        <v>1</v>
      </c>
      <c r="J78" s="43">
        <v>1</v>
      </c>
      <c r="K78" s="44">
        <v>0.2</v>
      </c>
      <c r="L78" s="43">
        <v>0.6</v>
      </c>
      <c r="M78" s="598"/>
      <c r="N78" s="598"/>
      <c r="O78" s="687">
        <f t="shared" si="133"/>
        <v>1</v>
      </c>
      <c r="P78" s="687">
        <f t="shared" si="133"/>
        <v>1</v>
      </c>
      <c r="Q78" s="687">
        <f t="shared" si="133"/>
        <v>1</v>
      </c>
      <c r="R78" s="44">
        <f t="shared" si="134"/>
        <v>0.2</v>
      </c>
      <c r="S78" s="770" t="s">
        <v>1675</v>
      </c>
      <c r="T78" s="234"/>
      <c r="U78" s="40" t="s">
        <v>1796</v>
      </c>
      <c r="V78" s="40"/>
      <c r="W78" s="283" t="s">
        <v>1758</v>
      </c>
      <c r="X78" s="552" t="s">
        <v>1740</v>
      </c>
      <c r="Y78" s="43">
        <f t="shared" ref="Y78:Y85" si="151">SUM(D78:G78)</f>
        <v>4</v>
      </c>
      <c r="Z78" s="43">
        <f t="shared" ref="Z78:Z85" si="152">SUM(H78:N78)</f>
        <v>3.2</v>
      </c>
      <c r="AA78" s="44">
        <f t="shared" ref="AA78:AA85" si="153">IF(Z78/Y78&gt;=100%,100%,Z78/Y78)</f>
        <v>0.8</v>
      </c>
      <c r="AB78" s="48">
        <v>0.21</v>
      </c>
      <c r="AC78" s="48">
        <v>0.3</v>
      </c>
      <c r="AD78" s="48">
        <v>0.22</v>
      </c>
      <c r="AE78" s="48">
        <v>0.27</v>
      </c>
      <c r="AF78" s="43">
        <v>0.26</v>
      </c>
      <c r="AG78" s="49">
        <v>50000000</v>
      </c>
      <c r="AH78" s="50"/>
      <c r="AI78" s="50"/>
      <c r="AJ78" s="276">
        <v>0</v>
      </c>
      <c r="AK78" s="240">
        <v>18809311.5</v>
      </c>
      <c r="AL78" s="932">
        <f t="shared" si="140"/>
        <v>0.37618623000000001</v>
      </c>
      <c r="AM78" s="50"/>
      <c r="AN78" s="723"/>
      <c r="AO78" s="240">
        <v>0</v>
      </c>
      <c r="AP78" s="240">
        <v>2899645</v>
      </c>
      <c r="AQ78" s="1155">
        <f t="shared" si="143"/>
        <v>5.79929E-2</v>
      </c>
      <c r="AR78" s="51">
        <f t="shared" si="144"/>
        <v>15909666.5</v>
      </c>
      <c r="AS78" s="51"/>
      <c r="AT78" s="51"/>
      <c r="AU78" s="51"/>
      <c r="AV78" s="51"/>
      <c r="AW78" s="51">
        <f t="shared" si="138"/>
        <v>0</v>
      </c>
      <c r="AX78" s="51"/>
      <c r="AY78" s="43" t="e">
        <f t="shared" si="146"/>
        <v>#DIV/0!</v>
      </c>
      <c r="AZ78" s="49">
        <f>142000000+AG78</f>
        <v>192000000</v>
      </c>
      <c r="BA78" s="45">
        <f t="shared" si="129"/>
        <v>18809311.5</v>
      </c>
      <c r="BB78" s="52">
        <f t="shared" si="130"/>
        <v>9.7965164062499999E-2</v>
      </c>
      <c r="BC78" s="1170">
        <f t="shared" si="131"/>
        <v>2899645</v>
      </c>
      <c r="BD78" s="52">
        <f t="shared" si="132"/>
        <v>1.5102317708333333E-2</v>
      </c>
      <c r="BE78" s="50"/>
      <c r="BF78" s="50" t="s">
        <v>68</v>
      </c>
      <c r="BG78" s="45"/>
      <c r="BH78" s="90" t="s">
        <v>258</v>
      </c>
      <c r="BI78" s="1225" t="s">
        <v>280</v>
      </c>
    </row>
    <row r="79" spans="1:61" ht="54.75" customHeight="1" x14ac:dyDescent="0.25">
      <c r="A79" s="55" t="s">
        <v>281</v>
      </c>
      <c r="B79" s="91" t="s">
        <v>282</v>
      </c>
      <c r="C79" s="91" t="s">
        <v>1778</v>
      </c>
      <c r="D79" s="577">
        <v>1</v>
      </c>
      <c r="E79" s="85">
        <v>1</v>
      </c>
      <c r="F79" s="85">
        <v>0</v>
      </c>
      <c r="G79" s="749">
        <v>0</v>
      </c>
      <c r="H79" s="85">
        <v>1</v>
      </c>
      <c r="I79" s="43">
        <v>0.8</v>
      </c>
      <c r="J79" s="92" t="s">
        <v>163</v>
      </c>
      <c r="K79" s="92" t="s">
        <v>163</v>
      </c>
      <c r="L79" s="42"/>
      <c r="M79" s="598"/>
      <c r="N79" s="598"/>
      <c r="O79" s="688">
        <f t="shared" si="133"/>
        <v>1</v>
      </c>
      <c r="P79" s="688">
        <f t="shared" si="133"/>
        <v>0.8</v>
      </c>
      <c r="Q79" s="688">
        <f t="shared" si="133"/>
        <v>0</v>
      </c>
      <c r="R79" s="44">
        <f t="shared" si="134"/>
        <v>0</v>
      </c>
      <c r="S79" s="54"/>
      <c r="T79" s="234"/>
      <c r="U79" s="543"/>
      <c r="V79" s="544"/>
      <c r="W79" s="545"/>
      <c r="X79" s="546"/>
      <c r="Y79" s="43">
        <f t="shared" si="151"/>
        <v>2</v>
      </c>
      <c r="Z79" s="43">
        <f t="shared" si="152"/>
        <v>1.8</v>
      </c>
      <c r="AA79" s="43">
        <f t="shared" si="153"/>
        <v>0.9</v>
      </c>
      <c r="AB79" s="48">
        <v>0.11</v>
      </c>
      <c r="AC79" s="48">
        <v>0.3</v>
      </c>
      <c r="AD79" s="48">
        <v>0.12</v>
      </c>
      <c r="AE79" s="48">
        <v>0</v>
      </c>
      <c r="AF79" s="43">
        <v>0</v>
      </c>
      <c r="AG79" s="49"/>
      <c r="AH79" s="50"/>
      <c r="AI79" s="50"/>
      <c r="AJ79" s="240">
        <v>0</v>
      </c>
      <c r="AK79" s="240"/>
      <c r="AL79" s="932" t="e">
        <f t="shared" si="140"/>
        <v>#DIV/0!</v>
      </c>
      <c r="AM79" s="50"/>
      <c r="AN79" s="723"/>
      <c r="AO79" s="240">
        <v>0</v>
      </c>
      <c r="AP79" s="276"/>
      <c r="AQ79" s="1155" t="e">
        <f t="shared" si="143"/>
        <v>#DIV/0!</v>
      </c>
      <c r="AR79" s="51">
        <f t="shared" si="144"/>
        <v>0</v>
      </c>
      <c r="AS79" s="51"/>
      <c r="AT79" s="51"/>
      <c r="AU79" s="51"/>
      <c r="AV79" s="51"/>
      <c r="AW79" s="51">
        <f t="shared" si="138"/>
        <v>0</v>
      </c>
      <c r="AX79" s="51"/>
      <c r="AY79" s="43" t="e">
        <f t="shared" si="146"/>
        <v>#DIV/0!</v>
      </c>
      <c r="AZ79" s="49">
        <f>36000000+AG79</f>
        <v>36000000</v>
      </c>
      <c r="BA79" s="45">
        <f t="shared" si="129"/>
        <v>0</v>
      </c>
      <c r="BB79" s="52">
        <f t="shared" si="130"/>
        <v>0</v>
      </c>
      <c r="BC79" s="1170">
        <f t="shared" si="131"/>
        <v>0</v>
      </c>
      <c r="BD79" s="52">
        <f t="shared" si="132"/>
        <v>0</v>
      </c>
      <c r="BE79" s="50"/>
      <c r="BF79" s="50" t="s">
        <v>68</v>
      </c>
      <c r="BG79" s="45"/>
      <c r="BH79" s="57"/>
      <c r="BI79" s="1223"/>
    </row>
    <row r="80" spans="1:61" ht="81" customHeight="1" x14ac:dyDescent="0.25">
      <c r="A80" s="55" t="s">
        <v>283</v>
      </c>
      <c r="B80" s="91" t="s">
        <v>284</v>
      </c>
      <c r="C80" s="91" t="s">
        <v>1778</v>
      </c>
      <c r="D80" s="85">
        <v>0</v>
      </c>
      <c r="E80" s="85">
        <v>0.2</v>
      </c>
      <c r="F80" s="85">
        <v>0.8</v>
      </c>
      <c r="G80" s="749">
        <v>0</v>
      </c>
      <c r="H80" s="687" t="s">
        <v>163</v>
      </c>
      <c r="I80" s="43">
        <v>8.5000000000000006E-2</v>
      </c>
      <c r="J80" s="43">
        <v>0.8</v>
      </c>
      <c r="K80" s="43">
        <v>0.72</v>
      </c>
      <c r="L80" s="575"/>
      <c r="M80" s="598"/>
      <c r="N80" s="598"/>
      <c r="O80" s="687">
        <f t="shared" si="133"/>
        <v>0</v>
      </c>
      <c r="P80" s="687">
        <f t="shared" si="133"/>
        <v>0.42499999999999999</v>
      </c>
      <c r="Q80" s="687">
        <f t="shared" si="133"/>
        <v>1</v>
      </c>
      <c r="R80" s="44">
        <f t="shared" si="134"/>
        <v>0</v>
      </c>
      <c r="S80" s="54" t="s">
        <v>1676</v>
      </c>
      <c r="T80" s="234"/>
      <c r="U80" s="40" t="s">
        <v>1796</v>
      </c>
      <c r="V80" s="544"/>
      <c r="W80" s="283" t="s">
        <v>1758</v>
      </c>
      <c r="X80" s="552" t="s">
        <v>1740</v>
      </c>
      <c r="Y80" s="43">
        <f t="shared" si="151"/>
        <v>1</v>
      </c>
      <c r="Z80" s="43">
        <f t="shared" si="152"/>
        <v>1.605</v>
      </c>
      <c r="AA80" s="44">
        <f t="shared" si="153"/>
        <v>1</v>
      </c>
      <c r="AB80" s="48">
        <v>0.08</v>
      </c>
      <c r="AC80" s="48">
        <v>0</v>
      </c>
      <c r="AD80" s="48">
        <v>0.09</v>
      </c>
      <c r="AE80" s="48">
        <v>0.13</v>
      </c>
      <c r="AF80" s="43">
        <v>0</v>
      </c>
      <c r="AG80" s="49"/>
      <c r="AH80" s="50"/>
      <c r="AI80" s="50"/>
      <c r="AJ80" s="240">
        <v>502685567.384</v>
      </c>
      <c r="AK80" s="240"/>
      <c r="AL80" s="932" t="e">
        <f t="shared" si="140"/>
        <v>#DIV/0!</v>
      </c>
      <c r="AM80" s="50"/>
      <c r="AN80" s="723"/>
      <c r="AO80" s="240">
        <v>429518125.45951998</v>
      </c>
      <c r="AP80" s="276"/>
      <c r="AQ80" s="1155" t="e">
        <f t="shared" si="143"/>
        <v>#DIV/0!</v>
      </c>
      <c r="AR80" s="51">
        <f t="shared" si="144"/>
        <v>0</v>
      </c>
      <c r="AS80" s="51"/>
      <c r="AT80" s="51"/>
      <c r="AU80" s="51"/>
      <c r="AV80" s="51"/>
      <c r="AW80" s="51">
        <f t="shared" si="138"/>
        <v>73167441.924480021</v>
      </c>
      <c r="AX80" s="51"/>
      <c r="AY80" s="43">
        <f t="shared" si="146"/>
        <v>0</v>
      </c>
      <c r="AZ80" s="49">
        <f>2000000+AG80</f>
        <v>2000000</v>
      </c>
      <c r="BA80" s="45">
        <f t="shared" si="129"/>
        <v>502685567.384</v>
      </c>
      <c r="BB80" s="52">
        <f t="shared" si="130"/>
        <v>251.34278369200001</v>
      </c>
      <c r="BC80" s="1170">
        <f t="shared" si="131"/>
        <v>429518125.45951998</v>
      </c>
      <c r="BD80" s="52">
        <f t="shared" si="132"/>
        <v>214.75906272975999</v>
      </c>
      <c r="BE80" s="50"/>
      <c r="BF80" s="50" t="s">
        <v>68</v>
      </c>
      <c r="BG80" s="45" t="s">
        <v>90</v>
      </c>
      <c r="BH80" s="57"/>
      <c r="BI80" s="1223"/>
    </row>
    <row r="81" spans="1:61" ht="34.5" customHeight="1" x14ac:dyDescent="0.25">
      <c r="A81" s="77" t="s">
        <v>285</v>
      </c>
      <c r="B81" s="91" t="s">
        <v>286</v>
      </c>
      <c r="C81" s="91" t="s">
        <v>1776</v>
      </c>
      <c r="D81" s="91">
        <v>1</v>
      </c>
      <c r="E81" s="76">
        <v>0</v>
      </c>
      <c r="F81" s="76">
        <v>0</v>
      </c>
      <c r="G81" s="748">
        <v>0</v>
      </c>
      <c r="H81" s="76">
        <v>1</v>
      </c>
      <c r="I81" s="92" t="s">
        <v>163</v>
      </c>
      <c r="J81" s="92" t="s">
        <v>163</v>
      </c>
      <c r="K81" s="42" t="s">
        <v>163</v>
      </c>
      <c r="L81" s="42"/>
      <c r="M81" s="593"/>
      <c r="N81" s="593"/>
      <c r="O81" s="575">
        <f t="shared" si="133"/>
        <v>1</v>
      </c>
      <c r="P81" s="575">
        <f t="shared" si="133"/>
        <v>0</v>
      </c>
      <c r="Q81" s="575">
        <f t="shared" si="133"/>
        <v>0</v>
      </c>
      <c r="R81" s="44">
        <f t="shared" si="134"/>
        <v>0</v>
      </c>
      <c r="S81" s="293"/>
      <c r="T81" s="234"/>
      <c r="U81" s="543"/>
      <c r="V81" s="544"/>
      <c r="W81" s="545"/>
      <c r="X81" s="548"/>
      <c r="Y81" s="47">
        <f t="shared" si="151"/>
        <v>1</v>
      </c>
      <c r="Z81" s="42">
        <f t="shared" si="152"/>
        <v>1</v>
      </c>
      <c r="AA81" s="44">
        <f t="shared" si="153"/>
        <v>1</v>
      </c>
      <c r="AB81" s="48">
        <v>7.0000000000000007E-2</v>
      </c>
      <c r="AC81" s="48">
        <v>0.3</v>
      </c>
      <c r="AD81" s="48">
        <v>0</v>
      </c>
      <c r="AE81" s="48">
        <v>0</v>
      </c>
      <c r="AF81" s="43">
        <v>0</v>
      </c>
      <c r="AG81" s="70"/>
      <c r="AH81" s="50"/>
      <c r="AI81" s="50"/>
      <c r="AJ81" s="240">
        <v>0</v>
      </c>
      <c r="AK81" s="240"/>
      <c r="AL81" s="932" t="e">
        <f t="shared" si="140"/>
        <v>#DIV/0!</v>
      </c>
      <c r="AM81" s="50"/>
      <c r="AN81" s="723"/>
      <c r="AO81" s="240">
        <v>0</v>
      </c>
      <c r="AP81" s="276"/>
      <c r="AQ81" s="1155" t="e">
        <f t="shared" si="143"/>
        <v>#DIV/0!</v>
      </c>
      <c r="AR81" s="51">
        <f t="shared" si="144"/>
        <v>0</v>
      </c>
      <c r="AS81" s="51"/>
      <c r="AT81" s="51"/>
      <c r="AU81" s="51"/>
      <c r="AV81" s="51"/>
      <c r="AW81" s="51">
        <f t="shared" si="138"/>
        <v>0</v>
      </c>
      <c r="AX81" s="51"/>
      <c r="AY81" s="43" t="e">
        <f t="shared" si="146"/>
        <v>#DIV/0!</v>
      </c>
      <c r="AZ81" s="70">
        <f>65000000+AG81</f>
        <v>65000000</v>
      </c>
      <c r="BA81" s="45">
        <f t="shared" si="129"/>
        <v>0</v>
      </c>
      <c r="BB81" s="52">
        <f t="shared" si="130"/>
        <v>0</v>
      </c>
      <c r="BC81" s="1170">
        <f t="shared" si="131"/>
        <v>0</v>
      </c>
      <c r="BD81" s="52">
        <f t="shared" si="132"/>
        <v>0</v>
      </c>
      <c r="BE81" s="50"/>
      <c r="BF81" s="50"/>
      <c r="BG81" s="45"/>
      <c r="BH81" s="90" t="s">
        <v>258</v>
      </c>
      <c r="BI81" s="1223"/>
    </row>
    <row r="82" spans="1:61" ht="69.75" customHeight="1" x14ac:dyDescent="0.25">
      <c r="A82" s="77" t="s">
        <v>287</v>
      </c>
      <c r="B82" s="91" t="s">
        <v>288</v>
      </c>
      <c r="C82" s="91" t="s">
        <v>1776</v>
      </c>
      <c r="D82" s="91">
        <v>0</v>
      </c>
      <c r="E82" s="76">
        <v>1</v>
      </c>
      <c r="F82" s="76">
        <v>1</v>
      </c>
      <c r="G82" s="748">
        <v>1</v>
      </c>
      <c r="H82" s="687" t="s">
        <v>163</v>
      </c>
      <c r="I82" s="42">
        <v>1</v>
      </c>
      <c r="J82" s="56">
        <v>4</v>
      </c>
      <c r="K82" s="56">
        <v>1</v>
      </c>
      <c r="L82" s="42"/>
      <c r="M82" s="593"/>
      <c r="N82" s="593"/>
      <c r="O82" s="687">
        <f t="shared" si="133"/>
        <v>0</v>
      </c>
      <c r="P82" s="687">
        <f t="shared" si="133"/>
        <v>1</v>
      </c>
      <c r="Q82" s="687">
        <f t="shared" si="133"/>
        <v>1</v>
      </c>
      <c r="R82" s="44">
        <f t="shared" si="134"/>
        <v>1</v>
      </c>
      <c r="S82" s="54" t="s">
        <v>1709</v>
      </c>
      <c r="T82" s="234"/>
      <c r="U82" s="40" t="s">
        <v>1796</v>
      </c>
      <c r="V82" s="544"/>
      <c r="W82" s="45" t="s">
        <v>1807</v>
      </c>
      <c r="X82" s="552" t="s">
        <v>1740</v>
      </c>
      <c r="Y82" s="47">
        <f t="shared" si="151"/>
        <v>3</v>
      </c>
      <c r="Z82" s="705">
        <f t="shared" si="152"/>
        <v>6</v>
      </c>
      <c r="AA82" s="44">
        <f t="shared" si="153"/>
        <v>1</v>
      </c>
      <c r="AB82" s="48">
        <v>0.14000000000000001</v>
      </c>
      <c r="AC82" s="48">
        <v>0</v>
      </c>
      <c r="AD82" s="48">
        <v>0.15</v>
      </c>
      <c r="AE82" s="48">
        <v>0.19</v>
      </c>
      <c r="AF82" s="43">
        <v>0.2</v>
      </c>
      <c r="AG82" s="49">
        <v>50000000</v>
      </c>
      <c r="AH82" s="50"/>
      <c r="AI82" s="50"/>
      <c r="AJ82" s="240">
        <v>810783173.20000005</v>
      </c>
      <c r="AK82" s="240">
        <v>18809311.5</v>
      </c>
      <c r="AL82" s="932">
        <f t="shared" si="140"/>
        <v>0.37618623000000001</v>
      </c>
      <c r="AM82" s="50"/>
      <c r="AN82" s="723"/>
      <c r="AO82" s="240">
        <v>692771170.09600008</v>
      </c>
      <c r="AP82" s="240">
        <v>2899645</v>
      </c>
      <c r="AQ82" s="1155">
        <f t="shared" si="143"/>
        <v>5.79929E-2</v>
      </c>
      <c r="AR82" s="51">
        <f t="shared" si="144"/>
        <v>15909666.5</v>
      </c>
      <c r="AS82" s="51"/>
      <c r="AT82" s="51"/>
      <c r="AU82" s="51"/>
      <c r="AV82" s="51"/>
      <c r="AW82" s="51">
        <f t="shared" si="138"/>
        <v>118012003.10399997</v>
      </c>
      <c r="AX82" s="51"/>
      <c r="AY82" s="43">
        <f t="shared" si="146"/>
        <v>0</v>
      </c>
      <c r="AZ82" s="49">
        <f>450000000+AG82</f>
        <v>500000000</v>
      </c>
      <c r="BA82" s="45">
        <f t="shared" si="129"/>
        <v>829592484.70000005</v>
      </c>
      <c r="BB82" s="52">
        <f t="shared" si="130"/>
        <v>1.6591849694</v>
      </c>
      <c r="BC82" s="1170">
        <f t="shared" si="131"/>
        <v>695670815.09600008</v>
      </c>
      <c r="BD82" s="52">
        <f t="shared" si="132"/>
        <v>1.3913416301920001</v>
      </c>
      <c r="BE82" s="50"/>
      <c r="BF82" s="50" t="s">
        <v>68</v>
      </c>
      <c r="BG82" s="45"/>
      <c r="BH82" s="57"/>
      <c r="BI82" s="1223"/>
    </row>
    <row r="83" spans="1:61" ht="61.5" customHeight="1" x14ac:dyDescent="0.25">
      <c r="A83" s="55" t="s">
        <v>289</v>
      </c>
      <c r="B83" s="91" t="s">
        <v>290</v>
      </c>
      <c r="C83" s="91" t="s">
        <v>1776</v>
      </c>
      <c r="D83" s="91">
        <v>0</v>
      </c>
      <c r="E83" s="76">
        <v>1</v>
      </c>
      <c r="F83" s="76">
        <v>1</v>
      </c>
      <c r="G83" s="748">
        <v>1</v>
      </c>
      <c r="H83" s="687" t="s">
        <v>163</v>
      </c>
      <c r="I83" s="42">
        <v>2</v>
      </c>
      <c r="J83" s="291">
        <v>4</v>
      </c>
      <c r="K83" s="291">
        <v>0</v>
      </c>
      <c r="L83" s="42"/>
      <c r="M83" s="593"/>
      <c r="N83" s="593"/>
      <c r="O83" s="687">
        <f t="shared" si="133"/>
        <v>0</v>
      </c>
      <c r="P83" s="687">
        <f t="shared" si="133"/>
        <v>1</v>
      </c>
      <c r="Q83" s="687">
        <f t="shared" si="133"/>
        <v>1</v>
      </c>
      <c r="R83" s="44">
        <f t="shared" si="134"/>
        <v>0</v>
      </c>
      <c r="S83" s="1106" t="s">
        <v>1849</v>
      </c>
      <c r="T83" s="234"/>
      <c r="U83" s="40" t="s">
        <v>1796</v>
      </c>
      <c r="V83" s="544"/>
      <c r="W83" s="45" t="s">
        <v>1807</v>
      </c>
      <c r="X83" s="552" t="s">
        <v>1740</v>
      </c>
      <c r="Y83" s="47">
        <f t="shared" si="151"/>
        <v>3</v>
      </c>
      <c r="Z83" s="42">
        <f t="shared" si="152"/>
        <v>6</v>
      </c>
      <c r="AA83" s="44">
        <f t="shared" si="153"/>
        <v>1</v>
      </c>
      <c r="AB83" s="48">
        <v>0.14000000000000001</v>
      </c>
      <c r="AC83" s="48">
        <v>0</v>
      </c>
      <c r="AD83" s="48">
        <v>0.15</v>
      </c>
      <c r="AE83" s="48">
        <v>0.19</v>
      </c>
      <c r="AF83" s="43">
        <v>0.2</v>
      </c>
      <c r="AG83" s="70">
        <v>40000000</v>
      </c>
      <c r="AH83" s="50"/>
      <c r="AI83" s="50"/>
      <c r="AJ83" s="240">
        <v>713489192.41600001</v>
      </c>
      <c r="AK83" s="240">
        <v>15047449.200000001</v>
      </c>
      <c r="AL83" s="932">
        <f t="shared" si="140"/>
        <v>0.37618623000000001</v>
      </c>
      <c r="AM83" s="50"/>
      <c r="AN83" s="723"/>
      <c r="AO83" s="240">
        <v>609638629.68447995</v>
      </c>
      <c r="AP83" s="240">
        <v>2319716</v>
      </c>
      <c r="AQ83" s="1155">
        <f t="shared" si="143"/>
        <v>5.79929E-2</v>
      </c>
      <c r="AR83" s="51">
        <f t="shared" si="144"/>
        <v>12727733.200000001</v>
      </c>
      <c r="AS83" s="51"/>
      <c r="AT83" s="51"/>
      <c r="AU83" s="51"/>
      <c r="AV83" s="51"/>
      <c r="AW83" s="51">
        <f t="shared" si="138"/>
        <v>103850562.73152006</v>
      </c>
      <c r="AX83" s="51"/>
      <c r="AY83" s="43">
        <f t="shared" si="146"/>
        <v>0</v>
      </c>
      <c r="AZ83" s="70">
        <f>18000000+AG83+1799947695</f>
        <v>1857947695</v>
      </c>
      <c r="BA83" s="45">
        <f t="shared" si="129"/>
        <v>728536641.61600006</v>
      </c>
      <c r="BB83" s="52">
        <f t="shared" si="130"/>
        <v>0.39211902658863607</v>
      </c>
      <c r="BC83" s="1170">
        <f t="shared" si="131"/>
        <v>611958345.68447995</v>
      </c>
      <c r="BD83" s="52">
        <f t="shared" si="132"/>
        <v>0.32937329039528207</v>
      </c>
      <c r="BE83" s="50"/>
      <c r="BF83" s="50" t="s">
        <v>68</v>
      </c>
      <c r="BG83" s="45"/>
      <c r="BH83" s="57"/>
      <c r="BI83" s="1223"/>
    </row>
    <row r="84" spans="1:61" ht="61.5" customHeight="1" x14ac:dyDescent="0.25">
      <c r="A84" s="55" t="s">
        <v>291</v>
      </c>
      <c r="B84" s="91" t="s">
        <v>292</v>
      </c>
      <c r="C84" s="91" t="s">
        <v>1776</v>
      </c>
      <c r="D84" s="91">
        <v>0</v>
      </c>
      <c r="E84" s="76">
        <v>1</v>
      </c>
      <c r="F84" s="76">
        <v>0</v>
      </c>
      <c r="G84" s="748">
        <v>1</v>
      </c>
      <c r="H84" s="687" t="s">
        <v>163</v>
      </c>
      <c r="I84" s="42">
        <v>1</v>
      </c>
      <c r="J84" s="42" t="s">
        <v>163</v>
      </c>
      <c r="K84" s="42">
        <v>0</v>
      </c>
      <c r="L84" s="42"/>
      <c r="M84" s="593"/>
      <c r="N84" s="593"/>
      <c r="O84" s="687">
        <f t="shared" si="133"/>
        <v>0</v>
      </c>
      <c r="P84" s="687">
        <f t="shared" si="133"/>
        <v>1</v>
      </c>
      <c r="Q84" s="687">
        <f t="shared" si="133"/>
        <v>0</v>
      </c>
      <c r="R84" s="44">
        <f t="shared" si="134"/>
        <v>0</v>
      </c>
      <c r="S84" s="1106" t="s">
        <v>1849</v>
      </c>
      <c r="T84" s="234"/>
      <c r="U84" s="40" t="s">
        <v>1796</v>
      </c>
      <c r="V84" s="544"/>
      <c r="W84" s="545" t="s">
        <v>1807</v>
      </c>
      <c r="X84" s="552" t="s">
        <v>1740</v>
      </c>
      <c r="Y84" s="47">
        <f t="shared" si="151"/>
        <v>2</v>
      </c>
      <c r="Z84" s="705">
        <f t="shared" si="152"/>
        <v>1</v>
      </c>
      <c r="AA84" s="44">
        <f t="shared" si="153"/>
        <v>0.5</v>
      </c>
      <c r="AB84" s="48">
        <v>0.09</v>
      </c>
      <c r="AC84" s="48">
        <v>0</v>
      </c>
      <c r="AD84" s="48">
        <v>0.1</v>
      </c>
      <c r="AE84" s="48">
        <v>0</v>
      </c>
      <c r="AF84" s="43">
        <v>0.14000000000000001</v>
      </c>
      <c r="AG84" s="49">
        <v>50000000</v>
      </c>
      <c r="AH84" s="50"/>
      <c r="AI84" s="50"/>
      <c r="AJ84" s="240"/>
      <c r="AK84" s="240">
        <v>18809311.5</v>
      </c>
      <c r="AL84" s="932">
        <f t="shared" si="140"/>
        <v>0.37618623000000001</v>
      </c>
      <c r="AM84" s="50"/>
      <c r="AN84" s="723"/>
      <c r="AO84" s="240"/>
      <c r="AP84" s="240">
        <v>2899645</v>
      </c>
      <c r="AQ84" s="1155">
        <f t="shared" si="143"/>
        <v>5.79929E-2</v>
      </c>
      <c r="AR84" s="51">
        <f t="shared" si="144"/>
        <v>15909666.5</v>
      </c>
      <c r="AS84" s="51"/>
      <c r="AT84" s="51"/>
      <c r="AU84" s="51"/>
      <c r="AV84" s="51"/>
      <c r="AW84" s="51">
        <f t="shared" si="138"/>
        <v>0</v>
      </c>
      <c r="AX84" s="51"/>
      <c r="AY84" s="43" t="e">
        <f t="shared" si="146"/>
        <v>#DIV/0!</v>
      </c>
      <c r="AZ84" s="49">
        <f>91000000+AG84</f>
        <v>141000000</v>
      </c>
      <c r="BA84" s="45">
        <f t="shared" si="129"/>
        <v>18809311.5</v>
      </c>
      <c r="BB84" s="52">
        <f t="shared" si="130"/>
        <v>0.13339937234042554</v>
      </c>
      <c r="BC84" s="1170">
        <f t="shared" si="131"/>
        <v>2899645</v>
      </c>
      <c r="BD84" s="52">
        <f t="shared" si="132"/>
        <v>2.0564858156028369E-2</v>
      </c>
      <c r="BE84" s="50"/>
      <c r="BF84" s="50" t="s">
        <v>68</v>
      </c>
      <c r="BG84" s="45"/>
      <c r="BH84" s="57"/>
      <c r="BI84" s="1223"/>
    </row>
    <row r="85" spans="1:61" ht="66" customHeight="1" x14ac:dyDescent="0.25">
      <c r="A85" s="39" t="s">
        <v>293</v>
      </c>
      <c r="B85" s="91" t="s">
        <v>294</v>
      </c>
      <c r="C85" s="91" t="s">
        <v>1776</v>
      </c>
      <c r="D85" s="91">
        <v>1</v>
      </c>
      <c r="E85" s="76">
        <v>1</v>
      </c>
      <c r="F85" s="76">
        <v>1</v>
      </c>
      <c r="G85" s="748">
        <v>1</v>
      </c>
      <c r="H85" s="76">
        <v>3</v>
      </c>
      <c r="I85" s="42">
        <v>4</v>
      </c>
      <c r="J85" s="42">
        <v>5</v>
      </c>
      <c r="K85" s="42">
        <v>1</v>
      </c>
      <c r="L85" s="42"/>
      <c r="M85" s="593"/>
      <c r="N85" s="593"/>
      <c r="O85" s="575">
        <f t="shared" si="133"/>
        <v>1</v>
      </c>
      <c r="P85" s="575">
        <f t="shared" si="133"/>
        <v>1</v>
      </c>
      <c r="Q85" s="575">
        <f t="shared" si="133"/>
        <v>1</v>
      </c>
      <c r="R85" s="44">
        <f t="shared" si="134"/>
        <v>1</v>
      </c>
      <c r="S85" s="1109" t="s">
        <v>1850</v>
      </c>
      <c r="T85" s="234"/>
      <c r="U85" s="40" t="s">
        <v>1796</v>
      </c>
      <c r="V85" s="544"/>
      <c r="W85" s="45" t="s">
        <v>1807</v>
      </c>
      <c r="X85" s="552" t="s">
        <v>1740</v>
      </c>
      <c r="Y85" s="47">
        <f t="shared" si="151"/>
        <v>4</v>
      </c>
      <c r="Z85" s="42">
        <f t="shared" si="152"/>
        <v>13</v>
      </c>
      <c r="AA85" s="44">
        <f t="shared" si="153"/>
        <v>1</v>
      </c>
      <c r="AB85" s="48">
        <v>0.16</v>
      </c>
      <c r="AC85" s="48">
        <v>0.1</v>
      </c>
      <c r="AD85" s="48">
        <v>0.17</v>
      </c>
      <c r="AE85" s="48">
        <v>0.22</v>
      </c>
      <c r="AF85" s="43">
        <v>0.2</v>
      </c>
      <c r="AG85" s="49">
        <v>10000000</v>
      </c>
      <c r="AH85" s="50"/>
      <c r="AI85" s="50"/>
      <c r="AJ85" s="240">
        <v>0</v>
      </c>
      <c r="AK85" s="585">
        <v>3761862.3000000003</v>
      </c>
      <c r="AL85" s="932">
        <f t="shared" si="140"/>
        <v>0.37618623000000001</v>
      </c>
      <c r="AM85" s="50"/>
      <c r="AN85" s="723"/>
      <c r="AO85" s="240">
        <v>0</v>
      </c>
      <c r="AP85" s="240">
        <v>579929</v>
      </c>
      <c r="AQ85" s="1155">
        <f t="shared" si="143"/>
        <v>5.79929E-2</v>
      </c>
      <c r="AR85" s="51">
        <f t="shared" si="144"/>
        <v>3181933.3000000003</v>
      </c>
      <c r="AS85" s="51"/>
      <c r="AT85" s="51"/>
      <c r="AU85" s="51"/>
      <c r="AV85" s="51"/>
      <c r="AW85" s="51">
        <f t="shared" si="138"/>
        <v>0</v>
      </c>
      <c r="AX85" s="51"/>
      <c r="AY85" s="43" t="e">
        <f t="shared" si="146"/>
        <v>#DIV/0!</v>
      </c>
      <c r="AZ85" s="49">
        <f>46000000+AG85</f>
        <v>56000000</v>
      </c>
      <c r="BA85" s="45">
        <f t="shared" si="129"/>
        <v>3761862.3000000003</v>
      </c>
      <c r="BB85" s="52">
        <f t="shared" si="130"/>
        <v>6.717611250000001E-2</v>
      </c>
      <c r="BC85" s="1170">
        <f t="shared" si="131"/>
        <v>579929</v>
      </c>
      <c r="BD85" s="52">
        <f t="shared" si="132"/>
        <v>1.0355875E-2</v>
      </c>
      <c r="BE85" s="50"/>
      <c r="BF85" s="50" t="s">
        <v>68</v>
      </c>
      <c r="BG85" s="45"/>
      <c r="BH85" s="57"/>
      <c r="BI85" s="1224"/>
    </row>
    <row r="86" spans="1:61" ht="39.75" customHeight="1" x14ac:dyDescent="0.25">
      <c r="A86" s="32" t="s">
        <v>295</v>
      </c>
      <c r="B86" s="33"/>
      <c r="C86" s="33"/>
      <c r="D86" s="33"/>
      <c r="E86" s="34"/>
      <c r="F86" s="34"/>
      <c r="G86" s="745"/>
      <c r="H86" s="34"/>
      <c r="I86" s="34"/>
      <c r="J86" s="34"/>
      <c r="K86" s="34"/>
      <c r="L86" s="34"/>
      <c r="M86" s="34"/>
      <c r="N86" s="34"/>
      <c r="O86" s="607">
        <f>+SUMPRODUCT(O87:O90,AC87:AC90)</f>
        <v>1</v>
      </c>
      <c r="P86" s="607">
        <f>+SUMPRODUCT(P87:P90,AD87:AD90)</f>
        <v>0.68333333333333335</v>
      </c>
      <c r="Q86" s="607">
        <f>+SUMPRODUCT(Q87:Q90,AE87:AE90)</f>
        <v>1</v>
      </c>
      <c r="R86" s="607">
        <f>+SUMPRODUCT(R87:R90,AF87:AF90)</f>
        <v>0.90480000000000005</v>
      </c>
      <c r="S86" s="38"/>
      <c r="T86" s="32"/>
      <c r="U86" s="33"/>
      <c r="V86" s="33"/>
      <c r="W86" s="33"/>
      <c r="X86" s="33"/>
      <c r="Y86" s="36"/>
      <c r="Z86" s="36"/>
      <c r="AA86" s="607">
        <f>+SUMPRODUCT(AA87:AA90,AB87:AB90)</f>
        <v>0.88240000000000007</v>
      </c>
      <c r="AB86" s="35">
        <v>0.2</v>
      </c>
      <c r="AC86" s="35">
        <v>0.2</v>
      </c>
      <c r="AD86" s="35">
        <v>0.2</v>
      </c>
      <c r="AE86" s="35">
        <v>0.2</v>
      </c>
      <c r="AF86" s="35">
        <v>0.2</v>
      </c>
      <c r="AG86" s="33">
        <f>SUM(AG87:AG90)</f>
        <v>200000000</v>
      </c>
      <c r="AH86" s="33">
        <v>5856500</v>
      </c>
      <c r="AI86" s="33">
        <v>54512019</v>
      </c>
      <c r="AJ86" s="33">
        <f t="shared" ref="AJ86:AK86" si="154">SUM(AJ87:AJ90)</f>
        <v>118574950</v>
      </c>
      <c r="AK86" s="33">
        <f t="shared" si="154"/>
        <v>183021170</v>
      </c>
      <c r="AL86" s="1140">
        <f t="shared" si="140"/>
        <v>0.91510585</v>
      </c>
      <c r="AM86" s="733">
        <v>5856500</v>
      </c>
      <c r="AN86" s="725">
        <v>54512019</v>
      </c>
      <c r="AO86" s="242">
        <f t="shared" ref="AO86" si="155">SUM(AO87:AO90)</f>
        <v>166304716</v>
      </c>
      <c r="AP86" s="242">
        <f t="shared" ref="AP86" si="156">SUM(AP87:AP90)</f>
        <v>53571468</v>
      </c>
      <c r="AQ86" s="1158">
        <f t="shared" si="143"/>
        <v>0.26785734</v>
      </c>
      <c r="AR86" s="37">
        <f t="shared" si="144"/>
        <v>129449702</v>
      </c>
      <c r="AS86" s="37"/>
      <c r="AT86" s="37"/>
      <c r="AU86" s="530">
        <f>+AI86-AN86</f>
        <v>0</v>
      </c>
      <c r="AV86" s="37"/>
      <c r="AW86" s="37">
        <f t="shared" si="138"/>
        <v>-47729766</v>
      </c>
      <c r="AX86" s="37">
        <f t="shared" ref="AX86" si="157">SUM(AX87:AX90)</f>
        <v>0</v>
      </c>
      <c r="AY86" s="35">
        <f t="shared" si="146"/>
        <v>0</v>
      </c>
      <c r="AZ86" s="33">
        <f>SUM(AZ87:AZ90)-150000000</f>
        <v>583000000</v>
      </c>
      <c r="BA86" s="33">
        <f t="shared" si="129"/>
        <v>361964639</v>
      </c>
      <c r="BB86" s="35">
        <f t="shared" si="130"/>
        <v>0.62086559005145803</v>
      </c>
      <c r="BC86" s="1172">
        <f t="shared" si="131"/>
        <v>280244703</v>
      </c>
      <c r="BD86" s="35">
        <f t="shared" si="132"/>
        <v>0.48069417324185248</v>
      </c>
      <c r="BE86" s="33"/>
      <c r="BF86" s="33" t="s">
        <v>68</v>
      </c>
      <c r="BG86" s="33"/>
      <c r="BH86" s="33"/>
      <c r="BI86" s="618"/>
    </row>
    <row r="87" spans="1:61" ht="135" x14ac:dyDescent="0.25">
      <c r="A87" s="39" t="s">
        <v>296</v>
      </c>
      <c r="B87" s="91" t="s">
        <v>297</v>
      </c>
      <c r="C87" s="91" t="s">
        <v>1778</v>
      </c>
      <c r="D87" s="577">
        <v>0.1</v>
      </c>
      <c r="E87" s="85">
        <v>0.3</v>
      </c>
      <c r="F87" s="85">
        <v>0.6</v>
      </c>
      <c r="G87" s="749">
        <v>1</v>
      </c>
      <c r="H87" s="85">
        <v>0.08</v>
      </c>
      <c r="I87" s="43">
        <v>0.3</v>
      </c>
      <c r="J87" s="43">
        <v>0.6</v>
      </c>
      <c r="K87" s="43">
        <v>0.72</v>
      </c>
      <c r="L87" s="43">
        <v>0.02</v>
      </c>
      <c r="M87" s="52"/>
      <c r="N87" s="52"/>
      <c r="O87" s="575">
        <f t="shared" si="133"/>
        <v>1</v>
      </c>
      <c r="P87" s="575">
        <f t="shared" si="133"/>
        <v>1</v>
      </c>
      <c r="Q87" s="575">
        <f t="shared" si="133"/>
        <v>1</v>
      </c>
      <c r="R87" s="44">
        <f t="shared" si="134"/>
        <v>0.72</v>
      </c>
      <c r="S87" s="54" t="s">
        <v>1710</v>
      </c>
      <c r="T87" s="234"/>
      <c r="U87" s="40" t="s">
        <v>1796</v>
      </c>
      <c r="V87" s="544"/>
      <c r="W87" s="45" t="s">
        <v>1807</v>
      </c>
      <c r="X87" s="946" t="s">
        <v>1741</v>
      </c>
      <c r="Y87" s="43">
        <f t="shared" ref="Y87:Y90" si="158">SUM(D87:G87)</f>
        <v>2</v>
      </c>
      <c r="Z87" s="43">
        <f t="shared" ref="Z87:Z90" si="159">SUM(H87:N87)</f>
        <v>1.72</v>
      </c>
      <c r="AA87" s="44">
        <f t="shared" ref="AA87:AA90" si="160">IF(Z87/Y87&gt;=100%,100%,Z87/Y87)</f>
        <v>0.86</v>
      </c>
      <c r="AB87" s="48">
        <v>0.34</v>
      </c>
      <c r="AC87" s="48">
        <v>0.5</v>
      </c>
      <c r="AD87" s="48">
        <v>0.34</v>
      </c>
      <c r="AE87" s="43">
        <v>0.39</v>
      </c>
      <c r="AF87" s="48">
        <v>0.34</v>
      </c>
      <c r="AG87" s="49">
        <v>50000000</v>
      </c>
      <c r="AH87" s="50"/>
      <c r="AI87" s="50"/>
      <c r="AJ87" s="240">
        <v>84447498.390666679</v>
      </c>
      <c r="AK87" s="942">
        <v>45755292.5</v>
      </c>
      <c r="AL87" s="932">
        <f t="shared" si="140"/>
        <v>0.91510585</v>
      </c>
      <c r="AM87" s="50"/>
      <c r="AN87" s="723"/>
      <c r="AO87" s="240">
        <v>118440001.33898667</v>
      </c>
      <c r="AP87" s="240">
        <v>13392867</v>
      </c>
      <c r="AQ87" s="1155">
        <f t="shared" si="143"/>
        <v>0.26785734</v>
      </c>
      <c r="AR87" s="51">
        <f t="shared" si="144"/>
        <v>32362425.5</v>
      </c>
      <c r="AS87" s="51"/>
      <c r="AT87" s="51"/>
      <c r="AU87" s="51"/>
      <c r="AV87" s="51"/>
      <c r="AW87" s="51">
        <f t="shared" si="138"/>
        <v>-33992502.948319986</v>
      </c>
      <c r="AX87" s="51"/>
      <c r="AY87" s="43">
        <f t="shared" si="146"/>
        <v>0</v>
      </c>
      <c r="AZ87" s="49">
        <f>40000000+AG87</f>
        <v>90000000</v>
      </c>
      <c r="BA87" s="45">
        <f t="shared" si="129"/>
        <v>130202790.89066668</v>
      </c>
      <c r="BB87" s="52">
        <f t="shared" si="130"/>
        <v>1.4466976765629631</v>
      </c>
      <c r="BC87" s="1170">
        <f t="shared" si="131"/>
        <v>131832868.33898667</v>
      </c>
      <c r="BD87" s="52">
        <f t="shared" si="132"/>
        <v>1.4648096482109629</v>
      </c>
      <c r="BE87" s="50"/>
      <c r="BF87" s="50" t="s">
        <v>68</v>
      </c>
      <c r="BG87" s="50"/>
      <c r="BH87" s="90" t="s">
        <v>258</v>
      </c>
      <c r="BI87" s="1225" t="s">
        <v>280</v>
      </c>
    </row>
    <row r="88" spans="1:61" ht="63" customHeight="1" x14ac:dyDescent="0.25">
      <c r="A88" s="39" t="s">
        <v>298</v>
      </c>
      <c r="B88" s="91" t="s">
        <v>292</v>
      </c>
      <c r="C88" s="91" t="s">
        <v>1776</v>
      </c>
      <c r="D88" s="91">
        <v>0</v>
      </c>
      <c r="E88" s="76">
        <v>1</v>
      </c>
      <c r="F88" s="76">
        <v>0</v>
      </c>
      <c r="G88" s="748">
        <v>1</v>
      </c>
      <c r="H88" s="42" t="s">
        <v>163</v>
      </c>
      <c r="I88" s="42">
        <v>1</v>
      </c>
      <c r="J88" s="42" t="s">
        <v>163</v>
      </c>
      <c r="K88" s="42">
        <v>1</v>
      </c>
      <c r="L88" s="42"/>
      <c r="M88" s="593"/>
      <c r="N88" s="593"/>
      <c r="O88" s="575">
        <f t="shared" si="133"/>
        <v>0</v>
      </c>
      <c r="P88" s="575">
        <f t="shared" si="133"/>
        <v>1</v>
      </c>
      <c r="Q88" s="575">
        <f t="shared" si="133"/>
        <v>0</v>
      </c>
      <c r="R88" s="44">
        <f t="shared" si="134"/>
        <v>1</v>
      </c>
      <c r="S88" s="54" t="s">
        <v>1653</v>
      </c>
      <c r="T88" s="234"/>
      <c r="U88" s="40" t="s">
        <v>1796</v>
      </c>
      <c r="V88" s="544"/>
      <c r="W88" s="545" t="s">
        <v>1807</v>
      </c>
      <c r="X88" s="946" t="s">
        <v>1741</v>
      </c>
      <c r="Y88" s="47">
        <f t="shared" si="158"/>
        <v>2</v>
      </c>
      <c r="Z88" s="703">
        <f t="shared" si="159"/>
        <v>2</v>
      </c>
      <c r="AA88" s="44">
        <f t="shared" si="160"/>
        <v>1</v>
      </c>
      <c r="AB88" s="48">
        <v>0.13</v>
      </c>
      <c r="AC88" s="48">
        <v>0</v>
      </c>
      <c r="AD88" s="48">
        <v>0.13</v>
      </c>
      <c r="AE88" s="43">
        <v>0</v>
      </c>
      <c r="AF88" s="48">
        <v>0.13</v>
      </c>
      <c r="AG88" s="49">
        <v>100000000</v>
      </c>
      <c r="AH88" s="50"/>
      <c r="AI88" s="50"/>
      <c r="AJ88" s="240">
        <v>0</v>
      </c>
      <c r="AK88" s="240">
        <v>91510585</v>
      </c>
      <c r="AL88" s="932">
        <f t="shared" si="140"/>
        <v>0.91510585</v>
      </c>
      <c r="AM88" s="50"/>
      <c r="AN88" s="723"/>
      <c r="AO88" s="240">
        <v>0</v>
      </c>
      <c r="AP88" s="240">
        <v>26785734</v>
      </c>
      <c r="AQ88" s="1155">
        <f t="shared" si="143"/>
        <v>0.26785734</v>
      </c>
      <c r="AR88" s="51">
        <f t="shared" si="144"/>
        <v>64724851</v>
      </c>
      <c r="AS88" s="51"/>
      <c r="AT88" s="51"/>
      <c r="AU88" s="51"/>
      <c r="AV88" s="51"/>
      <c r="AW88" s="51">
        <f t="shared" si="138"/>
        <v>0</v>
      </c>
      <c r="AX88" s="51"/>
      <c r="AY88" s="43" t="e">
        <f t="shared" si="146"/>
        <v>#DIV/0!</v>
      </c>
      <c r="AZ88" s="49">
        <f>190000000+AG88</f>
        <v>290000000</v>
      </c>
      <c r="BA88" s="45">
        <f t="shared" si="129"/>
        <v>91510585</v>
      </c>
      <c r="BB88" s="52">
        <f t="shared" si="130"/>
        <v>0.31555374137931036</v>
      </c>
      <c r="BC88" s="1170">
        <f t="shared" si="131"/>
        <v>26785734</v>
      </c>
      <c r="BD88" s="52">
        <f t="shared" si="132"/>
        <v>9.2364600000000005E-2</v>
      </c>
      <c r="BE88" s="50"/>
      <c r="BF88" s="50" t="s">
        <v>68</v>
      </c>
      <c r="BG88" s="50"/>
      <c r="BH88" s="90" t="s">
        <v>258</v>
      </c>
      <c r="BI88" s="1223"/>
    </row>
    <row r="89" spans="1:61" ht="51" customHeight="1" x14ac:dyDescent="0.25">
      <c r="A89" s="39" t="s">
        <v>299</v>
      </c>
      <c r="B89" s="91" t="s">
        <v>300</v>
      </c>
      <c r="C89" s="91" t="s">
        <v>1776</v>
      </c>
      <c r="D89" s="91">
        <v>0</v>
      </c>
      <c r="E89" s="76">
        <v>1</v>
      </c>
      <c r="F89" s="76">
        <v>1</v>
      </c>
      <c r="G89" s="748">
        <v>1</v>
      </c>
      <c r="H89" s="42" t="s">
        <v>163</v>
      </c>
      <c r="I89" s="42">
        <v>0</v>
      </c>
      <c r="J89" s="56">
        <v>1</v>
      </c>
      <c r="K89" s="56">
        <v>1</v>
      </c>
      <c r="L89" s="42"/>
      <c r="M89" s="593"/>
      <c r="N89" s="593"/>
      <c r="O89" s="575">
        <f t="shared" si="133"/>
        <v>0</v>
      </c>
      <c r="P89" s="575">
        <f t="shared" si="133"/>
        <v>0</v>
      </c>
      <c r="Q89" s="575">
        <f t="shared" si="133"/>
        <v>1</v>
      </c>
      <c r="R89" s="44">
        <f t="shared" si="134"/>
        <v>1</v>
      </c>
      <c r="S89" s="294" t="s">
        <v>1689</v>
      </c>
      <c r="T89" s="234"/>
      <c r="U89" s="40" t="s">
        <v>1796</v>
      </c>
      <c r="V89" s="544"/>
      <c r="W89" s="45" t="s">
        <v>1807</v>
      </c>
      <c r="X89" s="946" t="s">
        <v>1741</v>
      </c>
      <c r="Y89" s="47">
        <f t="shared" si="158"/>
        <v>3</v>
      </c>
      <c r="Z89" s="42">
        <f t="shared" si="159"/>
        <v>2</v>
      </c>
      <c r="AA89" s="44">
        <f t="shared" si="160"/>
        <v>0.66666666666666663</v>
      </c>
      <c r="AB89" s="48">
        <v>0.21</v>
      </c>
      <c r="AC89" s="48">
        <v>0</v>
      </c>
      <c r="AD89" s="48">
        <v>0.21</v>
      </c>
      <c r="AE89" s="43">
        <v>0.25</v>
      </c>
      <c r="AF89" s="48">
        <v>0.21</v>
      </c>
      <c r="AG89" s="49">
        <v>10000000</v>
      </c>
      <c r="AH89" s="50"/>
      <c r="AI89" s="50"/>
      <c r="AJ89" s="240">
        <v>1580999.3333333335</v>
      </c>
      <c r="AK89" s="240">
        <v>9151058.5</v>
      </c>
      <c r="AL89" s="932">
        <f t="shared" si="140"/>
        <v>0.91510585</v>
      </c>
      <c r="AM89" s="50"/>
      <c r="AN89" s="723"/>
      <c r="AO89" s="240">
        <v>2217396.2133333334</v>
      </c>
      <c r="AP89" s="240">
        <v>2678573.4000000004</v>
      </c>
      <c r="AQ89" s="1155">
        <f t="shared" si="143"/>
        <v>0.26785734000000005</v>
      </c>
      <c r="AR89" s="51">
        <f t="shared" si="144"/>
        <v>6472485.0999999996</v>
      </c>
      <c r="AS89" s="51"/>
      <c r="AT89" s="51"/>
      <c r="AU89" s="51"/>
      <c r="AV89" s="51"/>
      <c r="AW89" s="51">
        <f t="shared" si="138"/>
        <v>-636396.87999999989</v>
      </c>
      <c r="AX89" s="51"/>
      <c r="AY89" s="43">
        <f t="shared" si="146"/>
        <v>0</v>
      </c>
      <c r="AZ89" s="49">
        <f>15000000+AG89+33000000</f>
        <v>58000000</v>
      </c>
      <c r="BA89" s="45">
        <f t="shared" si="129"/>
        <v>10732057.833333334</v>
      </c>
      <c r="BB89" s="52">
        <f t="shared" si="130"/>
        <v>0.18503547988505747</v>
      </c>
      <c r="BC89" s="1170">
        <f t="shared" si="131"/>
        <v>4895969.6133333333</v>
      </c>
      <c r="BD89" s="52">
        <f t="shared" si="132"/>
        <v>8.4413269195402305E-2</v>
      </c>
      <c r="BE89" s="50"/>
      <c r="BF89" s="50" t="s">
        <v>68</v>
      </c>
      <c r="BG89" s="50"/>
      <c r="BH89" s="57"/>
      <c r="BI89" s="1223"/>
    </row>
    <row r="90" spans="1:61" ht="56.25" customHeight="1" x14ac:dyDescent="0.25">
      <c r="A90" s="39" t="s">
        <v>301</v>
      </c>
      <c r="B90" s="91" t="s">
        <v>302</v>
      </c>
      <c r="C90" s="91" t="s">
        <v>1776</v>
      </c>
      <c r="D90" s="91">
        <v>2</v>
      </c>
      <c r="E90" s="76">
        <v>6</v>
      </c>
      <c r="F90" s="76">
        <v>6</v>
      </c>
      <c r="G90" s="748">
        <v>6</v>
      </c>
      <c r="H90" s="76">
        <v>2</v>
      </c>
      <c r="I90" s="42">
        <v>4</v>
      </c>
      <c r="J90" s="42">
        <v>14</v>
      </c>
      <c r="K90" s="42">
        <v>8</v>
      </c>
      <c r="L90" s="42"/>
      <c r="M90" s="593"/>
      <c r="N90" s="593"/>
      <c r="O90" s="575">
        <f t="shared" si="133"/>
        <v>1</v>
      </c>
      <c r="P90" s="575">
        <f t="shared" si="133"/>
        <v>0.66666666666666663</v>
      </c>
      <c r="Q90" s="575">
        <f t="shared" si="133"/>
        <v>1</v>
      </c>
      <c r="R90" s="44">
        <f t="shared" si="134"/>
        <v>1</v>
      </c>
      <c r="S90" s="1176" t="s">
        <v>1690</v>
      </c>
      <c r="T90" s="234"/>
      <c r="U90" s="40" t="s">
        <v>1796</v>
      </c>
      <c r="V90" s="544"/>
      <c r="W90" s="45" t="s">
        <v>1807</v>
      </c>
      <c r="X90" s="946" t="s">
        <v>1741</v>
      </c>
      <c r="Y90" s="47">
        <f t="shared" si="158"/>
        <v>20</v>
      </c>
      <c r="Z90" s="42">
        <f t="shared" si="159"/>
        <v>28</v>
      </c>
      <c r="AA90" s="44">
        <f t="shared" si="160"/>
        <v>1</v>
      </c>
      <c r="AB90" s="48">
        <v>0.32</v>
      </c>
      <c r="AC90" s="48">
        <v>0.5</v>
      </c>
      <c r="AD90" s="48">
        <v>0.32</v>
      </c>
      <c r="AE90" s="43">
        <v>0.36</v>
      </c>
      <c r="AF90" s="48">
        <v>0.32</v>
      </c>
      <c r="AG90" s="49">
        <v>40000000</v>
      </c>
      <c r="AH90" s="50"/>
      <c r="AI90" s="50"/>
      <c r="AJ90" s="240">
        <v>32546452.276000001</v>
      </c>
      <c r="AK90" s="240">
        <v>36604234</v>
      </c>
      <c r="AL90" s="932">
        <f t="shared" si="140"/>
        <v>0.91510585</v>
      </c>
      <c r="AM90" s="50"/>
      <c r="AN90" s="723"/>
      <c r="AO90" s="240">
        <v>45647318.447680004</v>
      </c>
      <c r="AP90" s="240">
        <v>10714293.600000001</v>
      </c>
      <c r="AQ90" s="1155">
        <f t="shared" si="143"/>
        <v>0.26785734000000005</v>
      </c>
      <c r="AR90" s="51">
        <f t="shared" si="144"/>
        <v>25889940.399999999</v>
      </c>
      <c r="AS90" s="51"/>
      <c r="AT90" s="51"/>
      <c r="AU90" s="51"/>
      <c r="AV90" s="51"/>
      <c r="AW90" s="51">
        <f t="shared" si="138"/>
        <v>-13100866.171680003</v>
      </c>
      <c r="AX90" s="51"/>
      <c r="AY90" s="43">
        <f t="shared" si="146"/>
        <v>0</v>
      </c>
      <c r="AZ90" s="49">
        <f>255000000+AG90</f>
        <v>295000000</v>
      </c>
      <c r="BA90" s="45">
        <f t="shared" si="129"/>
        <v>69150686.275999993</v>
      </c>
      <c r="BB90" s="52">
        <f t="shared" si="130"/>
        <v>0.23440910602033896</v>
      </c>
      <c r="BC90" s="1170">
        <f t="shared" si="131"/>
        <v>56361612.047680005</v>
      </c>
      <c r="BD90" s="52">
        <f t="shared" si="132"/>
        <v>0.1910563120260339</v>
      </c>
      <c r="BE90" s="50"/>
      <c r="BF90" s="50" t="s">
        <v>68</v>
      </c>
      <c r="BG90" s="50"/>
      <c r="BH90" s="57"/>
      <c r="BI90" s="1224"/>
    </row>
    <row r="91" spans="1:61" ht="64.5" customHeight="1" x14ac:dyDescent="0.25">
      <c r="A91" s="58" t="s">
        <v>303</v>
      </c>
      <c r="B91" s="59"/>
      <c r="C91" s="59"/>
      <c r="D91" s="59"/>
      <c r="E91" s="60"/>
      <c r="F91" s="60"/>
      <c r="G91" s="744"/>
      <c r="H91" s="60"/>
      <c r="I91" s="60"/>
      <c r="J91" s="60"/>
      <c r="K91" s="60"/>
      <c r="L91" s="60"/>
      <c r="M91" s="60"/>
      <c r="N91" s="60"/>
      <c r="O91" s="685">
        <f>+SUMPRODUCT(O92:O102,AC92:AC102)</f>
        <v>1</v>
      </c>
      <c r="P91" s="685">
        <f>+SUMPRODUCT(P92:P102,AD92:AD102)</f>
        <v>0.93000000000000016</v>
      </c>
      <c r="Q91" s="685">
        <f>+SUMPRODUCT(Q92:Q102,AE92:AE102)</f>
        <v>0.76</v>
      </c>
      <c r="R91" s="685">
        <f>+SUMPRODUCT(R92:R102,AF92:AF102)</f>
        <v>0.54899999999999993</v>
      </c>
      <c r="S91" s="61"/>
      <c r="T91" s="58"/>
      <c r="U91" s="59"/>
      <c r="V91" s="59"/>
      <c r="W91" s="59"/>
      <c r="X91" s="59"/>
      <c r="Y91" s="62"/>
      <c r="Z91" s="62"/>
      <c r="AA91" s="61">
        <f>+SUMPRODUCT(AA92:AA101,AB92:AB101)</f>
        <v>0.77250000000000008</v>
      </c>
      <c r="AB91" s="61">
        <v>0.2</v>
      </c>
      <c r="AC91" s="61">
        <v>0.2</v>
      </c>
      <c r="AD91" s="61">
        <v>0.2</v>
      </c>
      <c r="AE91" s="61">
        <v>0.2</v>
      </c>
      <c r="AF91" s="61">
        <v>0.2</v>
      </c>
      <c r="AG91" s="59">
        <f>SUM(AG92:AG102)</f>
        <v>14188425542</v>
      </c>
      <c r="AH91" s="59">
        <v>161498450</v>
      </c>
      <c r="AI91" s="59">
        <v>440096274</v>
      </c>
      <c r="AJ91" s="59">
        <f t="shared" ref="AJ91:AK91" si="161">SUM(AJ92:AJ102)</f>
        <v>6260027949.999999</v>
      </c>
      <c r="AK91" s="59">
        <f t="shared" si="161"/>
        <v>186121667</v>
      </c>
      <c r="AL91" s="1137">
        <f t="shared" si="140"/>
        <v>1.3117852044192656E-2</v>
      </c>
      <c r="AM91" s="734">
        <v>161498450</v>
      </c>
      <c r="AN91" s="724">
        <v>177235274</v>
      </c>
      <c r="AO91" s="241">
        <f t="shared" ref="AO91" si="162">SUM(AO92:AO102)</f>
        <v>2813316229.5</v>
      </c>
      <c r="AP91" s="241">
        <f t="shared" ref="AP91" si="163">SUM(AP92:AP102)</f>
        <v>32125633</v>
      </c>
      <c r="AQ91" s="1156">
        <f t="shared" si="143"/>
        <v>2.2642140880891263E-3</v>
      </c>
      <c r="AR91" s="63">
        <f t="shared" si="144"/>
        <v>153996034</v>
      </c>
      <c r="AS91" s="63">
        <v>51620160</v>
      </c>
      <c r="AT91" s="63">
        <v>42020160</v>
      </c>
      <c r="AU91" s="530">
        <f>+AI91-AN91</f>
        <v>262861000</v>
      </c>
      <c r="AV91" s="679">
        <v>105134.22</v>
      </c>
      <c r="AW91" s="63">
        <f t="shared" si="138"/>
        <v>3446711720.499999</v>
      </c>
      <c r="AX91" s="63">
        <f t="shared" ref="AX91" si="164">SUM(AX92:AX102)</f>
        <v>0</v>
      </c>
      <c r="AY91" s="61">
        <f t="shared" si="146"/>
        <v>0</v>
      </c>
      <c r="AZ91" s="59">
        <f>SUM(AZ92:AZ102)</f>
        <v>21855835223</v>
      </c>
      <c r="BA91" s="59">
        <f t="shared" si="129"/>
        <v>7047744340.999999</v>
      </c>
      <c r="BB91" s="61">
        <f t="shared" si="130"/>
        <v>0.32246511144919787</v>
      </c>
      <c r="BC91" s="1171">
        <f t="shared" si="131"/>
        <v>3226300880.7199998</v>
      </c>
      <c r="BD91" s="61">
        <f t="shared" si="132"/>
        <v>0.14761736844194362</v>
      </c>
      <c r="BE91" s="59"/>
      <c r="BF91" s="59" t="s">
        <v>68</v>
      </c>
      <c r="BG91" s="59"/>
      <c r="BH91" s="59"/>
      <c r="BI91" s="617"/>
    </row>
    <row r="92" spans="1:61" ht="41.25" customHeight="1" x14ac:dyDescent="0.25">
      <c r="A92" s="933" t="s">
        <v>1573</v>
      </c>
      <c r="B92" s="91" t="s">
        <v>305</v>
      </c>
      <c r="C92" s="91" t="s">
        <v>1778</v>
      </c>
      <c r="D92" s="577">
        <v>0.2</v>
      </c>
      <c r="E92" s="85">
        <v>0.8</v>
      </c>
      <c r="F92" s="76">
        <v>0</v>
      </c>
      <c r="G92" s="748">
        <v>0</v>
      </c>
      <c r="H92" s="579">
        <v>0.2</v>
      </c>
      <c r="I92" s="43">
        <v>0.7</v>
      </c>
      <c r="J92" s="43" t="s">
        <v>163</v>
      </c>
      <c r="K92" s="43" t="s">
        <v>163</v>
      </c>
      <c r="L92" s="42"/>
      <c r="M92" s="687">
        <v>0.1</v>
      </c>
      <c r="N92" s="687"/>
      <c r="O92" s="687">
        <f t="shared" si="133"/>
        <v>1</v>
      </c>
      <c r="P92" s="687">
        <f t="shared" si="133"/>
        <v>1</v>
      </c>
      <c r="Q92" s="687">
        <f t="shared" si="133"/>
        <v>0</v>
      </c>
      <c r="R92" s="44">
        <f t="shared" si="134"/>
        <v>0</v>
      </c>
      <c r="S92" s="293"/>
      <c r="T92" s="103"/>
      <c r="U92" s="46" t="s">
        <v>1804</v>
      </c>
      <c r="V92" s="40"/>
      <c r="W92" s="45"/>
      <c r="X92" s="45"/>
      <c r="Y92" s="43">
        <f t="shared" ref="Y92:Y102" si="165">SUM(D92:G92)</f>
        <v>1</v>
      </c>
      <c r="Z92" s="43">
        <f t="shared" ref="Z92:Z102" si="166">SUM(H92:N92)</f>
        <v>0.99999999999999989</v>
      </c>
      <c r="AA92" s="44">
        <f t="shared" ref="AA92:AA102" si="167">IF(Z92/Y92&gt;=100%,100%,Z92/Y92)</f>
        <v>1</v>
      </c>
      <c r="AB92" s="48">
        <v>0.1</v>
      </c>
      <c r="AC92" s="48">
        <v>0.4</v>
      </c>
      <c r="AD92" s="48">
        <v>0.13</v>
      </c>
      <c r="AE92" s="48">
        <v>0</v>
      </c>
      <c r="AF92" s="43">
        <v>0</v>
      </c>
      <c r="AG92" s="49"/>
      <c r="AH92" s="50"/>
      <c r="AI92" s="50"/>
      <c r="AJ92" s="240"/>
      <c r="AK92" s="276"/>
      <c r="AL92" s="932" t="e">
        <f t="shared" si="140"/>
        <v>#DIV/0!</v>
      </c>
      <c r="AM92" s="50"/>
      <c r="AN92" s="723"/>
      <c r="AO92" s="240"/>
      <c r="AP92" s="276"/>
      <c r="AQ92" s="1155" t="e">
        <f t="shared" si="143"/>
        <v>#DIV/0!</v>
      </c>
      <c r="AR92" s="51">
        <f t="shared" si="144"/>
        <v>0</v>
      </c>
      <c r="AS92" s="51"/>
      <c r="AT92" s="51"/>
      <c r="AU92" s="51"/>
      <c r="AV92" s="51"/>
      <c r="AW92" s="51">
        <f t="shared" si="138"/>
        <v>0</v>
      </c>
      <c r="AX92" s="51"/>
      <c r="AY92" s="43" t="e">
        <f t="shared" si="146"/>
        <v>#DIV/0!</v>
      </c>
      <c r="AZ92" s="49">
        <f>120000000+AG92+1556869232.45455+98334996.2231362</f>
        <v>1775204228.6776862</v>
      </c>
      <c r="BA92" s="45">
        <f t="shared" si="129"/>
        <v>0</v>
      </c>
      <c r="BB92" s="52">
        <f t="shared" si="130"/>
        <v>0</v>
      </c>
      <c r="BC92" s="1170">
        <f t="shared" si="131"/>
        <v>0</v>
      </c>
      <c r="BD92" s="52">
        <f t="shared" si="132"/>
        <v>0</v>
      </c>
      <c r="BE92" s="50"/>
      <c r="BF92" s="50" t="s">
        <v>68</v>
      </c>
      <c r="BG92" s="50"/>
      <c r="BH92" s="53" t="s">
        <v>306</v>
      </c>
      <c r="BI92" s="1225" t="s">
        <v>307</v>
      </c>
    </row>
    <row r="93" spans="1:61" ht="90" customHeight="1" x14ac:dyDescent="0.25">
      <c r="A93" s="933" t="s">
        <v>308</v>
      </c>
      <c r="B93" s="53" t="s">
        <v>309</v>
      </c>
      <c r="C93" s="91" t="s">
        <v>1776</v>
      </c>
      <c r="D93" s="53">
        <v>0</v>
      </c>
      <c r="E93" s="76">
        <v>2</v>
      </c>
      <c r="F93" s="76">
        <v>2</v>
      </c>
      <c r="G93" s="748">
        <v>1</v>
      </c>
      <c r="H93" s="76" t="s">
        <v>163</v>
      </c>
      <c r="I93" s="42">
        <v>2</v>
      </c>
      <c r="J93" s="56">
        <v>4</v>
      </c>
      <c r="K93" s="1115">
        <v>0</v>
      </c>
      <c r="L93" s="42"/>
      <c r="M93" s="593"/>
      <c r="N93" s="593"/>
      <c r="O93" s="579">
        <f t="shared" si="133"/>
        <v>0</v>
      </c>
      <c r="P93" s="579">
        <f t="shared" si="133"/>
        <v>1</v>
      </c>
      <c r="Q93" s="579">
        <f t="shared" si="133"/>
        <v>1</v>
      </c>
      <c r="R93" s="44">
        <f t="shared" si="134"/>
        <v>0</v>
      </c>
      <c r="S93" s="770" t="s">
        <v>1765</v>
      </c>
      <c r="T93" s="234"/>
      <c r="U93" s="40" t="s">
        <v>1796</v>
      </c>
      <c r="V93" s="544"/>
      <c r="W93" s="45" t="s">
        <v>1807</v>
      </c>
      <c r="X93" s="552" t="s">
        <v>1742</v>
      </c>
      <c r="Y93" s="47">
        <f t="shared" si="165"/>
        <v>5</v>
      </c>
      <c r="Z93" s="42">
        <f t="shared" si="166"/>
        <v>6</v>
      </c>
      <c r="AA93" s="44">
        <f t="shared" si="167"/>
        <v>1</v>
      </c>
      <c r="AB93" s="48">
        <v>0.09</v>
      </c>
      <c r="AC93" s="48">
        <v>0</v>
      </c>
      <c r="AD93" s="48">
        <v>0.12</v>
      </c>
      <c r="AE93" s="48">
        <v>0.12</v>
      </c>
      <c r="AF93" s="43">
        <v>0.13</v>
      </c>
      <c r="AG93" s="49">
        <v>800000000</v>
      </c>
      <c r="AH93" s="50"/>
      <c r="AI93" s="50"/>
      <c r="AJ93" s="240">
        <v>4149400015.785008</v>
      </c>
      <c r="AK93" s="240">
        <f>'Anexo 2 Mat Inf Gastos 23'!S111</f>
        <v>186121667</v>
      </c>
      <c r="AL93" s="932">
        <f t="shared" si="140"/>
        <v>0.23265208374999999</v>
      </c>
      <c r="AM93" s="50"/>
      <c r="AN93" s="723"/>
      <c r="AO93" s="240">
        <v>1864779917.970737</v>
      </c>
      <c r="AP93" s="240">
        <f>'Anexo 2 Mat Inf Gastos 23'!T111</f>
        <v>32125633</v>
      </c>
      <c r="AQ93" s="1155">
        <f t="shared" si="143"/>
        <v>4.0157041249999997E-2</v>
      </c>
      <c r="AR93" s="51">
        <f t="shared" si="144"/>
        <v>153996034</v>
      </c>
      <c r="AS93" s="51"/>
      <c r="AT93" s="51"/>
      <c r="AU93" s="51"/>
      <c r="AV93" s="51"/>
      <c r="AW93" s="51">
        <f t="shared" si="138"/>
        <v>2284620097.814271</v>
      </c>
      <c r="AX93" s="51">
        <f>'Anexo 2 Mat Inf Gastos 23'!AB111</f>
        <v>0</v>
      </c>
      <c r="AY93" s="43">
        <f t="shared" si="146"/>
        <v>0</v>
      </c>
      <c r="AZ93" s="49">
        <f>50000000+AG93+1556869232.45455</f>
        <v>2406869232.4545498</v>
      </c>
      <c r="BA93" s="45">
        <f t="shared" si="129"/>
        <v>4335521682.7850075</v>
      </c>
      <c r="BB93" s="52">
        <f t="shared" si="130"/>
        <v>1.8013116891953445</v>
      </c>
      <c r="BC93" s="1170">
        <f t="shared" si="131"/>
        <v>1896905550.970737</v>
      </c>
      <c r="BD93" s="52">
        <f t="shared" si="132"/>
        <v>0.78812156696866054</v>
      </c>
      <c r="BE93" s="50"/>
      <c r="BF93" s="50" t="s">
        <v>68</v>
      </c>
      <c r="BG93" s="45" t="s">
        <v>87</v>
      </c>
      <c r="BH93" s="53" t="s">
        <v>306</v>
      </c>
      <c r="BI93" s="1223"/>
    </row>
    <row r="94" spans="1:61" ht="53.25" customHeight="1" x14ac:dyDescent="0.25">
      <c r="A94" s="933" t="s">
        <v>311</v>
      </c>
      <c r="B94" s="91" t="s">
        <v>312</v>
      </c>
      <c r="C94" s="91" t="s">
        <v>1776</v>
      </c>
      <c r="D94" s="91">
        <v>0</v>
      </c>
      <c r="E94" s="76">
        <v>0</v>
      </c>
      <c r="F94" s="76">
        <v>1</v>
      </c>
      <c r="G94" s="748">
        <v>0</v>
      </c>
      <c r="H94" s="76" t="s">
        <v>163</v>
      </c>
      <c r="I94" s="42" t="s">
        <v>163</v>
      </c>
      <c r="J94" s="56">
        <v>1</v>
      </c>
      <c r="K94" s="56" t="s">
        <v>163</v>
      </c>
      <c r="L94" s="42"/>
      <c r="M94" s="593"/>
      <c r="N94" s="593"/>
      <c r="O94" s="579">
        <f t="shared" si="133"/>
        <v>0</v>
      </c>
      <c r="P94" s="579">
        <f t="shared" si="133"/>
        <v>0</v>
      </c>
      <c r="Q94" s="579">
        <f t="shared" si="133"/>
        <v>1</v>
      </c>
      <c r="R94" s="44">
        <f t="shared" si="134"/>
        <v>0</v>
      </c>
      <c r="S94" s="54"/>
      <c r="T94" s="234"/>
      <c r="U94" s="46" t="s">
        <v>1804</v>
      </c>
      <c r="V94" s="40"/>
      <c r="W94" s="545"/>
      <c r="X94" s="546"/>
      <c r="Y94" s="47">
        <f t="shared" si="165"/>
        <v>1</v>
      </c>
      <c r="Z94" s="42">
        <f t="shared" si="166"/>
        <v>1</v>
      </c>
      <c r="AA94" s="44">
        <f t="shared" si="167"/>
        <v>1</v>
      </c>
      <c r="AB94" s="73">
        <v>0.04</v>
      </c>
      <c r="AC94" s="48">
        <v>0</v>
      </c>
      <c r="AD94" s="73">
        <v>0</v>
      </c>
      <c r="AE94" s="73">
        <v>7.0000000000000007E-2</v>
      </c>
      <c r="AF94" s="43">
        <v>0</v>
      </c>
      <c r="AG94" s="525"/>
      <c r="AH94" s="526"/>
      <c r="AI94" s="526"/>
      <c r="AJ94" s="1129">
        <v>99298692.089275733</v>
      </c>
      <c r="AK94" s="527"/>
      <c r="AL94" s="932" t="e">
        <f t="shared" si="140"/>
        <v>#DIV/0!</v>
      </c>
      <c r="AM94" s="526"/>
      <c r="AN94" s="726"/>
      <c r="AO94" s="1129">
        <v>44625778.71124085</v>
      </c>
      <c r="AP94" s="527"/>
      <c r="AQ94" s="1155" t="e">
        <f t="shared" si="143"/>
        <v>#DIV/0!</v>
      </c>
      <c r="AR94" s="51">
        <f t="shared" si="144"/>
        <v>0</v>
      </c>
      <c r="AS94" s="51"/>
      <c r="AT94" s="51"/>
      <c r="AU94" s="51"/>
      <c r="AV94" s="51"/>
      <c r="AW94" s="114">
        <f t="shared" si="138"/>
        <v>54672913.378034882</v>
      </c>
      <c r="AX94" s="51"/>
      <c r="AY94" s="43">
        <f t="shared" si="146"/>
        <v>0</v>
      </c>
      <c r="AZ94" s="94">
        <f>15000000+AG94+1556869232.45455</f>
        <v>1571869232.45455</v>
      </c>
      <c r="BA94" s="45">
        <f t="shared" si="129"/>
        <v>99298692.089275733</v>
      </c>
      <c r="BB94" s="52">
        <f t="shared" si="130"/>
        <v>6.3172361949101835E-2</v>
      </c>
      <c r="BC94" s="1170">
        <f t="shared" si="131"/>
        <v>44625778.71124085</v>
      </c>
      <c r="BD94" s="52">
        <f t="shared" si="132"/>
        <v>2.839026160055028E-2</v>
      </c>
      <c r="BE94" s="50"/>
      <c r="BF94" s="50"/>
      <c r="BG94" s="50"/>
      <c r="BH94" s="57"/>
      <c r="BI94" s="1223"/>
    </row>
    <row r="95" spans="1:61" ht="83.25" customHeight="1" x14ac:dyDescent="0.25">
      <c r="A95" s="933" t="s">
        <v>314</v>
      </c>
      <c r="B95" s="53" t="s">
        <v>309</v>
      </c>
      <c r="C95" s="91" t="s">
        <v>1776</v>
      </c>
      <c r="D95" s="53">
        <v>1</v>
      </c>
      <c r="E95" s="76">
        <v>1</v>
      </c>
      <c r="F95" s="76">
        <v>1</v>
      </c>
      <c r="G95" s="748">
        <v>1</v>
      </c>
      <c r="H95" s="76">
        <v>1</v>
      </c>
      <c r="I95" s="42">
        <v>2</v>
      </c>
      <c r="J95" s="198">
        <v>3</v>
      </c>
      <c r="K95" s="198">
        <v>1</v>
      </c>
      <c r="L95" s="42"/>
      <c r="M95" s="593"/>
      <c r="N95" s="593"/>
      <c r="O95" s="575">
        <f t="shared" si="133"/>
        <v>1</v>
      </c>
      <c r="P95" s="575">
        <f t="shared" si="133"/>
        <v>1</v>
      </c>
      <c r="Q95" s="575">
        <f t="shared" si="133"/>
        <v>1</v>
      </c>
      <c r="R95" s="44">
        <f t="shared" si="134"/>
        <v>1</v>
      </c>
      <c r="S95" s="1109" t="s">
        <v>1660</v>
      </c>
      <c r="T95" s="234"/>
      <c r="U95" s="40" t="s">
        <v>1796</v>
      </c>
      <c r="V95" s="40"/>
      <c r="W95" s="545" t="s">
        <v>1807</v>
      </c>
      <c r="X95" s="552" t="s">
        <v>1742</v>
      </c>
      <c r="Y95" s="47">
        <f t="shared" si="165"/>
        <v>4</v>
      </c>
      <c r="Z95" s="706">
        <f t="shared" si="166"/>
        <v>7</v>
      </c>
      <c r="AA95" s="44">
        <f t="shared" si="167"/>
        <v>1</v>
      </c>
      <c r="AB95" s="48">
        <v>0.13</v>
      </c>
      <c r="AC95" s="48">
        <v>0.15</v>
      </c>
      <c r="AD95" s="48">
        <v>0.16</v>
      </c>
      <c r="AE95" s="48">
        <v>0.16</v>
      </c>
      <c r="AF95" s="43">
        <v>0.16</v>
      </c>
      <c r="AG95" s="49">
        <f>'Anexo 2 Mat Inf Gastos 23'!R123</f>
        <v>1391317215</v>
      </c>
      <c r="AH95" s="50"/>
      <c r="AI95" s="50"/>
      <c r="AJ95" s="240">
        <v>116181354.17697202</v>
      </c>
      <c r="AK95" s="276"/>
      <c r="AL95" s="932">
        <f t="shared" si="140"/>
        <v>0</v>
      </c>
      <c r="AM95" s="50"/>
      <c r="AN95" s="723"/>
      <c r="AO95" s="240">
        <v>52213007.974087887</v>
      </c>
      <c r="AP95" s="276"/>
      <c r="AQ95" s="1155">
        <f t="shared" si="143"/>
        <v>0</v>
      </c>
      <c r="AR95" s="51">
        <f t="shared" si="144"/>
        <v>0</v>
      </c>
      <c r="AS95" s="51"/>
      <c r="AT95" s="51"/>
      <c r="AU95" s="51"/>
      <c r="AV95" s="51"/>
      <c r="AW95" s="51">
        <f t="shared" si="138"/>
        <v>63968346.20288413</v>
      </c>
      <c r="AX95" s="51"/>
      <c r="AY95" s="43">
        <f t="shared" si="146"/>
        <v>0</v>
      </c>
      <c r="AZ95" s="49">
        <f>150000000+AG95+1556869232.45455</f>
        <v>3098186447.4545498</v>
      </c>
      <c r="BA95" s="45">
        <f t="shared" si="129"/>
        <v>116181354.17697202</v>
      </c>
      <c r="BB95" s="52">
        <f t="shared" si="130"/>
        <v>3.7499794201354755E-2</v>
      </c>
      <c r="BC95" s="1170">
        <f t="shared" si="131"/>
        <v>52213007.974087887</v>
      </c>
      <c r="BD95" s="52">
        <f t="shared" si="132"/>
        <v>1.6852764951246157E-2</v>
      </c>
      <c r="BE95" s="50"/>
      <c r="BF95" s="50" t="s">
        <v>68</v>
      </c>
      <c r="BG95" s="45" t="s">
        <v>87</v>
      </c>
      <c r="BH95" s="57"/>
      <c r="BI95" s="1223"/>
    </row>
    <row r="96" spans="1:61" ht="83.25" customHeight="1" x14ac:dyDescent="0.25">
      <c r="A96" s="933" t="s">
        <v>315</v>
      </c>
      <c r="B96" s="91" t="s">
        <v>316</v>
      </c>
      <c r="C96" s="91" t="s">
        <v>1776</v>
      </c>
      <c r="D96" s="91">
        <v>0</v>
      </c>
      <c r="E96" s="76">
        <v>1</v>
      </c>
      <c r="F96" s="76">
        <v>0</v>
      </c>
      <c r="G96" s="748">
        <v>0</v>
      </c>
      <c r="H96" s="76" t="s">
        <v>163</v>
      </c>
      <c r="I96" s="42">
        <v>0</v>
      </c>
      <c r="J96" s="56" t="s">
        <v>163</v>
      </c>
      <c r="K96" s="56" t="s">
        <v>163</v>
      </c>
      <c r="L96" s="42"/>
      <c r="M96" s="593"/>
      <c r="N96" s="593"/>
      <c r="O96" s="579">
        <f t="shared" si="133"/>
        <v>0</v>
      </c>
      <c r="P96" s="579">
        <f t="shared" si="133"/>
        <v>0</v>
      </c>
      <c r="Q96" s="579">
        <f t="shared" si="133"/>
        <v>0</v>
      </c>
      <c r="R96" s="44">
        <f t="shared" si="134"/>
        <v>0</v>
      </c>
      <c r="S96" s="770"/>
      <c r="T96" s="234"/>
      <c r="U96" s="543" t="s">
        <v>1804</v>
      </c>
      <c r="V96" s="544"/>
      <c r="W96" s="545"/>
      <c r="X96" s="546"/>
      <c r="Y96" s="47">
        <f t="shared" si="165"/>
        <v>1</v>
      </c>
      <c r="Z96" s="43">
        <f t="shared" si="166"/>
        <v>0</v>
      </c>
      <c r="AA96" s="44">
        <f t="shared" si="167"/>
        <v>0</v>
      </c>
      <c r="AB96" s="48">
        <v>0.05</v>
      </c>
      <c r="AC96" s="48">
        <v>0</v>
      </c>
      <c r="AD96" s="48">
        <v>7.0000000000000007E-2</v>
      </c>
      <c r="AE96" s="48">
        <v>0</v>
      </c>
      <c r="AF96" s="43">
        <v>0</v>
      </c>
      <c r="AG96" s="49"/>
      <c r="AH96" s="50"/>
      <c r="AI96" s="50"/>
      <c r="AJ96" s="240">
        <v>0</v>
      </c>
      <c r="AK96" s="276"/>
      <c r="AL96" s="932" t="e">
        <f t="shared" si="140"/>
        <v>#DIV/0!</v>
      </c>
      <c r="AM96" s="50"/>
      <c r="AN96" s="723"/>
      <c r="AO96" s="240">
        <v>0</v>
      </c>
      <c r="AP96" s="276"/>
      <c r="AQ96" s="1155" t="e">
        <f t="shared" si="143"/>
        <v>#DIV/0!</v>
      </c>
      <c r="AR96" s="51">
        <f t="shared" si="144"/>
        <v>0</v>
      </c>
      <c r="AS96" s="51"/>
      <c r="AT96" s="51"/>
      <c r="AU96" s="51"/>
      <c r="AV96" s="51"/>
      <c r="AW96" s="51">
        <f t="shared" si="138"/>
        <v>0</v>
      </c>
      <c r="AX96" s="51"/>
      <c r="AY96" s="43" t="e">
        <f t="shared" si="146"/>
        <v>#DIV/0!</v>
      </c>
      <c r="AZ96" s="49">
        <f>20000000++AG96+1556869232.45455</f>
        <v>1576869232.45455</v>
      </c>
      <c r="BA96" s="45">
        <f t="shared" si="129"/>
        <v>0</v>
      </c>
      <c r="BB96" s="52">
        <f t="shared" si="130"/>
        <v>0</v>
      </c>
      <c r="BC96" s="1170">
        <f t="shared" si="131"/>
        <v>0</v>
      </c>
      <c r="BD96" s="52">
        <f t="shared" si="132"/>
        <v>0</v>
      </c>
      <c r="BE96" s="50"/>
      <c r="BF96" s="50" t="s">
        <v>68</v>
      </c>
      <c r="BG96" s="50"/>
      <c r="BH96" s="53" t="s">
        <v>306</v>
      </c>
      <c r="BI96" s="1223"/>
    </row>
    <row r="97" spans="1:61" ht="77.25" customHeight="1" x14ac:dyDescent="0.25">
      <c r="A97" s="933" t="s">
        <v>317</v>
      </c>
      <c r="B97" s="91" t="s">
        <v>318</v>
      </c>
      <c r="C97" s="91" t="s">
        <v>1776</v>
      </c>
      <c r="D97" s="91">
        <v>0</v>
      </c>
      <c r="E97" s="76">
        <v>0</v>
      </c>
      <c r="F97" s="76">
        <v>1</v>
      </c>
      <c r="G97" s="748">
        <v>0</v>
      </c>
      <c r="H97" s="76" t="s">
        <v>163</v>
      </c>
      <c r="I97" s="76" t="s">
        <v>163</v>
      </c>
      <c r="J97" s="56">
        <v>0</v>
      </c>
      <c r="K97" s="56" t="s">
        <v>163</v>
      </c>
      <c r="L97" s="42"/>
      <c r="M97" s="593"/>
      <c r="N97" s="593"/>
      <c r="O97" s="579">
        <f t="shared" si="133"/>
        <v>0</v>
      </c>
      <c r="P97" s="579">
        <f t="shared" si="133"/>
        <v>0</v>
      </c>
      <c r="Q97" s="579">
        <f t="shared" si="133"/>
        <v>0</v>
      </c>
      <c r="R97" s="44">
        <f t="shared" si="134"/>
        <v>0</v>
      </c>
      <c r="S97" s="770" t="s">
        <v>1711</v>
      </c>
      <c r="T97" s="234"/>
      <c r="U97" s="40" t="s">
        <v>1796</v>
      </c>
      <c r="V97" s="40"/>
      <c r="W97" s="545" t="s">
        <v>1807</v>
      </c>
      <c r="X97" s="552" t="s">
        <v>1742</v>
      </c>
      <c r="Y97" s="47">
        <f t="shared" si="165"/>
        <v>1</v>
      </c>
      <c r="Z97" s="43">
        <f t="shared" si="166"/>
        <v>0</v>
      </c>
      <c r="AA97" s="44">
        <f t="shared" si="167"/>
        <v>0</v>
      </c>
      <c r="AB97" s="48">
        <v>0.05</v>
      </c>
      <c r="AC97" s="48">
        <v>0</v>
      </c>
      <c r="AD97" s="48">
        <v>0</v>
      </c>
      <c r="AE97" s="48">
        <v>0.08</v>
      </c>
      <c r="AF97" s="43">
        <v>0</v>
      </c>
      <c r="AG97" s="94">
        <v>500000000</v>
      </c>
      <c r="AH97" s="50"/>
      <c r="AI97" s="50"/>
      <c r="AJ97" s="240">
        <v>193635590.29495338</v>
      </c>
      <c r="AK97" s="276"/>
      <c r="AL97" s="932">
        <f t="shared" si="140"/>
        <v>0</v>
      </c>
      <c r="AM97" s="50"/>
      <c r="AN97" s="723"/>
      <c r="AO97" s="240">
        <v>87021679.956813142</v>
      </c>
      <c r="AP97" s="276"/>
      <c r="AQ97" s="1155">
        <f t="shared" si="143"/>
        <v>0</v>
      </c>
      <c r="AR97" s="51">
        <f t="shared" si="144"/>
        <v>0</v>
      </c>
      <c r="AS97" s="51"/>
      <c r="AT97" s="51"/>
      <c r="AU97" s="51"/>
      <c r="AV97" s="51"/>
      <c r="AW97" s="51">
        <f t="shared" si="138"/>
        <v>106613910.33814023</v>
      </c>
      <c r="AX97" s="51"/>
      <c r="AY97" s="43">
        <f t="shared" si="146"/>
        <v>0</v>
      </c>
      <c r="AZ97" s="94">
        <f>11570350+AG97+1556869232.45455</f>
        <v>2068439582.45455</v>
      </c>
      <c r="BA97" s="45">
        <f t="shared" si="129"/>
        <v>193635590.29495338</v>
      </c>
      <c r="BB97" s="52">
        <f t="shared" si="130"/>
        <v>9.3614332242265605E-2</v>
      </c>
      <c r="BC97" s="1170">
        <f t="shared" si="131"/>
        <v>87021679.956813142</v>
      </c>
      <c r="BD97" s="52">
        <f t="shared" si="132"/>
        <v>4.2071173214325817E-2</v>
      </c>
      <c r="BE97" s="50"/>
      <c r="BF97" s="50"/>
      <c r="BG97" s="50"/>
      <c r="BH97" s="57"/>
      <c r="BI97" s="1223"/>
    </row>
    <row r="98" spans="1:61" ht="35.25" customHeight="1" x14ac:dyDescent="0.25">
      <c r="A98" s="934" t="s">
        <v>320</v>
      </c>
      <c r="B98" s="53" t="s">
        <v>321</v>
      </c>
      <c r="C98" s="53" t="s">
        <v>1777</v>
      </c>
      <c r="D98" s="53">
        <v>0</v>
      </c>
      <c r="E98" s="76">
        <v>0</v>
      </c>
      <c r="F98" s="76">
        <v>0</v>
      </c>
      <c r="G98" s="748">
        <v>35000</v>
      </c>
      <c r="H98" s="76" t="s">
        <v>163</v>
      </c>
      <c r="I98" s="76" t="s">
        <v>163</v>
      </c>
      <c r="J98" s="56" t="s">
        <v>163</v>
      </c>
      <c r="K98" s="56">
        <v>0</v>
      </c>
      <c r="L98" s="42"/>
      <c r="M98" s="593"/>
      <c r="N98" s="593"/>
      <c r="O98" s="579">
        <f t="shared" si="133"/>
        <v>0</v>
      </c>
      <c r="P98" s="579">
        <f t="shared" si="133"/>
        <v>0</v>
      </c>
      <c r="Q98" s="579">
        <f t="shared" si="133"/>
        <v>0</v>
      </c>
      <c r="R98" s="44">
        <f t="shared" si="134"/>
        <v>0</v>
      </c>
      <c r="S98" s="770" t="s">
        <v>1712</v>
      </c>
      <c r="T98" s="234"/>
      <c r="U98" s="40" t="s">
        <v>1796</v>
      </c>
      <c r="V98" s="544"/>
      <c r="W98" s="545" t="s">
        <v>1807</v>
      </c>
      <c r="X98" s="552" t="s">
        <v>1742</v>
      </c>
      <c r="Y98" s="47">
        <f t="shared" si="165"/>
        <v>35000</v>
      </c>
      <c r="Z98" s="43">
        <f t="shared" si="166"/>
        <v>0</v>
      </c>
      <c r="AA98" s="44">
        <f t="shared" si="167"/>
        <v>0</v>
      </c>
      <c r="AB98" s="48">
        <v>0.06</v>
      </c>
      <c r="AC98" s="48">
        <v>0</v>
      </c>
      <c r="AD98" s="48">
        <v>0</v>
      </c>
      <c r="AE98" s="48">
        <v>0</v>
      </c>
      <c r="AF98" s="43">
        <v>0.1</v>
      </c>
      <c r="AG98" s="94">
        <v>200000000</v>
      </c>
      <c r="AH98" s="50"/>
      <c r="AI98" s="50"/>
      <c r="AJ98" s="240">
        <v>0</v>
      </c>
      <c r="AK98" s="276"/>
      <c r="AL98" s="932">
        <f t="shared" si="140"/>
        <v>0</v>
      </c>
      <c r="AM98" s="50"/>
      <c r="AN98" s="723"/>
      <c r="AO98" s="240">
        <v>0</v>
      </c>
      <c r="AP98" s="276"/>
      <c r="AQ98" s="1155">
        <f t="shared" si="143"/>
        <v>0</v>
      </c>
      <c r="AR98" s="51">
        <f t="shared" si="144"/>
        <v>0</v>
      </c>
      <c r="AS98" s="51"/>
      <c r="AT98" s="51"/>
      <c r="AU98" s="51"/>
      <c r="AV98" s="51"/>
      <c r="AW98" s="51">
        <f t="shared" si="138"/>
        <v>0</v>
      </c>
      <c r="AX98" s="51"/>
      <c r="AY98" s="43" t="e">
        <f t="shared" si="146"/>
        <v>#DIV/0!</v>
      </c>
      <c r="AZ98" s="94">
        <f>20000000+AG98+1556869232.45455</f>
        <v>1776869232.45455</v>
      </c>
      <c r="BA98" s="45">
        <f t="shared" si="129"/>
        <v>0</v>
      </c>
      <c r="BB98" s="52">
        <f t="shared" si="130"/>
        <v>0</v>
      </c>
      <c r="BC98" s="1170">
        <f t="shared" si="131"/>
        <v>0</v>
      </c>
      <c r="BD98" s="52">
        <f t="shared" si="132"/>
        <v>0</v>
      </c>
      <c r="BE98" s="50"/>
      <c r="BF98" s="50"/>
      <c r="BG98" s="45" t="s">
        <v>83</v>
      </c>
      <c r="BH98" s="53" t="s">
        <v>306</v>
      </c>
      <c r="BI98" s="1223"/>
    </row>
    <row r="99" spans="1:61" ht="46.5" customHeight="1" x14ac:dyDescent="0.25">
      <c r="A99" s="935" t="s">
        <v>322</v>
      </c>
      <c r="B99" s="91" t="s">
        <v>323</v>
      </c>
      <c r="C99" s="91" t="s">
        <v>1776</v>
      </c>
      <c r="D99" s="91">
        <v>1</v>
      </c>
      <c r="E99" s="76">
        <v>1</v>
      </c>
      <c r="F99" s="76">
        <v>1</v>
      </c>
      <c r="G99" s="748">
        <v>1</v>
      </c>
      <c r="H99" s="76">
        <v>1</v>
      </c>
      <c r="I99" s="42">
        <v>2</v>
      </c>
      <c r="J99" s="56">
        <v>1</v>
      </c>
      <c r="K99" s="56">
        <v>1</v>
      </c>
      <c r="L99" s="42"/>
      <c r="M99" s="593"/>
      <c r="N99" s="593"/>
      <c r="O99" s="575">
        <f t="shared" si="133"/>
        <v>1</v>
      </c>
      <c r="P99" s="575">
        <f t="shared" si="133"/>
        <v>1</v>
      </c>
      <c r="Q99" s="575">
        <f t="shared" si="133"/>
        <v>1</v>
      </c>
      <c r="R99" s="44">
        <f t="shared" si="134"/>
        <v>1</v>
      </c>
      <c r="S99" s="425" t="s">
        <v>1635</v>
      </c>
      <c r="T99" s="234"/>
      <c r="U99" s="40" t="s">
        <v>1796</v>
      </c>
      <c r="V99" s="40"/>
      <c r="W99" s="545" t="s">
        <v>1807</v>
      </c>
      <c r="X99" s="552" t="s">
        <v>1742</v>
      </c>
      <c r="Y99" s="47">
        <f t="shared" si="165"/>
        <v>4</v>
      </c>
      <c r="Z99" s="705">
        <f t="shared" si="166"/>
        <v>5</v>
      </c>
      <c r="AA99" s="44">
        <f t="shared" si="167"/>
        <v>1</v>
      </c>
      <c r="AB99" s="48">
        <v>0.15</v>
      </c>
      <c r="AC99" s="48">
        <v>0.15</v>
      </c>
      <c r="AD99" s="48">
        <v>0.18</v>
      </c>
      <c r="AE99" s="48">
        <v>0.18</v>
      </c>
      <c r="AF99" s="302">
        <v>0.18</v>
      </c>
      <c r="AG99" s="49">
        <v>20000000</v>
      </c>
      <c r="AH99" s="50"/>
      <c r="AI99" s="50"/>
      <c r="AJ99" s="240">
        <v>9681779.5147476681</v>
      </c>
      <c r="AK99" s="276"/>
      <c r="AL99" s="932">
        <f t="shared" si="140"/>
        <v>0</v>
      </c>
      <c r="AM99" s="50"/>
      <c r="AN99" s="723"/>
      <c r="AO99" s="240">
        <v>4351083.9978406569</v>
      </c>
      <c r="AP99" s="276"/>
      <c r="AQ99" s="1155">
        <f t="shared" si="143"/>
        <v>0</v>
      </c>
      <c r="AR99" s="51">
        <f t="shared" si="144"/>
        <v>0</v>
      </c>
      <c r="AS99" s="51"/>
      <c r="AT99" s="51"/>
      <c r="AU99" s="51"/>
      <c r="AV99" s="51"/>
      <c r="AW99" s="51">
        <f t="shared" si="138"/>
        <v>5330695.5169070112</v>
      </c>
      <c r="AX99" s="51"/>
      <c r="AY99" s="43">
        <f t="shared" si="146"/>
        <v>0</v>
      </c>
      <c r="AZ99" s="49">
        <f>710000000+AG99+1556869232.45455</f>
        <v>2286869232.4545498</v>
      </c>
      <c r="BA99" s="45">
        <f t="shared" si="129"/>
        <v>9681779.5147476681</v>
      </c>
      <c r="BB99" s="52">
        <f t="shared" si="130"/>
        <v>4.2336393254790482E-3</v>
      </c>
      <c r="BC99" s="1170">
        <f t="shared" si="131"/>
        <v>4351083.9978406569</v>
      </c>
      <c r="BD99" s="52">
        <f t="shared" si="132"/>
        <v>1.9026378666918953E-3</v>
      </c>
      <c r="BE99" s="50"/>
      <c r="BF99" s="50" t="s">
        <v>68</v>
      </c>
      <c r="BG99" s="50"/>
      <c r="BH99" s="53" t="s">
        <v>306</v>
      </c>
      <c r="BI99" s="1223"/>
    </row>
    <row r="100" spans="1:61" ht="66.75" customHeight="1" x14ac:dyDescent="0.25">
      <c r="A100" s="933" t="s">
        <v>324</v>
      </c>
      <c r="B100" s="91" t="s">
        <v>325</v>
      </c>
      <c r="C100" s="91" t="s">
        <v>1776</v>
      </c>
      <c r="D100" s="91">
        <v>1</v>
      </c>
      <c r="E100" s="76">
        <v>1</v>
      </c>
      <c r="F100" s="76">
        <v>1</v>
      </c>
      <c r="G100" s="748">
        <v>1</v>
      </c>
      <c r="H100" s="76">
        <v>1</v>
      </c>
      <c r="I100" s="42">
        <v>2</v>
      </c>
      <c r="J100" s="56">
        <v>0</v>
      </c>
      <c r="K100" s="93">
        <v>0.5</v>
      </c>
      <c r="L100" s="42"/>
      <c r="M100" s="593"/>
      <c r="N100" s="593"/>
      <c r="O100" s="575">
        <f t="shared" si="133"/>
        <v>1</v>
      </c>
      <c r="P100" s="575">
        <f t="shared" si="133"/>
        <v>1</v>
      </c>
      <c r="Q100" s="575">
        <f t="shared" si="133"/>
        <v>0</v>
      </c>
      <c r="R100" s="44">
        <f t="shared" si="134"/>
        <v>0.5</v>
      </c>
      <c r="S100" s="54" t="s">
        <v>1713</v>
      </c>
      <c r="T100" s="234"/>
      <c r="U100" s="40" t="s">
        <v>1796</v>
      </c>
      <c r="V100" s="40"/>
      <c r="W100" s="545" t="s">
        <v>1807</v>
      </c>
      <c r="X100" s="552" t="s">
        <v>1742</v>
      </c>
      <c r="Y100" s="47">
        <f t="shared" si="165"/>
        <v>4</v>
      </c>
      <c r="Z100" s="705">
        <f t="shared" si="166"/>
        <v>3.5</v>
      </c>
      <c r="AA100" s="44">
        <f t="shared" si="167"/>
        <v>0.875</v>
      </c>
      <c r="AB100" s="48">
        <v>0.14000000000000001</v>
      </c>
      <c r="AC100" s="48">
        <v>0.15</v>
      </c>
      <c r="AD100" s="48">
        <v>0.17</v>
      </c>
      <c r="AE100" s="48">
        <v>0.16</v>
      </c>
      <c r="AF100" s="43">
        <v>0.17</v>
      </c>
      <c r="AG100" s="49">
        <v>180000000</v>
      </c>
      <c r="AH100" s="50"/>
      <c r="AI100" s="50"/>
      <c r="AJ100" s="240">
        <v>327875399.62283272</v>
      </c>
      <c r="AK100" s="276"/>
      <c r="AL100" s="932">
        <f t="shared" si="140"/>
        <v>0</v>
      </c>
      <c r="AM100" s="50"/>
      <c r="AN100" s="723"/>
      <c r="AO100" s="240">
        <v>147350329.80367342</v>
      </c>
      <c r="AP100" s="280"/>
      <c r="AQ100" s="1155">
        <f t="shared" si="143"/>
        <v>0</v>
      </c>
      <c r="AR100" s="51">
        <f t="shared" si="144"/>
        <v>0</v>
      </c>
      <c r="AS100" s="51"/>
      <c r="AT100" s="51"/>
      <c r="AU100" s="51"/>
      <c r="AV100" s="51"/>
      <c r="AW100" s="51">
        <f t="shared" si="138"/>
        <v>180525069.8191593</v>
      </c>
      <c r="AX100" s="51"/>
      <c r="AY100" s="43">
        <f t="shared" si="146"/>
        <v>0</v>
      </c>
      <c r="AZ100" s="49">
        <f>827570274++AG100+1556869232.45455+80304542.0210329</f>
        <v>2644744048.4755826</v>
      </c>
      <c r="BA100" s="45">
        <f t="shared" si="129"/>
        <v>327875399.62283272</v>
      </c>
      <c r="BB100" s="52">
        <f t="shared" si="130"/>
        <v>0.12397245011736334</v>
      </c>
      <c r="BC100" s="1170">
        <f t="shared" si="131"/>
        <v>147350329.80367342</v>
      </c>
      <c r="BD100" s="52">
        <f t="shared" si="132"/>
        <v>5.571440075216557E-2</v>
      </c>
      <c r="BE100" s="50"/>
      <c r="BF100" s="50" t="s">
        <v>68</v>
      </c>
      <c r="BG100" s="45" t="s">
        <v>87</v>
      </c>
      <c r="BH100" s="95" t="s">
        <v>326</v>
      </c>
      <c r="BI100" s="1224"/>
    </row>
    <row r="101" spans="1:61" ht="67.5" customHeight="1" x14ac:dyDescent="0.25">
      <c r="A101" s="933" t="s">
        <v>327</v>
      </c>
      <c r="B101" s="91" t="s">
        <v>325</v>
      </c>
      <c r="C101" s="91" t="s">
        <v>1776</v>
      </c>
      <c r="D101" s="91">
        <v>1</v>
      </c>
      <c r="E101" s="76">
        <v>1</v>
      </c>
      <c r="F101" s="76">
        <v>1</v>
      </c>
      <c r="G101" s="748">
        <v>1</v>
      </c>
      <c r="H101" s="76">
        <v>1</v>
      </c>
      <c r="I101" s="42">
        <v>1</v>
      </c>
      <c r="J101" s="198">
        <v>4</v>
      </c>
      <c r="K101" s="198">
        <v>0.2</v>
      </c>
      <c r="L101" s="42"/>
      <c r="M101" s="593"/>
      <c r="N101" s="593"/>
      <c r="O101" s="575">
        <f t="shared" si="133"/>
        <v>1</v>
      </c>
      <c r="P101" s="575">
        <f t="shared" si="133"/>
        <v>1</v>
      </c>
      <c r="Q101" s="575">
        <f t="shared" si="133"/>
        <v>1</v>
      </c>
      <c r="R101" s="44">
        <f t="shared" si="134"/>
        <v>0.2</v>
      </c>
      <c r="S101" s="582" t="s">
        <v>1661</v>
      </c>
      <c r="T101" s="583"/>
      <c r="U101" s="40" t="s">
        <v>1796</v>
      </c>
      <c r="V101" s="584"/>
      <c r="W101" s="545" t="s">
        <v>1807</v>
      </c>
      <c r="X101" s="552" t="s">
        <v>1742</v>
      </c>
      <c r="Y101" s="707">
        <f t="shared" si="165"/>
        <v>4</v>
      </c>
      <c r="Z101" s="708">
        <f t="shared" si="166"/>
        <v>6.2</v>
      </c>
      <c r="AA101" s="709">
        <f t="shared" si="167"/>
        <v>1</v>
      </c>
      <c r="AB101" s="48">
        <v>0.14000000000000001</v>
      </c>
      <c r="AC101" s="48">
        <v>0.15</v>
      </c>
      <c r="AD101" s="48">
        <v>0.17</v>
      </c>
      <c r="AE101" s="48">
        <v>0.16</v>
      </c>
      <c r="AF101" s="43">
        <v>0.17</v>
      </c>
      <c r="AG101" s="278">
        <f>'Anexo 2 Mat Inf Gastos 23'!R119</f>
        <v>10997108327</v>
      </c>
      <c r="AH101" s="279"/>
      <c r="AI101" s="279"/>
      <c r="AJ101" s="585">
        <v>395777167.04144335</v>
      </c>
      <c r="AK101" s="280"/>
      <c r="AL101" s="932">
        <f t="shared" si="140"/>
        <v>0</v>
      </c>
      <c r="AM101" s="279"/>
      <c r="AN101" s="727"/>
      <c r="AO101" s="1143">
        <v>177866031.30154154</v>
      </c>
      <c r="AP101" s="937"/>
      <c r="AQ101" s="1160">
        <f t="shared" si="143"/>
        <v>0</v>
      </c>
      <c r="AR101" s="51">
        <f t="shared" si="144"/>
        <v>0</v>
      </c>
      <c r="AS101" s="51"/>
      <c r="AT101" s="51"/>
      <c r="AU101" s="51"/>
      <c r="AV101" s="51"/>
      <c r="AW101" s="51">
        <f t="shared" si="138"/>
        <v>217911135.73990181</v>
      </c>
      <c r="AX101" s="51"/>
      <c r="AY101" s="43">
        <f t="shared" si="146"/>
        <v>0</v>
      </c>
      <c r="AZ101" s="49">
        <f>190000000+101+1556869232.45455</f>
        <v>1746869333.45455</v>
      </c>
      <c r="BA101" s="45">
        <f t="shared" si="129"/>
        <v>395777167.04144335</v>
      </c>
      <c r="BB101" s="52">
        <f t="shared" si="130"/>
        <v>0.22656369280853292</v>
      </c>
      <c r="BC101" s="1170">
        <f t="shared" si="131"/>
        <v>177866031.30154154</v>
      </c>
      <c r="BD101" s="52">
        <f t="shared" si="132"/>
        <v>0.10181988308753447</v>
      </c>
      <c r="BE101" s="50"/>
      <c r="BF101" s="50" t="s">
        <v>68</v>
      </c>
      <c r="BG101" s="45" t="s">
        <v>87</v>
      </c>
      <c r="BH101" s="57"/>
      <c r="BI101" s="621" t="s">
        <v>328</v>
      </c>
    </row>
    <row r="102" spans="1:61" ht="51.75" customHeight="1" x14ac:dyDescent="0.3">
      <c r="A102" s="933" t="s">
        <v>329</v>
      </c>
      <c r="B102" s="96" t="s">
        <v>330</v>
      </c>
      <c r="C102" s="91" t="s">
        <v>1032</v>
      </c>
      <c r="D102" s="96">
        <v>0</v>
      </c>
      <c r="E102" s="76">
        <v>0</v>
      </c>
      <c r="F102" s="76">
        <v>1</v>
      </c>
      <c r="G102" s="748">
        <v>1</v>
      </c>
      <c r="H102" s="76" t="s">
        <v>163</v>
      </c>
      <c r="I102" s="76" t="s">
        <v>163</v>
      </c>
      <c r="J102" s="56">
        <v>2</v>
      </c>
      <c r="K102" s="56">
        <v>1</v>
      </c>
      <c r="L102" s="42"/>
      <c r="M102" s="593"/>
      <c r="N102" s="593"/>
      <c r="O102" s="579">
        <f t="shared" si="133"/>
        <v>0</v>
      </c>
      <c r="P102" s="579">
        <f t="shared" si="133"/>
        <v>0</v>
      </c>
      <c r="Q102" s="579">
        <f t="shared" si="133"/>
        <v>1</v>
      </c>
      <c r="R102" s="292">
        <f t="shared" si="134"/>
        <v>1</v>
      </c>
      <c r="S102" s="1116" t="s">
        <v>1636</v>
      </c>
      <c r="T102" s="588"/>
      <c r="U102" s="40" t="s">
        <v>1796</v>
      </c>
      <c r="V102" s="589"/>
      <c r="W102" s="545" t="s">
        <v>1801</v>
      </c>
      <c r="X102" s="552" t="s">
        <v>1861</v>
      </c>
      <c r="Y102" s="711">
        <f t="shared" si="165"/>
        <v>2</v>
      </c>
      <c r="Z102" s="710">
        <f t="shared" si="166"/>
        <v>3</v>
      </c>
      <c r="AA102" s="709">
        <f t="shared" si="167"/>
        <v>1</v>
      </c>
      <c r="AB102" s="48">
        <v>0.05</v>
      </c>
      <c r="AC102" s="48">
        <v>0</v>
      </c>
      <c r="AD102" s="48">
        <v>0</v>
      </c>
      <c r="AE102" s="48">
        <v>7.0000000000000007E-2</v>
      </c>
      <c r="AF102" s="755">
        <v>0.09</v>
      </c>
      <c r="AG102" s="541">
        <v>100000000</v>
      </c>
      <c r="AH102" s="528"/>
      <c r="AI102" s="528"/>
      <c r="AJ102" s="541">
        <v>968177951.47476685</v>
      </c>
      <c r="AK102" s="541"/>
      <c r="AL102" s="932">
        <f t="shared" si="140"/>
        <v>0</v>
      </c>
      <c r="AM102" s="528"/>
      <c r="AN102" s="728"/>
      <c r="AO102" s="936">
        <v>435108399.78406566</v>
      </c>
      <c r="AP102" s="541"/>
      <c r="AQ102" s="1160">
        <f t="shared" si="143"/>
        <v>0</v>
      </c>
      <c r="AR102" s="51">
        <f t="shared" si="144"/>
        <v>0</v>
      </c>
      <c r="AS102" s="51"/>
      <c r="AT102" s="51"/>
      <c r="AU102" s="51"/>
      <c r="AV102" s="51"/>
      <c r="AW102" s="277"/>
      <c r="AX102" s="277"/>
      <c r="AY102" s="43" t="e">
        <f t="shared" si="146"/>
        <v>#DIV/0!</v>
      </c>
      <c r="AZ102" s="49">
        <f>+AG102+803045420.210331</f>
        <v>903045420.21033096</v>
      </c>
      <c r="BA102" s="45">
        <f t="shared" si="129"/>
        <v>968177951.47476685</v>
      </c>
      <c r="BB102" s="52">
        <f t="shared" si="130"/>
        <v>1.0721254211657103</v>
      </c>
      <c r="BC102" s="1170">
        <f t="shared" si="131"/>
        <v>435108399.78406566</v>
      </c>
      <c r="BD102" s="52">
        <f t="shared" si="132"/>
        <v>0.48182338346029513</v>
      </c>
      <c r="BE102" s="50"/>
      <c r="BF102" s="50"/>
      <c r="BG102" s="45"/>
      <c r="BH102" s="57"/>
      <c r="BI102" s="622" t="s">
        <v>307</v>
      </c>
    </row>
    <row r="103" spans="1:61" ht="47.25" customHeight="1" x14ac:dyDescent="0.25">
      <c r="A103" s="32" t="s">
        <v>331</v>
      </c>
      <c r="B103" s="33"/>
      <c r="C103" s="33"/>
      <c r="D103" s="33"/>
      <c r="E103" s="34"/>
      <c r="F103" s="34"/>
      <c r="G103" s="745"/>
      <c r="H103" s="34"/>
      <c r="I103" s="34"/>
      <c r="J103" s="34"/>
      <c r="K103" s="34"/>
      <c r="L103" s="35"/>
      <c r="M103" s="35"/>
      <c r="N103" s="35"/>
      <c r="O103" s="607">
        <f>+SUMPRODUCT(O104:O106,AC104:AC106)</f>
        <v>1</v>
      </c>
      <c r="P103" s="607">
        <f>+SUMPRODUCT(P104:P106,AD104:AD106)</f>
        <v>1</v>
      </c>
      <c r="Q103" s="607">
        <f>+SUMPRODUCT(Q104:Q106,AE104:AE106)</f>
        <v>1</v>
      </c>
      <c r="R103" s="607">
        <f>+SUMPRODUCT(R104:R106,AF104:AF106)</f>
        <v>1</v>
      </c>
      <c r="S103" s="281"/>
      <c r="T103" s="586"/>
      <c r="U103" s="281"/>
      <c r="V103" s="281"/>
      <c r="W103" s="281"/>
      <c r="X103" s="281"/>
      <c r="Y103" s="587"/>
      <c r="Z103" s="587"/>
      <c r="AA103" s="608">
        <f>+SUMPRODUCT(AA104:AA106,AB104:AB106)</f>
        <v>1</v>
      </c>
      <c r="AB103" s="35">
        <v>0.2</v>
      </c>
      <c r="AC103" s="35">
        <v>0.2</v>
      </c>
      <c r="AD103" s="35">
        <v>0.2</v>
      </c>
      <c r="AE103" s="35">
        <v>0.2</v>
      </c>
      <c r="AF103" s="35">
        <v>0.2</v>
      </c>
      <c r="AG103" s="281">
        <f>SUM(AG104:AG106)</f>
        <v>1400000000</v>
      </c>
      <c r="AH103" s="281">
        <v>1774319965</v>
      </c>
      <c r="AI103" s="281">
        <v>1428142367</v>
      </c>
      <c r="AJ103" s="281">
        <f t="shared" ref="AJ103:AK103" si="168">SUM(AJ104:AJ106)</f>
        <v>1798207407</v>
      </c>
      <c r="AK103" s="281">
        <f t="shared" si="168"/>
        <v>1372870300</v>
      </c>
      <c r="AL103" s="1141">
        <f t="shared" si="140"/>
        <v>0.98062164285714282</v>
      </c>
      <c r="AM103" s="735">
        <v>1774319965</v>
      </c>
      <c r="AN103" s="729">
        <v>1155427704.2</v>
      </c>
      <c r="AO103" s="282">
        <f t="shared" ref="AO103" si="169">SUM(AO104:AO106)</f>
        <v>1049479407</v>
      </c>
      <c r="AP103" s="938">
        <f t="shared" ref="AP103" si="170">SUM(AP104:AP106)</f>
        <v>16596998.999999998</v>
      </c>
      <c r="AQ103" s="1161">
        <f t="shared" si="143"/>
        <v>1.1854999285714284E-2</v>
      </c>
      <c r="AR103" s="37">
        <f t="shared" si="144"/>
        <v>1356273301</v>
      </c>
      <c r="AS103" s="37">
        <v>345909911</v>
      </c>
      <c r="AT103" s="37">
        <v>327720211</v>
      </c>
      <c r="AU103" s="530">
        <f>+AI103-AN103</f>
        <v>272714662.79999995</v>
      </c>
      <c r="AV103" s="674">
        <v>0</v>
      </c>
      <c r="AW103" s="37">
        <f t="shared" ref="AW103:AW128" si="171">+AJ103-AO103</f>
        <v>748728000</v>
      </c>
      <c r="AX103" s="37">
        <f t="shared" ref="AX103" si="172">SUM(AX104:AX106)</f>
        <v>0</v>
      </c>
      <c r="AY103" s="35">
        <f t="shared" si="146"/>
        <v>0</v>
      </c>
      <c r="AZ103" s="33">
        <f>SUM(AZ104:AZ106)-1997352500</f>
        <v>11124229000</v>
      </c>
      <c r="BA103" s="33">
        <f t="shared" si="129"/>
        <v>6373540039</v>
      </c>
      <c r="BB103" s="35">
        <f t="shared" si="130"/>
        <v>0.57294218224022542</v>
      </c>
      <c r="BC103" s="1172">
        <f t="shared" si="131"/>
        <v>4323544286.1999998</v>
      </c>
      <c r="BD103" s="35">
        <f t="shared" si="132"/>
        <v>0.38866012972224862</v>
      </c>
      <c r="BE103" s="33"/>
      <c r="BF103" s="33" t="s">
        <v>68</v>
      </c>
      <c r="BG103" s="33"/>
      <c r="BH103" s="33"/>
      <c r="BI103" s="618"/>
    </row>
    <row r="104" spans="1:61" ht="46.5" customHeight="1" x14ac:dyDescent="0.25">
      <c r="A104" s="72" t="s">
        <v>332</v>
      </c>
      <c r="B104" s="97" t="s">
        <v>333</v>
      </c>
      <c r="C104" s="91" t="s">
        <v>1776</v>
      </c>
      <c r="D104" s="97">
        <v>1</v>
      </c>
      <c r="E104" s="76">
        <v>1</v>
      </c>
      <c r="F104" s="76">
        <v>1</v>
      </c>
      <c r="G104" s="748">
        <v>1</v>
      </c>
      <c r="H104" s="76">
        <v>1</v>
      </c>
      <c r="I104" s="42">
        <v>1</v>
      </c>
      <c r="J104" s="98">
        <v>1</v>
      </c>
      <c r="K104" s="98">
        <v>1</v>
      </c>
      <c r="L104" s="42"/>
      <c r="M104" s="593"/>
      <c r="N104" s="593"/>
      <c r="O104" s="575">
        <f t="shared" si="133"/>
        <v>1</v>
      </c>
      <c r="P104" s="575">
        <f t="shared" si="133"/>
        <v>1</v>
      </c>
      <c r="Q104" s="575">
        <f t="shared" si="133"/>
        <v>1</v>
      </c>
      <c r="R104" s="44">
        <f t="shared" si="134"/>
        <v>1</v>
      </c>
      <c r="S104" s="772" t="s">
        <v>1691</v>
      </c>
      <c r="T104" s="234"/>
      <c r="U104" s="40" t="s">
        <v>1796</v>
      </c>
      <c r="V104" s="544"/>
      <c r="W104" s="45" t="s">
        <v>1807</v>
      </c>
      <c r="X104" s="946" t="s">
        <v>1743</v>
      </c>
      <c r="Y104" s="712">
        <f t="shared" ref="Y104:Y106" si="173">SUM(D104:G104)</f>
        <v>4</v>
      </c>
      <c r="Z104" s="712">
        <f t="shared" ref="Z104:Z106" si="174">SUM(H104:N104)</f>
        <v>4</v>
      </c>
      <c r="AA104" s="713">
        <f t="shared" ref="AA104:AA106" si="175">IF(Z104/Y104&gt;=100%,100%,Z104/Y104)</f>
        <v>1</v>
      </c>
      <c r="AB104" s="48">
        <v>0.6</v>
      </c>
      <c r="AC104" s="48">
        <v>0.6</v>
      </c>
      <c r="AD104" s="48">
        <v>0.6</v>
      </c>
      <c r="AE104" s="48">
        <v>0.6</v>
      </c>
      <c r="AF104" s="43">
        <v>0.6</v>
      </c>
      <c r="AG104" s="49">
        <v>1000000000</v>
      </c>
      <c r="AH104" s="50"/>
      <c r="AI104" s="50"/>
      <c r="AJ104" s="240">
        <v>599402469</v>
      </c>
      <c r="AK104" s="240">
        <v>980621642.85714293</v>
      </c>
      <c r="AL104" s="932">
        <f t="shared" si="140"/>
        <v>0.98062164285714293</v>
      </c>
      <c r="AM104" s="50"/>
      <c r="AN104" s="730"/>
      <c r="AO104" s="1144">
        <v>349826469</v>
      </c>
      <c r="AP104" s="1144">
        <v>11854999.285714285</v>
      </c>
      <c r="AQ104" s="1160">
        <f t="shared" si="143"/>
        <v>1.1854999285714285E-2</v>
      </c>
      <c r="AR104" s="51">
        <f t="shared" si="144"/>
        <v>968766643.57142866</v>
      </c>
      <c r="AS104" s="51"/>
      <c r="AT104" s="51"/>
      <c r="AU104" s="51"/>
      <c r="AV104" s="51"/>
      <c r="AW104" s="51">
        <f t="shared" si="171"/>
        <v>249576000</v>
      </c>
      <c r="AX104" s="51"/>
      <c r="AY104" s="43">
        <f t="shared" si="146"/>
        <v>0</v>
      </c>
      <c r="AZ104" s="49">
        <f>4728920833.32+AG104+329524000.040001</f>
        <v>6058444833.3600006</v>
      </c>
      <c r="BA104" s="45">
        <f t="shared" si="129"/>
        <v>1580024111.8571429</v>
      </c>
      <c r="BB104" s="52">
        <f t="shared" si="130"/>
        <v>0.26079697931009549</v>
      </c>
      <c r="BC104" s="1170">
        <f t="shared" si="131"/>
        <v>361681468.28571427</v>
      </c>
      <c r="BD104" s="52">
        <f t="shared" si="132"/>
        <v>5.9698730983595752E-2</v>
      </c>
      <c r="BE104" s="50"/>
      <c r="BF104" s="50" t="s">
        <v>68</v>
      </c>
      <c r="BG104" s="50"/>
      <c r="BH104" s="90" t="s">
        <v>175</v>
      </c>
      <c r="BI104" s="1222" t="s">
        <v>334</v>
      </c>
    </row>
    <row r="105" spans="1:61" ht="45" customHeight="1" x14ac:dyDescent="0.25">
      <c r="A105" s="39" t="s">
        <v>335</v>
      </c>
      <c r="B105" s="97" t="s">
        <v>336</v>
      </c>
      <c r="C105" s="91" t="s">
        <v>1032</v>
      </c>
      <c r="D105" s="97">
        <v>1</v>
      </c>
      <c r="E105" s="76">
        <v>2</v>
      </c>
      <c r="F105" s="76">
        <v>2</v>
      </c>
      <c r="G105" s="748">
        <v>2</v>
      </c>
      <c r="H105" s="76">
        <v>7</v>
      </c>
      <c r="I105" s="42">
        <v>2</v>
      </c>
      <c r="J105" s="98">
        <v>3</v>
      </c>
      <c r="K105" s="98">
        <v>2</v>
      </c>
      <c r="L105" s="42"/>
      <c r="M105" s="593"/>
      <c r="N105" s="593"/>
      <c r="O105" s="575">
        <f t="shared" si="133"/>
        <v>1</v>
      </c>
      <c r="P105" s="575">
        <f t="shared" si="133"/>
        <v>1</v>
      </c>
      <c r="Q105" s="575">
        <f t="shared" si="133"/>
        <v>1</v>
      </c>
      <c r="R105" s="44">
        <f t="shared" si="134"/>
        <v>1</v>
      </c>
      <c r="S105" s="772" t="s">
        <v>1692</v>
      </c>
      <c r="T105" s="234"/>
      <c r="U105" s="40" t="s">
        <v>1796</v>
      </c>
      <c r="V105" s="544"/>
      <c r="W105" s="45" t="s">
        <v>1807</v>
      </c>
      <c r="X105" s="946" t="s">
        <v>1743</v>
      </c>
      <c r="Y105" s="710">
        <f t="shared" si="173"/>
        <v>7</v>
      </c>
      <c r="Z105" s="710">
        <f t="shared" si="174"/>
        <v>14</v>
      </c>
      <c r="AA105" s="714">
        <f t="shared" si="175"/>
        <v>1</v>
      </c>
      <c r="AB105" s="48">
        <v>0.25</v>
      </c>
      <c r="AC105" s="48">
        <v>0.4</v>
      </c>
      <c r="AD105" s="48">
        <v>0.25</v>
      </c>
      <c r="AE105" s="48">
        <v>0.25</v>
      </c>
      <c r="AF105" s="48">
        <v>0.25</v>
      </c>
      <c r="AG105" s="49">
        <v>200000000</v>
      </c>
      <c r="AH105" s="50"/>
      <c r="AI105" s="50"/>
      <c r="AJ105" s="240">
        <v>599402469</v>
      </c>
      <c r="AK105" s="240">
        <v>196124328.57142857</v>
      </c>
      <c r="AL105" s="932">
        <f t="shared" si="140"/>
        <v>0.98062164285714282</v>
      </c>
      <c r="AM105" s="50"/>
      <c r="AN105" s="730"/>
      <c r="AO105" s="1144">
        <v>349826469</v>
      </c>
      <c r="AP105" s="1144">
        <v>2370999.8571428568</v>
      </c>
      <c r="AQ105" s="1160">
        <f t="shared" si="143"/>
        <v>1.1854999285714284E-2</v>
      </c>
      <c r="AR105" s="51">
        <f t="shared" si="144"/>
        <v>193753328.7142857</v>
      </c>
      <c r="AS105" s="51"/>
      <c r="AT105" s="51"/>
      <c r="AU105" s="51"/>
      <c r="AV105" s="51"/>
      <c r="AW105" s="51">
        <f t="shared" si="171"/>
        <v>249576000</v>
      </c>
      <c r="AX105" s="51"/>
      <c r="AY105" s="43">
        <f t="shared" si="146"/>
        <v>0</v>
      </c>
      <c r="AZ105" s="49">
        <f>4781568333.32+AG105</f>
        <v>4981568333.3199997</v>
      </c>
      <c r="BA105" s="45">
        <f t="shared" si="129"/>
        <v>795526797.57142854</v>
      </c>
      <c r="BB105" s="52">
        <f t="shared" si="130"/>
        <v>0.15969404499591483</v>
      </c>
      <c r="BC105" s="1170">
        <f t="shared" si="131"/>
        <v>352197468.85714287</v>
      </c>
      <c r="BD105" s="52">
        <f t="shared" si="132"/>
        <v>7.0700117973172216E-2</v>
      </c>
      <c r="BE105" s="50"/>
      <c r="BF105" s="50" t="s">
        <v>68</v>
      </c>
      <c r="BG105" s="45" t="s">
        <v>88</v>
      </c>
      <c r="BH105" s="53" t="s">
        <v>338</v>
      </c>
      <c r="BI105" s="1223"/>
    </row>
    <row r="106" spans="1:61" ht="40.5" customHeight="1" x14ac:dyDescent="0.25">
      <c r="A106" s="39" t="s">
        <v>339</v>
      </c>
      <c r="B106" s="97" t="s">
        <v>336</v>
      </c>
      <c r="C106" s="91" t="s">
        <v>1032</v>
      </c>
      <c r="D106" s="97">
        <v>0</v>
      </c>
      <c r="E106" s="76">
        <v>1</v>
      </c>
      <c r="F106" s="76">
        <v>1</v>
      </c>
      <c r="G106" s="748">
        <v>1</v>
      </c>
      <c r="H106" s="76" t="s">
        <v>163</v>
      </c>
      <c r="I106" s="42">
        <v>1</v>
      </c>
      <c r="J106" s="98">
        <v>1</v>
      </c>
      <c r="K106" s="98">
        <v>1</v>
      </c>
      <c r="L106" s="42"/>
      <c r="M106" s="593"/>
      <c r="N106" s="593"/>
      <c r="O106" s="575">
        <f t="shared" si="133"/>
        <v>0</v>
      </c>
      <c r="P106" s="575">
        <f t="shared" si="133"/>
        <v>1</v>
      </c>
      <c r="Q106" s="575">
        <f t="shared" si="133"/>
        <v>1</v>
      </c>
      <c r="R106" s="44">
        <f t="shared" si="134"/>
        <v>1</v>
      </c>
      <c r="S106" s="773" t="s">
        <v>1693</v>
      </c>
      <c r="T106" s="234"/>
      <c r="U106" s="40" t="s">
        <v>1796</v>
      </c>
      <c r="V106" s="544"/>
      <c r="W106" s="45" t="s">
        <v>1807</v>
      </c>
      <c r="X106" s="946" t="s">
        <v>1743</v>
      </c>
      <c r="Y106" s="710">
        <f t="shared" si="173"/>
        <v>3</v>
      </c>
      <c r="Z106" s="710">
        <f t="shared" si="174"/>
        <v>3</v>
      </c>
      <c r="AA106" s="714">
        <f t="shared" si="175"/>
        <v>1</v>
      </c>
      <c r="AB106" s="48">
        <v>0.15</v>
      </c>
      <c r="AC106" s="48">
        <v>0</v>
      </c>
      <c r="AD106" s="48">
        <v>0.15</v>
      </c>
      <c r="AE106" s="48">
        <v>0.15</v>
      </c>
      <c r="AF106" s="48">
        <v>0.15</v>
      </c>
      <c r="AG106" s="49">
        <v>200000000</v>
      </c>
      <c r="AH106" s="50"/>
      <c r="AI106" s="50"/>
      <c r="AJ106" s="240">
        <v>599402469</v>
      </c>
      <c r="AK106" s="240">
        <v>196124328.57142857</v>
      </c>
      <c r="AL106" s="932">
        <f t="shared" si="140"/>
        <v>0.98062164285714282</v>
      </c>
      <c r="AM106" s="50"/>
      <c r="AN106" s="730"/>
      <c r="AO106" s="1144">
        <v>349826469</v>
      </c>
      <c r="AP106" s="1144">
        <v>2370999.8571428568</v>
      </c>
      <c r="AQ106" s="1160">
        <f t="shared" si="143"/>
        <v>1.1854999285714284E-2</v>
      </c>
      <c r="AR106" s="51">
        <f t="shared" si="144"/>
        <v>193753328.7142857</v>
      </c>
      <c r="AS106" s="51"/>
      <c r="AT106" s="51"/>
      <c r="AU106" s="51"/>
      <c r="AV106" s="51"/>
      <c r="AW106" s="51">
        <f t="shared" si="171"/>
        <v>249576000</v>
      </c>
      <c r="AX106" s="51"/>
      <c r="AY106" s="43">
        <f t="shared" si="146"/>
        <v>0</v>
      </c>
      <c r="AZ106" s="49">
        <f>1881568333.32++AG106</f>
        <v>2081568333.3199999</v>
      </c>
      <c r="BA106" s="45">
        <f t="shared" si="129"/>
        <v>795526797.57142854</v>
      </c>
      <c r="BB106" s="43">
        <f t="shared" si="130"/>
        <v>0.38217664288858683</v>
      </c>
      <c r="BC106" s="591">
        <f t="shared" si="131"/>
        <v>352197468.85714287</v>
      </c>
      <c r="BD106" s="43">
        <f t="shared" si="132"/>
        <v>0.16919812970800008</v>
      </c>
      <c r="BE106" s="50"/>
      <c r="BF106" s="50" t="s">
        <v>68</v>
      </c>
      <c r="BG106" s="45" t="s">
        <v>89</v>
      </c>
      <c r="BH106" s="57"/>
      <c r="BI106" s="1224"/>
    </row>
    <row r="107" spans="1:61" ht="39" customHeight="1" x14ac:dyDescent="0.25">
      <c r="A107" s="23" t="s">
        <v>341</v>
      </c>
      <c r="B107" s="28"/>
      <c r="C107" s="28"/>
      <c r="D107" s="28"/>
      <c r="E107" s="81"/>
      <c r="F107" s="81"/>
      <c r="G107" s="741"/>
      <c r="H107" s="81"/>
      <c r="I107" s="81"/>
      <c r="J107" s="81"/>
      <c r="K107" s="81"/>
      <c r="L107" s="81"/>
      <c r="M107" s="81"/>
      <c r="N107" s="81"/>
      <c r="O107" s="609">
        <f>+(O108*AC108)</f>
        <v>0.93599999999999994</v>
      </c>
      <c r="P107" s="609">
        <f>+(P108*AD108)</f>
        <v>1</v>
      </c>
      <c r="Q107" s="609">
        <f>+(Q108*AE108)</f>
        <v>0.66800000000000015</v>
      </c>
      <c r="R107" s="609">
        <f>+(R108*AF108)</f>
        <v>0.59099999999999997</v>
      </c>
      <c r="S107" s="28"/>
      <c r="T107" s="237"/>
      <c r="U107" s="28"/>
      <c r="V107" s="28"/>
      <c r="W107" s="28"/>
      <c r="X107" s="28"/>
      <c r="Y107" s="83"/>
      <c r="Z107" s="83"/>
      <c r="AA107" s="609">
        <f>+(AA108*AB108)</f>
        <v>0.77450595238095232</v>
      </c>
      <c r="AB107" s="26">
        <v>0.43</v>
      </c>
      <c r="AC107" s="26">
        <v>0.43</v>
      </c>
      <c r="AD107" s="26">
        <v>0.43</v>
      </c>
      <c r="AE107" s="26">
        <v>0.43</v>
      </c>
      <c r="AF107" s="26">
        <v>0.43</v>
      </c>
      <c r="AG107" s="28">
        <f>AG108</f>
        <v>10618296180</v>
      </c>
      <c r="AH107" s="28">
        <f t="shared" ref="AH107:AK107" si="176">AH108</f>
        <v>1663665173</v>
      </c>
      <c r="AI107" s="28">
        <f t="shared" si="176"/>
        <v>4931582636.2600002</v>
      </c>
      <c r="AJ107" s="28">
        <f t="shared" si="176"/>
        <v>8559748963.5000038</v>
      </c>
      <c r="AK107" s="28">
        <f t="shared" si="176"/>
        <v>4578408265</v>
      </c>
      <c r="AL107" s="1134">
        <f t="shared" si="140"/>
        <v>0.4311810659061876</v>
      </c>
      <c r="AM107" s="28">
        <f>+AM108</f>
        <v>1663665173</v>
      </c>
      <c r="AN107" s="722">
        <f>+AN108</f>
        <v>3615582636.2600002</v>
      </c>
      <c r="AO107" s="243">
        <f t="shared" ref="AO107" si="177">AO108</f>
        <v>3524090779.9899988</v>
      </c>
      <c r="AP107" s="939">
        <f t="shared" ref="AP107" si="178">AP108</f>
        <v>883941855</v>
      </c>
      <c r="AQ107" s="1153">
        <f t="shared" si="143"/>
        <v>8.3247052070834215E-2</v>
      </c>
      <c r="AR107" s="28">
        <f t="shared" si="144"/>
        <v>3694466410</v>
      </c>
      <c r="AS107" s="28">
        <f>+AS108</f>
        <v>2062403568</v>
      </c>
      <c r="AT107" s="28">
        <f>+AT108</f>
        <v>2015352818</v>
      </c>
      <c r="AU107" s="28">
        <f>+AU108</f>
        <v>1316000000</v>
      </c>
      <c r="AV107" s="28">
        <f>+AV108</f>
        <v>0</v>
      </c>
      <c r="AW107" s="29">
        <f t="shared" si="171"/>
        <v>5035658183.510005</v>
      </c>
      <c r="AX107" s="29">
        <f t="shared" ref="AX107" si="179">AX108</f>
        <v>0</v>
      </c>
      <c r="AY107" s="26">
        <f t="shared" si="146"/>
        <v>0</v>
      </c>
      <c r="AZ107" s="28">
        <f>+AZ108</f>
        <v>27769497082.999981</v>
      </c>
      <c r="BA107" s="28">
        <f t="shared" ref="BA107" si="180">BA108</f>
        <v>19733405037.760002</v>
      </c>
      <c r="BB107" s="26">
        <f t="shared" ref="BB107:BB223" si="181">+BA107/AZ107</f>
        <v>0.71061441907928757</v>
      </c>
      <c r="BC107" s="1168">
        <f t="shared" ref="BC107" si="182">BC108</f>
        <v>11702633262.25</v>
      </c>
      <c r="BD107" s="26">
        <f t="shared" ref="BD107:BD125" si="183">+BC107/AZ107</f>
        <v>0.42142042498184656</v>
      </c>
      <c r="BE107" s="28"/>
      <c r="BF107" s="28"/>
      <c r="BG107" s="28"/>
      <c r="BH107" s="28"/>
      <c r="BI107" s="615"/>
    </row>
    <row r="108" spans="1:61" s="223" customFormat="1" ht="57.75" customHeight="1" x14ac:dyDescent="0.25">
      <c r="A108" s="32" t="s">
        <v>342</v>
      </c>
      <c r="B108" s="33"/>
      <c r="C108" s="33"/>
      <c r="D108" s="33"/>
      <c r="E108" s="34"/>
      <c r="F108" s="34"/>
      <c r="G108" s="745"/>
      <c r="H108" s="34"/>
      <c r="I108" s="34"/>
      <c r="J108" s="34"/>
      <c r="K108" s="34"/>
      <c r="L108" s="34"/>
      <c r="M108" s="34"/>
      <c r="N108" s="34"/>
      <c r="O108" s="607">
        <f>+SUMPRODUCT(O109:O123,AC109:AC123)</f>
        <v>0.93599999999999994</v>
      </c>
      <c r="P108" s="607">
        <f>+SUMPRODUCT(P109:P123,AD109:AD123)</f>
        <v>1</v>
      </c>
      <c r="Q108" s="607">
        <f>+SUMPRODUCT(Q109:Q123,AE109:AE123)</f>
        <v>0.66800000000000015</v>
      </c>
      <c r="R108" s="607">
        <f>+SUMPRODUCT(R109:R123,AF109:AF123)</f>
        <v>0.59099999999999997</v>
      </c>
      <c r="S108" s="33"/>
      <c r="T108" s="32"/>
      <c r="U108" s="33"/>
      <c r="V108" s="33"/>
      <c r="W108" s="33"/>
      <c r="X108" s="33"/>
      <c r="Y108" s="36"/>
      <c r="Z108" s="36"/>
      <c r="AA108" s="35">
        <f>+SUMPRODUCT(AA109:AA123,AB109:AB123)</f>
        <v>0.77450595238095232</v>
      </c>
      <c r="AB108" s="35">
        <v>1</v>
      </c>
      <c r="AC108" s="35">
        <v>1</v>
      </c>
      <c r="AD108" s="35">
        <v>1</v>
      </c>
      <c r="AE108" s="35">
        <v>1</v>
      </c>
      <c r="AF108" s="35">
        <v>1</v>
      </c>
      <c r="AG108" s="33">
        <f>SUM(AG109:AG123)</f>
        <v>10618296180</v>
      </c>
      <c r="AH108" s="33">
        <v>1663665173</v>
      </c>
      <c r="AI108" s="33">
        <v>4931582636.2600002</v>
      </c>
      <c r="AJ108" s="242">
        <f>SUM(AJ109:AJ123)</f>
        <v>8559748963.5000038</v>
      </c>
      <c r="AK108" s="242">
        <f>SUM(AK109:AK123)</f>
        <v>4578408265</v>
      </c>
      <c r="AL108" s="1138">
        <f t="shared" si="140"/>
        <v>0.4311810659061876</v>
      </c>
      <c r="AM108" s="733">
        <v>1663665173</v>
      </c>
      <c r="AN108" s="725">
        <v>3615582636.2600002</v>
      </c>
      <c r="AO108" s="242">
        <f t="shared" ref="AO108:AP108" si="184">SUM(AO109:AO123)</f>
        <v>3524090779.9899988</v>
      </c>
      <c r="AP108" s="242">
        <f t="shared" si="184"/>
        <v>883941855</v>
      </c>
      <c r="AQ108" s="1158">
        <f t="shared" si="143"/>
        <v>8.3247052070834215E-2</v>
      </c>
      <c r="AR108" s="99">
        <f t="shared" si="144"/>
        <v>3694466410</v>
      </c>
      <c r="AS108" s="99">
        <v>2062403568</v>
      </c>
      <c r="AT108" s="37">
        <v>2015352818</v>
      </c>
      <c r="AU108" s="530">
        <f>+AI108-AN108</f>
        <v>1316000000</v>
      </c>
      <c r="AV108" s="720">
        <v>0</v>
      </c>
      <c r="AW108" s="37">
        <f t="shared" si="171"/>
        <v>5035658183.510005</v>
      </c>
      <c r="AX108" s="37">
        <f t="shared" ref="AX108" si="185">SUM(AX109:AX123)</f>
        <v>0</v>
      </c>
      <c r="AY108" s="35">
        <f t="shared" si="146"/>
        <v>0</v>
      </c>
      <c r="AZ108" s="33">
        <f>SUM(AZ109:AZ123)-4945699605</f>
        <v>27769497082.999981</v>
      </c>
      <c r="BA108" s="33">
        <f t="shared" ref="BA108:BA123" si="186">SUM(AH108:AK108)</f>
        <v>19733405037.760002</v>
      </c>
      <c r="BB108" s="35">
        <f t="shared" si="181"/>
        <v>0.71061441907928757</v>
      </c>
      <c r="BC108" s="1172">
        <f t="shared" ref="BC108:BC123" si="187">SUM(AM108:AP108)+AT108+AV108+AX108</f>
        <v>11702633262.25</v>
      </c>
      <c r="BD108" s="35">
        <f t="shared" si="183"/>
        <v>0.42142042498184656</v>
      </c>
      <c r="BE108" s="33"/>
      <c r="BF108" s="33" t="s">
        <v>70</v>
      </c>
      <c r="BG108" s="33"/>
      <c r="BH108" s="33"/>
      <c r="BI108" s="618"/>
    </row>
    <row r="109" spans="1:61" ht="97.5" customHeight="1" x14ac:dyDescent="0.25">
      <c r="A109" s="842" t="s">
        <v>343</v>
      </c>
      <c r="B109" s="68" t="s">
        <v>344</v>
      </c>
      <c r="C109" s="91" t="s">
        <v>1776</v>
      </c>
      <c r="D109" s="68">
        <v>0</v>
      </c>
      <c r="E109" s="76">
        <v>1</v>
      </c>
      <c r="F109" s="76">
        <v>2</v>
      </c>
      <c r="G109" s="748">
        <v>1</v>
      </c>
      <c r="H109" s="76" t="s">
        <v>163</v>
      </c>
      <c r="I109" s="42">
        <v>1</v>
      </c>
      <c r="J109" s="56">
        <v>1</v>
      </c>
      <c r="K109" s="56">
        <v>1</v>
      </c>
      <c r="L109" s="42"/>
      <c r="M109" s="42"/>
      <c r="N109" s="42"/>
      <c r="O109" s="575">
        <f t="shared" ref="O109:Q123" si="188">+IFERROR(IF((H109+L109)/D109&gt;=100%,100%,(H109+L109)/D109),0)</f>
        <v>0</v>
      </c>
      <c r="P109" s="575">
        <f t="shared" si="188"/>
        <v>1</v>
      </c>
      <c r="Q109" s="575">
        <f t="shared" si="188"/>
        <v>0.5</v>
      </c>
      <c r="R109" s="43">
        <f t="shared" ref="R109:R122" si="189">+IFERROR(IF(K109/G109&gt;=100%,100%,K109/G109),0)</f>
        <v>1</v>
      </c>
      <c r="S109" s="1117" t="s">
        <v>1851</v>
      </c>
      <c r="T109" s="234"/>
      <c r="U109" s="40" t="s">
        <v>1796</v>
      </c>
      <c r="V109" s="544"/>
      <c r="W109" s="45" t="s">
        <v>1807</v>
      </c>
      <c r="X109" s="946" t="s">
        <v>1744</v>
      </c>
      <c r="Y109" s="49">
        <f t="shared" ref="Y109:Y123" si="190">SUM(D109:G109)</f>
        <v>4</v>
      </c>
      <c r="Z109" s="49">
        <f t="shared" ref="Z109:Z123" si="191">SUM(H109:N109)</f>
        <v>3</v>
      </c>
      <c r="AA109" s="49">
        <f t="shared" ref="AA109:AA123" si="192">IF(Z109/Y109&gt;=100%,100%,Z109/Y109)</f>
        <v>0.75</v>
      </c>
      <c r="AB109" s="100">
        <v>0.08</v>
      </c>
      <c r="AC109" s="48">
        <v>0</v>
      </c>
      <c r="AD109" s="100">
        <v>0.09</v>
      </c>
      <c r="AE109" s="100">
        <v>0.08</v>
      </c>
      <c r="AF109" s="100">
        <v>0.08</v>
      </c>
      <c r="AG109" s="49">
        <f>'Anexo 2 Mat Inf Gastos 23'!R148</f>
        <v>3118296180</v>
      </c>
      <c r="AH109" s="50"/>
      <c r="AI109" s="50"/>
      <c r="AJ109" s="240">
        <v>4188350378.4324846</v>
      </c>
      <c r="AK109" s="240">
        <v>3118296179</v>
      </c>
      <c r="AL109" s="932">
        <f t="shared" si="140"/>
        <v>0.99999999967931208</v>
      </c>
      <c r="AM109" s="45"/>
      <c r="AN109" s="723"/>
      <c r="AO109" s="240">
        <v>1724364466.1707776</v>
      </c>
      <c r="AP109" s="240"/>
      <c r="AQ109" s="1155">
        <f t="shared" si="143"/>
        <v>0</v>
      </c>
      <c r="AR109" s="51">
        <f t="shared" si="144"/>
        <v>3118296179</v>
      </c>
      <c r="AS109" s="51"/>
      <c r="AT109" s="51"/>
      <c r="AU109" s="51"/>
      <c r="AV109" s="51"/>
      <c r="AW109" s="51">
        <f t="shared" si="171"/>
        <v>2463985912.2617073</v>
      </c>
      <c r="AX109" s="51"/>
      <c r="AY109" s="43">
        <f t="shared" si="146"/>
        <v>0</v>
      </c>
      <c r="AZ109" s="49">
        <f>250199819+AG109+324569807.333333</f>
        <v>3693065806.333333</v>
      </c>
      <c r="BA109" s="45">
        <f t="shared" si="186"/>
        <v>7306646557.4324846</v>
      </c>
      <c r="BB109" s="43">
        <f t="shared" si="181"/>
        <v>1.9784772166534725</v>
      </c>
      <c r="BC109" s="591">
        <f t="shared" si="187"/>
        <v>1724364466.1707776</v>
      </c>
      <c r="BD109" s="43">
        <f t="shared" si="183"/>
        <v>0.46691950715138109</v>
      </c>
      <c r="BE109" s="50"/>
      <c r="BF109" s="50" t="s">
        <v>70</v>
      </c>
      <c r="BG109" s="45" t="s">
        <v>67</v>
      </c>
      <c r="BH109" s="53" t="s">
        <v>345</v>
      </c>
      <c r="BI109" s="1225" t="s">
        <v>346</v>
      </c>
    </row>
    <row r="110" spans="1:61" ht="92.25" customHeight="1" x14ac:dyDescent="0.25">
      <c r="A110" s="842" t="s">
        <v>347</v>
      </c>
      <c r="B110" s="68" t="s">
        <v>348</v>
      </c>
      <c r="C110" s="68" t="s">
        <v>1779</v>
      </c>
      <c r="D110" s="68">
        <v>4</v>
      </c>
      <c r="E110" s="76">
        <v>8</v>
      </c>
      <c r="F110" s="76">
        <v>8</v>
      </c>
      <c r="G110" s="748">
        <v>8</v>
      </c>
      <c r="H110" s="76">
        <v>4</v>
      </c>
      <c r="I110" s="42">
        <v>11</v>
      </c>
      <c r="J110" s="56">
        <v>10</v>
      </c>
      <c r="K110" s="56">
        <v>4</v>
      </c>
      <c r="L110" s="42"/>
      <c r="M110" s="593"/>
      <c r="N110" s="593"/>
      <c r="O110" s="575">
        <f t="shared" si="188"/>
        <v>1</v>
      </c>
      <c r="P110" s="575">
        <f t="shared" si="188"/>
        <v>1</v>
      </c>
      <c r="Q110" s="575">
        <f t="shared" si="188"/>
        <v>1</v>
      </c>
      <c r="R110" s="43">
        <f t="shared" si="189"/>
        <v>0.5</v>
      </c>
      <c r="S110" s="422" t="s">
        <v>1694</v>
      </c>
      <c r="T110" s="234"/>
      <c r="U110" s="40" t="s">
        <v>1796</v>
      </c>
      <c r="V110" s="544"/>
      <c r="W110" s="45" t="s">
        <v>1807</v>
      </c>
      <c r="X110" s="946" t="s">
        <v>1744</v>
      </c>
      <c r="Y110" s="47">
        <f t="shared" si="190"/>
        <v>28</v>
      </c>
      <c r="Z110" s="47">
        <f t="shared" si="191"/>
        <v>29</v>
      </c>
      <c r="AA110" s="43">
        <f t="shared" si="192"/>
        <v>1</v>
      </c>
      <c r="AB110" s="100">
        <v>0.11</v>
      </c>
      <c r="AC110" s="48">
        <v>0.14000000000000001</v>
      </c>
      <c r="AD110" s="100">
        <v>0.12</v>
      </c>
      <c r="AE110" s="100">
        <v>0.11</v>
      </c>
      <c r="AF110" s="100">
        <v>0.11</v>
      </c>
      <c r="AG110" s="49">
        <f>'Anexo 2 Mat Inf Gastos 23'!R144</f>
        <v>4500000000</v>
      </c>
      <c r="AH110" s="50"/>
      <c r="AI110" s="50"/>
      <c r="AJ110" s="240">
        <v>1359990670.909894</v>
      </c>
      <c r="AK110" s="240"/>
      <c r="AL110" s="932">
        <f t="shared" si="140"/>
        <v>0</v>
      </c>
      <c r="AM110" s="45"/>
      <c r="AN110" s="723"/>
      <c r="AO110" s="240">
        <v>559914853.1882025</v>
      </c>
      <c r="AP110" s="240"/>
      <c r="AQ110" s="1155">
        <f t="shared" si="143"/>
        <v>0</v>
      </c>
      <c r="AR110" s="51">
        <f t="shared" si="144"/>
        <v>0</v>
      </c>
      <c r="AS110" s="51"/>
      <c r="AT110" s="51"/>
      <c r="AU110" s="51"/>
      <c r="AV110" s="51"/>
      <c r="AW110" s="51">
        <f t="shared" si="171"/>
        <v>800075817.72169149</v>
      </c>
      <c r="AX110" s="51"/>
      <c r="AY110" s="43">
        <f t="shared" si="146"/>
        <v>0</v>
      </c>
      <c r="AZ110" s="49">
        <f>5775000000++AG110+324569807.333333</f>
        <v>10599569807.333332</v>
      </c>
      <c r="BA110" s="45">
        <f t="shared" si="186"/>
        <v>1359990670.909894</v>
      </c>
      <c r="BB110" s="43">
        <f t="shared" si="181"/>
        <v>0.12830621389643398</v>
      </c>
      <c r="BC110" s="591">
        <f t="shared" si="187"/>
        <v>559914853.1882025</v>
      </c>
      <c r="BD110" s="43">
        <f t="shared" si="183"/>
        <v>5.2824299793829778E-2</v>
      </c>
      <c r="BE110" s="50"/>
      <c r="BF110" s="50" t="s">
        <v>70</v>
      </c>
      <c r="BG110" s="45" t="s">
        <v>77</v>
      </c>
      <c r="BH110" s="57"/>
      <c r="BI110" s="1223"/>
    </row>
    <row r="111" spans="1:61" ht="54" customHeight="1" x14ac:dyDescent="0.25">
      <c r="A111" s="842" t="s">
        <v>349</v>
      </c>
      <c r="B111" s="68" t="s">
        <v>350</v>
      </c>
      <c r="C111" s="91" t="s">
        <v>1776</v>
      </c>
      <c r="D111" s="68">
        <v>8</v>
      </c>
      <c r="E111" s="76">
        <v>8</v>
      </c>
      <c r="F111" s="76">
        <v>8</v>
      </c>
      <c r="G111" s="748">
        <v>8</v>
      </c>
      <c r="H111" s="76">
        <v>8</v>
      </c>
      <c r="I111" s="42">
        <v>8</v>
      </c>
      <c r="J111" s="56">
        <v>9</v>
      </c>
      <c r="K111" s="56">
        <v>8</v>
      </c>
      <c r="L111" s="42"/>
      <c r="M111" s="593"/>
      <c r="N111" s="593"/>
      <c r="O111" s="575">
        <f t="shared" si="188"/>
        <v>1</v>
      </c>
      <c r="P111" s="575">
        <f t="shared" si="188"/>
        <v>1</v>
      </c>
      <c r="Q111" s="575">
        <f t="shared" si="188"/>
        <v>1</v>
      </c>
      <c r="R111" s="43">
        <f t="shared" si="189"/>
        <v>1</v>
      </c>
      <c r="S111" s="425" t="s">
        <v>1614</v>
      </c>
      <c r="T111" s="234"/>
      <c r="U111" s="40" t="s">
        <v>1796</v>
      </c>
      <c r="V111" s="40"/>
      <c r="W111" s="45" t="s">
        <v>1807</v>
      </c>
      <c r="X111" s="946" t="s">
        <v>1744</v>
      </c>
      <c r="Y111" s="47">
        <f t="shared" si="190"/>
        <v>32</v>
      </c>
      <c r="Z111" s="47">
        <f t="shared" si="191"/>
        <v>33</v>
      </c>
      <c r="AA111" s="43">
        <f t="shared" si="192"/>
        <v>1</v>
      </c>
      <c r="AB111" s="48">
        <v>0.06</v>
      </c>
      <c r="AC111" s="48">
        <v>0.09</v>
      </c>
      <c r="AD111" s="48">
        <v>7.0000000000000007E-2</v>
      </c>
      <c r="AE111" s="48">
        <v>0.06</v>
      </c>
      <c r="AF111" s="48">
        <v>0.06</v>
      </c>
      <c r="AG111" s="49">
        <v>300000000</v>
      </c>
      <c r="AH111" s="50"/>
      <c r="AI111" s="50"/>
      <c r="AJ111" s="240">
        <v>48571095.38963908</v>
      </c>
      <c r="AK111" s="240">
        <v>150000000</v>
      </c>
      <c r="AL111" s="932">
        <f t="shared" si="140"/>
        <v>0.5</v>
      </c>
      <c r="AM111" s="45"/>
      <c r="AN111" s="723"/>
      <c r="AO111" s="240">
        <v>19996959.042435806</v>
      </c>
      <c r="AP111" s="240">
        <v>100000000</v>
      </c>
      <c r="AQ111" s="1155">
        <f t="shared" si="143"/>
        <v>0.33333333333333331</v>
      </c>
      <c r="AR111" s="51">
        <f t="shared" si="144"/>
        <v>50000000</v>
      </c>
      <c r="AS111" s="51"/>
      <c r="AT111" s="51"/>
      <c r="AU111" s="51"/>
      <c r="AV111" s="51"/>
      <c r="AW111" s="51">
        <f t="shared" si="171"/>
        <v>28574136.347203273</v>
      </c>
      <c r="AX111" s="51"/>
      <c r="AY111" s="43">
        <f t="shared" si="146"/>
        <v>0</v>
      </c>
      <c r="AZ111" s="49">
        <f>447549953+AG111+324569807.333333</f>
        <v>1072119760.333333</v>
      </c>
      <c r="BA111" s="45">
        <f t="shared" si="186"/>
        <v>198571095.38963908</v>
      </c>
      <c r="BB111" s="43">
        <f t="shared" si="181"/>
        <v>0.18521353932316414</v>
      </c>
      <c r="BC111" s="591">
        <f t="shared" si="187"/>
        <v>119996959.04243581</v>
      </c>
      <c r="BD111" s="43">
        <f t="shared" si="183"/>
        <v>0.11192495790314276</v>
      </c>
      <c r="BE111" s="50"/>
      <c r="BF111" s="50" t="s">
        <v>70</v>
      </c>
      <c r="BG111" s="45" t="s">
        <v>77</v>
      </c>
      <c r="BH111" s="57"/>
      <c r="BI111" s="1223"/>
    </row>
    <row r="112" spans="1:61" ht="57.75" customHeight="1" x14ac:dyDescent="0.25">
      <c r="A112" s="842" t="s">
        <v>351</v>
      </c>
      <c r="B112" s="68" t="s">
        <v>352</v>
      </c>
      <c r="C112" s="91" t="s">
        <v>1776</v>
      </c>
      <c r="D112" s="68">
        <v>0</v>
      </c>
      <c r="E112" s="76">
        <v>1</v>
      </c>
      <c r="F112" s="76">
        <v>1</v>
      </c>
      <c r="G112" s="748">
        <v>1</v>
      </c>
      <c r="H112" s="76" t="s">
        <v>163</v>
      </c>
      <c r="I112" s="42">
        <v>1</v>
      </c>
      <c r="J112" s="56">
        <v>1</v>
      </c>
      <c r="K112" s="56">
        <v>1</v>
      </c>
      <c r="L112" s="42"/>
      <c r="M112" s="593"/>
      <c r="N112" s="593"/>
      <c r="O112" s="575">
        <f t="shared" si="188"/>
        <v>0</v>
      </c>
      <c r="P112" s="575">
        <f t="shared" si="188"/>
        <v>1</v>
      </c>
      <c r="Q112" s="575">
        <f t="shared" si="188"/>
        <v>1</v>
      </c>
      <c r="R112" s="43">
        <f t="shared" si="189"/>
        <v>1</v>
      </c>
      <c r="S112" s="426" t="s">
        <v>1615</v>
      </c>
      <c r="T112" s="234"/>
      <c r="U112" s="40" t="s">
        <v>1796</v>
      </c>
      <c r="V112" s="40"/>
      <c r="W112" s="45" t="s">
        <v>1807</v>
      </c>
      <c r="X112" s="946" t="s">
        <v>1744</v>
      </c>
      <c r="Y112" s="47">
        <f t="shared" si="190"/>
        <v>3</v>
      </c>
      <c r="Z112" s="47">
        <f t="shared" si="191"/>
        <v>3</v>
      </c>
      <c r="AA112" s="43">
        <f t="shared" si="192"/>
        <v>1</v>
      </c>
      <c r="AB112" s="48">
        <v>0.04</v>
      </c>
      <c r="AC112" s="48">
        <v>0</v>
      </c>
      <c r="AD112" s="48">
        <v>0.04</v>
      </c>
      <c r="AE112" s="48">
        <v>0.04</v>
      </c>
      <c r="AF112" s="48">
        <v>0.04</v>
      </c>
      <c r="AG112" s="49">
        <v>250000000</v>
      </c>
      <c r="AH112" s="50"/>
      <c r="AI112" s="50"/>
      <c r="AJ112" s="240">
        <v>194284381.55855632</v>
      </c>
      <c r="AK112" s="240">
        <v>120112086</v>
      </c>
      <c r="AL112" s="932">
        <f t="shared" si="140"/>
        <v>0.48044834400000003</v>
      </c>
      <c r="AM112" s="45"/>
      <c r="AN112" s="723"/>
      <c r="AO112" s="240">
        <v>79987836.169743225</v>
      </c>
      <c r="AP112" s="240">
        <v>93941855</v>
      </c>
      <c r="AQ112" s="1155">
        <f t="shared" si="143"/>
        <v>0.37576742000000002</v>
      </c>
      <c r="AR112" s="51">
        <f t="shared" si="144"/>
        <v>26170231</v>
      </c>
      <c r="AS112" s="51"/>
      <c r="AT112" s="51"/>
      <c r="AU112" s="51"/>
      <c r="AV112" s="51"/>
      <c r="AW112" s="51">
        <f t="shared" si="171"/>
        <v>114296545.38881309</v>
      </c>
      <c r="AX112" s="51"/>
      <c r="AY112" s="43">
        <f t="shared" si="146"/>
        <v>0</v>
      </c>
      <c r="AZ112" s="49">
        <f>232549953++AG112+324569807.333333</f>
        <v>807119760.33333302</v>
      </c>
      <c r="BA112" s="45">
        <f t="shared" si="186"/>
        <v>314396467.55855632</v>
      </c>
      <c r="BB112" s="43">
        <f t="shared" si="181"/>
        <v>0.38952889398806623</v>
      </c>
      <c r="BC112" s="591">
        <f t="shared" si="187"/>
        <v>173929691.16974324</v>
      </c>
      <c r="BD112" s="43">
        <f t="shared" si="183"/>
        <v>0.21549427943371363</v>
      </c>
      <c r="BE112" s="50"/>
      <c r="BF112" s="50" t="s">
        <v>70</v>
      </c>
      <c r="BG112" s="45" t="s">
        <v>67</v>
      </c>
      <c r="BH112" s="57"/>
      <c r="BI112" s="1223"/>
    </row>
    <row r="113" spans="1:61" ht="45" customHeight="1" x14ac:dyDescent="0.25">
      <c r="A113" s="842" t="s">
        <v>353</v>
      </c>
      <c r="B113" s="68" t="s">
        <v>354</v>
      </c>
      <c r="C113" s="68" t="s">
        <v>1779</v>
      </c>
      <c r="D113" s="40">
        <v>1</v>
      </c>
      <c r="E113" s="66">
        <v>1</v>
      </c>
      <c r="F113" s="76">
        <v>2</v>
      </c>
      <c r="G113" s="748">
        <v>2</v>
      </c>
      <c r="H113" s="66">
        <v>1</v>
      </c>
      <c r="I113" s="42">
        <v>1</v>
      </c>
      <c r="J113" s="56">
        <v>0</v>
      </c>
      <c r="K113" s="56"/>
      <c r="L113" s="42"/>
      <c r="M113" s="593"/>
      <c r="N113" s="593"/>
      <c r="O113" s="575">
        <f t="shared" si="188"/>
        <v>1</v>
      </c>
      <c r="P113" s="575">
        <f t="shared" si="188"/>
        <v>1</v>
      </c>
      <c r="Q113" s="575">
        <f t="shared" si="188"/>
        <v>0</v>
      </c>
      <c r="R113" s="43">
        <f t="shared" si="189"/>
        <v>0</v>
      </c>
      <c r="S113" s="54" t="s">
        <v>1677</v>
      </c>
      <c r="T113" s="234"/>
      <c r="U113" s="40" t="s">
        <v>1796</v>
      </c>
      <c r="V113" s="40"/>
      <c r="W113" s="45" t="s">
        <v>1807</v>
      </c>
      <c r="X113" s="946" t="s">
        <v>1744</v>
      </c>
      <c r="Y113" s="47">
        <f t="shared" si="190"/>
        <v>6</v>
      </c>
      <c r="Z113" s="47">
        <f t="shared" si="191"/>
        <v>2</v>
      </c>
      <c r="AA113" s="43">
        <f t="shared" si="192"/>
        <v>0.33333333333333331</v>
      </c>
      <c r="AB113" s="100">
        <v>0.08</v>
      </c>
      <c r="AC113" s="48">
        <v>0.1</v>
      </c>
      <c r="AD113" s="100">
        <v>0.08</v>
      </c>
      <c r="AE113" s="100">
        <v>0.08</v>
      </c>
      <c r="AF113" s="100">
        <v>0.08</v>
      </c>
      <c r="AG113" s="49">
        <v>300000000</v>
      </c>
      <c r="AH113" s="50"/>
      <c r="AI113" s="50"/>
      <c r="AJ113" s="240">
        <v>242855476.94819543</v>
      </c>
      <c r="AK113" s="240"/>
      <c r="AL113" s="932">
        <f t="shared" si="140"/>
        <v>0</v>
      </c>
      <c r="AM113" s="45"/>
      <c r="AN113" s="723"/>
      <c r="AO113" s="240">
        <v>99984795.21217902</v>
      </c>
      <c r="AP113" s="240"/>
      <c r="AQ113" s="1155">
        <f t="shared" si="143"/>
        <v>0</v>
      </c>
      <c r="AR113" s="51">
        <f t="shared" si="144"/>
        <v>0</v>
      </c>
      <c r="AS113" s="51"/>
      <c r="AT113" s="51"/>
      <c r="AU113" s="51"/>
      <c r="AV113" s="51"/>
      <c r="AW113" s="51">
        <f t="shared" si="171"/>
        <v>142870681.73601639</v>
      </c>
      <c r="AX113" s="51"/>
      <c r="AY113" s="43">
        <f t="shared" si="146"/>
        <v>0</v>
      </c>
      <c r="AZ113" s="49">
        <f>2425000000++AG113+324569807.333333</f>
        <v>3049569807.333333</v>
      </c>
      <c r="BA113" s="45">
        <f t="shared" si="186"/>
        <v>242855476.94819543</v>
      </c>
      <c r="BB113" s="43">
        <f t="shared" si="181"/>
        <v>7.9635978938471352E-2</v>
      </c>
      <c r="BC113" s="591">
        <f t="shared" si="187"/>
        <v>99984795.21217902</v>
      </c>
      <c r="BD113" s="43">
        <f t="shared" si="183"/>
        <v>3.2786524503142872E-2</v>
      </c>
      <c r="BE113" s="50"/>
      <c r="BF113" s="50" t="s">
        <v>70</v>
      </c>
      <c r="BG113" s="45" t="s">
        <v>77</v>
      </c>
      <c r="BH113" s="57"/>
      <c r="BI113" s="1224"/>
    </row>
    <row r="114" spans="1:61" ht="227.25" customHeight="1" x14ac:dyDescent="0.25">
      <c r="A114" s="842" t="s">
        <v>356</v>
      </c>
      <c r="B114" s="68" t="s">
        <v>357</v>
      </c>
      <c r="C114" s="68" t="s">
        <v>1779</v>
      </c>
      <c r="D114" s="68">
        <v>1</v>
      </c>
      <c r="E114" s="76">
        <v>2</v>
      </c>
      <c r="F114" s="76">
        <v>2</v>
      </c>
      <c r="G114" s="748">
        <v>2</v>
      </c>
      <c r="H114" s="76">
        <v>1</v>
      </c>
      <c r="I114" s="42">
        <v>2</v>
      </c>
      <c r="J114" s="56">
        <v>5</v>
      </c>
      <c r="K114" s="56">
        <v>1</v>
      </c>
      <c r="L114" s="42"/>
      <c r="M114" s="593"/>
      <c r="N114" s="593"/>
      <c r="O114" s="575">
        <f t="shared" si="188"/>
        <v>1</v>
      </c>
      <c r="P114" s="575">
        <f t="shared" si="188"/>
        <v>1</v>
      </c>
      <c r="Q114" s="575">
        <f t="shared" si="188"/>
        <v>1</v>
      </c>
      <c r="R114" s="43">
        <f t="shared" si="189"/>
        <v>0.5</v>
      </c>
      <c r="S114" s="1109" t="s">
        <v>1852</v>
      </c>
      <c r="T114" s="234"/>
      <c r="U114" s="40" t="s">
        <v>1796</v>
      </c>
      <c r="V114" s="544"/>
      <c r="W114" s="45" t="s">
        <v>1807</v>
      </c>
      <c r="X114" s="946" t="s">
        <v>1744</v>
      </c>
      <c r="Y114" s="47">
        <f t="shared" si="190"/>
        <v>7</v>
      </c>
      <c r="Z114" s="47">
        <f t="shared" si="191"/>
        <v>9</v>
      </c>
      <c r="AA114" s="43">
        <f t="shared" si="192"/>
        <v>1</v>
      </c>
      <c r="AB114" s="100">
        <v>0.08</v>
      </c>
      <c r="AC114" s="48">
        <v>0.1</v>
      </c>
      <c r="AD114" s="100">
        <v>0.08</v>
      </c>
      <c r="AE114" s="100">
        <v>0.08</v>
      </c>
      <c r="AF114" s="100">
        <v>0.08</v>
      </c>
      <c r="AG114" s="49">
        <v>200000000</v>
      </c>
      <c r="AH114" s="50"/>
      <c r="AI114" s="50"/>
      <c r="AJ114" s="240">
        <v>194284381.55855632</v>
      </c>
      <c r="AK114" s="240">
        <v>200000000</v>
      </c>
      <c r="AL114" s="932">
        <f t="shared" si="140"/>
        <v>1</v>
      </c>
      <c r="AM114" s="45"/>
      <c r="AN114" s="723"/>
      <c r="AO114" s="240">
        <v>79987836.169743225</v>
      </c>
      <c r="AP114" s="240">
        <v>100000000</v>
      </c>
      <c r="AQ114" s="1155">
        <f t="shared" si="143"/>
        <v>0.5</v>
      </c>
      <c r="AR114" s="51">
        <f t="shared" si="144"/>
        <v>100000000</v>
      </c>
      <c r="AS114" s="51"/>
      <c r="AT114" s="51"/>
      <c r="AU114" s="51"/>
      <c r="AV114" s="51"/>
      <c r="AW114" s="51">
        <f t="shared" si="171"/>
        <v>114296545.38881309</v>
      </c>
      <c r="AX114" s="51"/>
      <c r="AY114" s="43">
        <f t="shared" si="146"/>
        <v>0</v>
      </c>
      <c r="AZ114" s="49">
        <f>917549953+114+324569807.333333</f>
        <v>1242119874.333333</v>
      </c>
      <c r="BA114" s="45">
        <f t="shared" si="186"/>
        <v>394284381.55855632</v>
      </c>
      <c r="BB114" s="43">
        <f t="shared" si="181"/>
        <v>0.31742860709814785</v>
      </c>
      <c r="BC114" s="591">
        <f t="shared" si="187"/>
        <v>179987836.16974324</v>
      </c>
      <c r="BD114" s="43">
        <f t="shared" si="183"/>
        <v>0.14490375678623271</v>
      </c>
      <c r="BE114" s="50"/>
      <c r="BF114" s="50" t="s">
        <v>70</v>
      </c>
      <c r="BG114" s="45" t="s">
        <v>77</v>
      </c>
      <c r="BH114" s="57"/>
      <c r="BI114" s="1222" t="s">
        <v>358</v>
      </c>
    </row>
    <row r="115" spans="1:61" ht="39.75" customHeight="1" x14ac:dyDescent="0.25">
      <c r="A115" s="842" t="s">
        <v>359</v>
      </c>
      <c r="B115" s="53" t="s">
        <v>360</v>
      </c>
      <c r="C115" s="68" t="s">
        <v>1779</v>
      </c>
      <c r="D115" s="53">
        <v>0</v>
      </c>
      <c r="E115" s="76">
        <v>1</v>
      </c>
      <c r="F115" s="76">
        <v>1</v>
      </c>
      <c r="G115" s="748">
        <v>1</v>
      </c>
      <c r="H115" s="575" t="s">
        <v>163</v>
      </c>
      <c r="I115" s="42">
        <v>1</v>
      </c>
      <c r="J115" s="198">
        <v>2</v>
      </c>
      <c r="K115" s="198">
        <v>1</v>
      </c>
      <c r="L115" s="42"/>
      <c r="M115" s="593"/>
      <c r="N115" s="593"/>
      <c r="O115" s="575">
        <f t="shared" si="188"/>
        <v>0</v>
      </c>
      <c r="P115" s="575">
        <f t="shared" si="188"/>
        <v>1</v>
      </c>
      <c r="Q115" s="575">
        <f t="shared" si="188"/>
        <v>1</v>
      </c>
      <c r="R115" s="43">
        <f t="shared" si="189"/>
        <v>1</v>
      </c>
      <c r="S115" s="54" t="s">
        <v>1695</v>
      </c>
      <c r="T115" s="234"/>
      <c r="U115" s="40" t="s">
        <v>1796</v>
      </c>
      <c r="V115" s="544"/>
      <c r="W115" s="45" t="s">
        <v>1807</v>
      </c>
      <c r="X115" s="946" t="s">
        <v>1744</v>
      </c>
      <c r="Y115" s="47">
        <f t="shared" si="190"/>
        <v>3</v>
      </c>
      <c r="Z115" s="47">
        <f t="shared" si="191"/>
        <v>4</v>
      </c>
      <c r="AA115" s="43">
        <f t="shared" si="192"/>
        <v>1</v>
      </c>
      <c r="AB115" s="48">
        <v>0.04</v>
      </c>
      <c r="AC115" s="48">
        <v>0</v>
      </c>
      <c r="AD115" s="48">
        <v>0.04</v>
      </c>
      <c r="AE115" s="48">
        <v>0.04</v>
      </c>
      <c r="AF115" s="48">
        <v>0.04</v>
      </c>
      <c r="AG115" s="49">
        <v>200000000</v>
      </c>
      <c r="AH115" s="50"/>
      <c r="AI115" s="50"/>
      <c r="AJ115" s="240">
        <v>194284381.55855632</v>
      </c>
      <c r="AK115" s="240">
        <v>100000000</v>
      </c>
      <c r="AL115" s="932">
        <f t="shared" si="140"/>
        <v>0.5</v>
      </c>
      <c r="AM115" s="45"/>
      <c r="AN115" s="723"/>
      <c r="AO115" s="240">
        <v>79987836.169743225</v>
      </c>
      <c r="AP115" s="240">
        <v>100000000</v>
      </c>
      <c r="AQ115" s="1155">
        <f t="shared" si="143"/>
        <v>0.5</v>
      </c>
      <c r="AR115" s="51">
        <f t="shared" si="144"/>
        <v>0</v>
      </c>
      <c r="AS115" s="51"/>
      <c r="AT115" s="51"/>
      <c r="AU115" s="51"/>
      <c r="AV115" s="51"/>
      <c r="AW115" s="51">
        <f t="shared" si="171"/>
        <v>114296545.38881309</v>
      </c>
      <c r="AX115" s="51"/>
      <c r="AY115" s="43">
        <f t="shared" si="146"/>
        <v>0</v>
      </c>
      <c r="AZ115" s="49">
        <f>2355000000+115+324569807.333333</f>
        <v>2679569922.333333</v>
      </c>
      <c r="BA115" s="45">
        <f t="shared" si="186"/>
        <v>294284381.55855632</v>
      </c>
      <c r="BB115" s="43">
        <f t="shared" si="181"/>
        <v>0.10982522945409742</v>
      </c>
      <c r="BC115" s="591">
        <f t="shared" si="187"/>
        <v>179987836.16974324</v>
      </c>
      <c r="BD115" s="43">
        <f t="shared" si="183"/>
        <v>6.7170419651901556E-2</v>
      </c>
      <c r="BE115" s="50"/>
      <c r="BF115" s="50" t="s">
        <v>70</v>
      </c>
      <c r="BG115" s="45" t="s">
        <v>77</v>
      </c>
      <c r="BH115" s="57"/>
      <c r="BI115" s="1224"/>
    </row>
    <row r="116" spans="1:61" ht="42.75" customHeight="1" x14ac:dyDescent="0.25">
      <c r="A116" s="842" t="s">
        <v>361</v>
      </c>
      <c r="B116" s="68" t="s">
        <v>362</v>
      </c>
      <c r="C116" s="91" t="s">
        <v>1776</v>
      </c>
      <c r="D116" s="68">
        <v>0</v>
      </c>
      <c r="E116" s="76">
        <v>0</v>
      </c>
      <c r="F116" s="76">
        <v>0.5</v>
      </c>
      <c r="G116" s="748">
        <v>1</v>
      </c>
      <c r="H116" s="575" t="s">
        <v>163</v>
      </c>
      <c r="I116" s="575" t="s">
        <v>163</v>
      </c>
      <c r="J116" s="93">
        <v>0.1</v>
      </c>
      <c r="K116" s="93">
        <v>1</v>
      </c>
      <c r="L116" s="42"/>
      <c r="M116" s="593"/>
      <c r="N116" s="593"/>
      <c r="O116" s="575">
        <f t="shared" si="188"/>
        <v>0</v>
      </c>
      <c r="P116" s="575">
        <f t="shared" si="188"/>
        <v>0</v>
      </c>
      <c r="Q116" s="575">
        <f t="shared" si="188"/>
        <v>0.2</v>
      </c>
      <c r="R116" s="43">
        <f t="shared" si="189"/>
        <v>1</v>
      </c>
      <c r="S116" s="101" t="s">
        <v>1662</v>
      </c>
      <c r="T116" s="234"/>
      <c r="U116" s="40" t="s">
        <v>1796</v>
      </c>
      <c r="V116" s="40"/>
      <c r="W116" s="45" t="s">
        <v>1807</v>
      </c>
      <c r="X116" s="946" t="s">
        <v>1744</v>
      </c>
      <c r="Y116" s="47">
        <f t="shared" si="190"/>
        <v>1.5</v>
      </c>
      <c r="Z116" s="715">
        <f t="shared" si="191"/>
        <v>1.1000000000000001</v>
      </c>
      <c r="AA116" s="43">
        <f t="shared" si="192"/>
        <v>0.73333333333333339</v>
      </c>
      <c r="AB116" s="48">
        <v>0.03</v>
      </c>
      <c r="AC116" s="48">
        <v>0</v>
      </c>
      <c r="AD116" s="48">
        <v>0</v>
      </c>
      <c r="AE116" s="48">
        <v>0.03</v>
      </c>
      <c r="AF116" s="48">
        <v>0.03</v>
      </c>
      <c r="AG116" s="49">
        <v>30000000</v>
      </c>
      <c r="AH116" s="50"/>
      <c r="AI116" s="50"/>
      <c r="AJ116" s="240">
        <v>388568763.11711264</v>
      </c>
      <c r="AK116" s="240">
        <v>10000000</v>
      </c>
      <c r="AL116" s="932">
        <f t="shared" si="140"/>
        <v>0.33333333333333331</v>
      </c>
      <c r="AM116" s="45"/>
      <c r="AN116" s="723"/>
      <c r="AO116" s="240">
        <v>159975672.33948645</v>
      </c>
      <c r="AP116" s="240">
        <v>10000000</v>
      </c>
      <c r="AQ116" s="1155">
        <f t="shared" si="143"/>
        <v>0.33333333333333331</v>
      </c>
      <c r="AR116" s="51">
        <f t="shared" si="144"/>
        <v>0</v>
      </c>
      <c r="AS116" s="51"/>
      <c r="AT116" s="51"/>
      <c r="AU116" s="51"/>
      <c r="AV116" s="51"/>
      <c r="AW116" s="51">
        <f t="shared" si="171"/>
        <v>228593090.77762619</v>
      </c>
      <c r="AX116" s="51"/>
      <c r="AY116" s="43">
        <f t="shared" si="146"/>
        <v>0</v>
      </c>
      <c r="AZ116" s="70">
        <f>200000000++AG116+324569807.333333</f>
        <v>554569807.33333302</v>
      </c>
      <c r="BA116" s="45">
        <f t="shared" si="186"/>
        <v>398568763.11711264</v>
      </c>
      <c r="BB116" s="43">
        <f t="shared" si="181"/>
        <v>0.71869899487251843</v>
      </c>
      <c r="BC116" s="591">
        <f t="shared" si="187"/>
        <v>169975672.33948645</v>
      </c>
      <c r="BD116" s="43">
        <f t="shared" si="183"/>
        <v>0.30650004758971644</v>
      </c>
      <c r="BE116" s="50"/>
      <c r="BF116" s="50"/>
      <c r="BG116" s="45" t="s">
        <v>69</v>
      </c>
      <c r="BH116" s="57"/>
      <c r="BI116" s="1225" t="s">
        <v>346</v>
      </c>
    </row>
    <row r="117" spans="1:61" ht="59.25" customHeight="1" x14ac:dyDescent="0.25">
      <c r="A117" s="842" t="s">
        <v>363</v>
      </c>
      <c r="B117" s="53" t="s">
        <v>364</v>
      </c>
      <c r="C117" s="68" t="s">
        <v>1779</v>
      </c>
      <c r="D117" s="53">
        <v>1</v>
      </c>
      <c r="E117" s="76">
        <v>3</v>
      </c>
      <c r="F117" s="76">
        <v>3</v>
      </c>
      <c r="G117" s="748">
        <v>3</v>
      </c>
      <c r="H117" s="76">
        <v>1</v>
      </c>
      <c r="I117" s="42">
        <v>2</v>
      </c>
      <c r="J117" s="56">
        <v>3</v>
      </c>
      <c r="K117" s="56">
        <v>1</v>
      </c>
      <c r="L117" s="42"/>
      <c r="M117" s="291">
        <v>1</v>
      </c>
      <c r="N117" s="291"/>
      <c r="O117" s="687">
        <f t="shared" si="188"/>
        <v>1</v>
      </c>
      <c r="P117" s="687">
        <f t="shared" si="188"/>
        <v>1</v>
      </c>
      <c r="Q117" s="687">
        <f t="shared" si="188"/>
        <v>1</v>
      </c>
      <c r="R117" s="43">
        <f t="shared" si="189"/>
        <v>0.33333333333333331</v>
      </c>
      <c r="S117" s="532" t="s">
        <v>1663</v>
      </c>
      <c r="T117" s="234"/>
      <c r="U117" s="40" t="s">
        <v>1796</v>
      </c>
      <c r="V117" s="544"/>
      <c r="W117" s="45" t="s">
        <v>1807</v>
      </c>
      <c r="X117" s="946" t="s">
        <v>1744</v>
      </c>
      <c r="Y117" s="47">
        <f t="shared" si="190"/>
        <v>10</v>
      </c>
      <c r="Z117" s="47">
        <f t="shared" si="191"/>
        <v>8</v>
      </c>
      <c r="AA117" s="43">
        <f t="shared" si="192"/>
        <v>0.8</v>
      </c>
      <c r="AB117" s="48">
        <v>0.09</v>
      </c>
      <c r="AC117" s="48">
        <v>0.11</v>
      </c>
      <c r="AD117" s="48">
        <v>0.09</v>
      </c>
      <c r="AE117" s="48">
        <v>0.09</v>
      </c>
      <c r="AF117" s="48">
        <v>0.09</v>
      </c>
      <c r="AG117" s="49">
        <v>70000000</v>
      </c>
      <c r="AH117" s="50"/>
      <c r="AI117" s="50"/>
      <c r="AJ117" s="240">
        <v>194284381.55855632</v>
      </c>
      <c r="AK117" s="240">
        <v>10000000</v>
      </c>
      <c r="AL117" s="932">
        <f t="shared" si="140"/>
        <v>0.14285714285714285</v>
      </c>
      <c r="AM117" s="45"/>
      <c r="AN117" s="723"/>
      <c r="AO117" s="240">
        <v>79987836.169743225</v>
      </c>
      <c r="AP117" s="240">
        <v>10000000</v>
      </c>
      <c r="AQ117" s="1155">
        <f t="shared" si="143"/>
        <v>0.14285714285714285</v>
      </c>
      <c r="AR117" s="51">
        <f t="shared" si="144"/>
        <v>0</v>
      </c>
      <c r="AS117" s="51"/>
      <c r="AT117" s="51"/>
      <c r="AU117" s="51"/>
      <c r="AV117" s="51"/>
      <c r="AW117" s="51">
        <f t="shared" si="171"/>
        <v>114296545.38881309</v>
      </c>
      <c r="AX117" s="51"/>
      <c r="AY117" s="43">
        <f t="shared" si="146"/>
        <v>0</v>
      </c>
      <c r="AZ117" s="49">
        <f>967549953+117+324569807.333333</f>
        <v>1292119877.333333</v>
      </c>
      <c r="BA117" s="45">
        <f t="shared" si="186"/>
        <v>204284381.55855632</v>
      </c>
      <c r="BB117" s="43">
        <f t="shared" si="181"/>
        <v>0.1581001771911108</v>
      </c>
      <c r="BC117" s="591">
        <f t="shared" si="187"/>
        <v>89987836.169743225</v>
      </c>
      <c r="BD117" s="43">
        <f t="shared" si="183"/>
        <v>6.9643566164665327E-2</v>
      </c>
      <c r="BE117" s="50"/>
      <c r="BF117" s="50" t="s">
        <v>70</v>
      </c>
      <c r="BG117" s="50"/>
      <c r="BH117" s="57"/>
      <c r="BI117" s="1224"/>
    </row>
    <row r="118" spans="1:61" ht="40.5" customHeight="1" x14ac:dyDescent="0.25">
      <c r="A118" s="842" t="s">
        <v>366</v>
      </c>
      <c r="B118" s="68" t="s">
        <v>367</v>
      </c>
      <c r="C118" s="68" t="s">
        <v>1778</v>
      </c>
      <c r="D118" s="69">
        <v>1</v>
      </c>
      <c r="E118" s="85">
        <v>1</v>
      </c>
      <c r="F118" s="579">
        <v>1</v>
      </c>
      <c r="G118" s="750">
        <v>1</v>
      </c>
      <c r="H118" s="579">
        <v>0.2</v>
      </c>
      <c r="I118" s="43">
        <v>1</v>
      </c>
      <c r="J118" s="69">
        <v>0.4</v>
      </c>
      <c r="K118" s="576">
        <v>0.21</v>
      </c>
      <c r="L118" s="43"/>
      <c r="M118" s="43"/>
      <c r="N118" s="43"/>
      <c r="O118" s="575">
        <f t="shared" si="188"/>
        <v>0.2</v>
      </c>
      <c r="P118" s="575">
        <f t="shared" si="188"/>
        <v>1</v>
      </c>
      <c r="Q118" s="575">
        <f t="shared" si="188"/>
        <v>0.4</v>
      </c>
      <c r="R118" s="531">
        <f t="shared" si="189"/>
        <v>0.21</v>
      </c>
      <c r="S118" s="533" t="s">
        <v>1696</v>
      </c>
      <c r="T118" s="234"/>
      <c r="U118" s="40" t="s">
        <v>1796</v>
      </c>
      <c r="V118" s="544"/>
      <c r="W118" s="45" t="s">
        <v>1807</v>
      </c>
      <c r="X118" s="946" t="s">
        <v>1744</v>
      </c>
      <c r="Y118" s="43">
        <f t="shared" si="190"/>
        <v>4</v>
      </c>
      <c r="Z118" s="698">
        <f t="shared" si="191"/>
        <v>1.81</v>
      </c>
      <c r="AA118" s="43">
        <f t="shared" si="192"/>
        <v>0.45250000000000001</v>
      </c>
      <c r="AB118" s="100">
        <v>0.05</v>
      </c>
      <c r="AC118" s="48">
        <v>0.08</v>
      </c>
      <c r="AD118" s="100">
        <v>0.05</v>
      </c>
      <c r="AE118" s="100">
        <v>0.05</v>
      </c>
      <c r="AF118" s="100">
        <v>0.05</v>
      </c>
      <c r="AG118" s="49">
        <v>300000000</v>
      </c>
      <c r="AH118" s="50"/>
      <c r="AI118" s="50"/>
      <c r="AJ118" s="240">
        <v>194284381.55855632</v>
      </c>
      <c r="AK118" s="240">
        <v>150000000</v>
      </c>
      <c r="AL118" s="932">
        <f t="shared" si="140"/>
        <v>0.5</v>
      </c>
      <c r="AM118" s="45"/>
      <c r="AN118" s="723"/>
      <c r="AO118" s="240">
        <v>79987836.169743225</v>
      </c>
      <c r="AP118" s="240">
        <v>150000000</v>
      </c>
      <c r="AQ118" s="1155">
        <f t="shared" si="143"/>
        <v>0.5</v>
      </c>
      <c r="AR118" s="51">
        <f t="shared" si="144"/>
        <v>0</v>
      </c>
      <c r="AS118" s="51"/>
      <c r="AT118" s="51"/>
      <c r="AU118" s="51"/>
      <c r="AV118" s="51"/>
      <c r="AW118" s="51">
        <f t="shared" si="171"/>
        <v>114296545.38881309</v>
      </c>
      <c r="AX118" s="51"/>
      <c r="AY118" s="43">
        <f t="shared" si="146"/>
        <v>0</v>
      </c>
      <c r="AZ118" s="49">
        <f>567549953++AG118+324569807.333333</f>
        <v>1192119760.333333</v>
      </c>
      <c r="BA118" s="45">
        <f t="shared" si="186"/>
        <v>344284381.55855632</v>
      </c>
      <c r="BB118" s="43">
        <f t="shared" si="181"/>
        <v>0.2888001633848345</v>
      </c>
      <c r="BC118" s="591">
        <f t="shared" si="187"/>
        <v>229987836.16974324</v>
      </c>
      <c r="BD118" s="43">
        <f t="shared" si="183"/>
        <v>0.19292343254626992</v>
      </c>
      <c r="BE118" s="50"/>
      <c r="BF118" s="50" t="s">
        <v>70</v>
      </c>
      <c r="BG118" s="45" t="s">
        <v>75</v>
      </c>
      <c r="BH118" s="53" t="s">
        <v>368</v>
      </c>
      <c r="BI118" s="621" t="s">
        <v>369</v>
      </c>
    </row>
    <row r="119" spans="1:61" ht="80.25" customHeight="1" x14ac:dyDescent="0.25">
      <c r="A119" s="842" t="s">
        <v>370</v>
      </c>
      <c r="B119" s="68" t="s">
        <v>371</v>
      </c>
      <c r="C119" s="91" t="s">
        <v>1776</v>
      </c>
      <c r="D119" s="68">
        <v>25</v>
      </c>
      <c r="E119" s="76">
        <v>25</v>
      </c>
      <c r="F119" s="76">
        <v>25</v>
      </c>
      <c r="G119" s="748">
        <v>25</v>
      </c>
      <c r="H119" s="76">
        <v>25</v>
      </c>
      <c r="I119" s="42">
        <v>25</v>
      </c>
      <c r="J119" s="42">
        <v>25</v>
      </c>
      <c r="K119" s="42">
        <v>19</v>
      </c>
      <c r="L119" s="42"/>
      <c r="M119" s="593"/>
      <c r="N119" s="593"/>
      <c r="O119" s="575">
        <f t="shared" si="188"/>
        <v>1</v>
      </c>
      <c r="P119" s="575">
        <f t="shared" si="188"/>
        <v>1</v>
      </c>
      <c r="Q119" s="575">
        <f t="shared" si="188"/>
        <v>1</v>
      </c>
      <c r="R119" s="43">
        <f t="shared" si="189"/>
        <v>0.76</v>
      </c>
      <c r="S119" s="425" t="s">
        <v>1664</v>
      </c>
      <c r="T119" s="234"/>
      <c r="U119" s="40" t="s">
        <v>1796</v>
      </c>
      <c r="V119" s="544"/>
      <c r="W119" s="45" t="s">
        <v>1807</v>
      </c>
      <c r="X119" s="946" t="s">
        <v>1744</v>
      </c>
      <c r="Y119" s="47">
        <f t="shared" si="190"/>
        <v>100</v>
      </c>
      <c r="Z119" s="47">
        <f t="shared" si="191"/>
        <v>94</v>
      </c>
      <c r="AA119" s="43">
        <f t="shared" si="192"/>
        <v>0.94</v>
      </c>
      <c r="AB119" s="100">
        <v>0.05</v>
      </c>
      <c r="AC119" s="48">
        <v>0.08</v>
      </c>
      <c r="AD119" s="100">
        <v>0.05</v>
      </c>
      <c r="AE119" s="100">
        <v>0.05</v>
      </c>
      <c r="AF119" s="100">
        <v>0.05</v>
      </c>
      <c r="AG119" s="49">
        <v>400000000</v>
      </c>
      <c r="AH119" s="50"/>
      <c r="AI119" s="50"/>
      <c r="AJ119" s="240">
        <v>291426572.33783448</v>
      </c>
      <c r="AK119" s="240">
        <v>300000000</v>
      </c>
      <c r="AL119" s="932">
        <f t="shared" si="140"/>
        <v>0.75</v>
      </c>
      <c r="AM119" s="45"/>
      <c r="AN119" s="723"/>
      <c r="AO119" s="240">
        <v>119981754.25461482</v>
      </c>
      <c r="AP119" s="240">
        <v>200000000</v>
      </c>
      <c r="AQ119" s="1155">
        <f t="shared" si="143"/>
        <v>0.5</v>
      </c>
      <c r="AR119" s="51">
        <f t="shared" si="144"/>
        <v>100000000</v>
      </c>
      <c r="AS119" s="51"/>
      <c r="AT119" s="51"/>
      <c r="AU119" s="51"/>
      <c r="AV119" s="51"/>
      <c r="AW119" s="51">
        <f t="shared" si="171"/>
        <v>171444818.08321965</v>
      </c>
      <c r="AX119" s="51"/>
      <c r="AY119" s="43">
        <f t="shared" si="146"/>
        <v>0</v>
      </c>
      <c r="AZ119" s="49">
        <f>587549953+AG119+324569807.333333</f>
        <v>1312119760.333333</v>
      </c>
      <c r="BA119" s="45">
        <f t="shared" si="186"/>
        <v>591426572.33783448</v>
      </c>
      <c r="BB119" s="43">
        <f t="shared" si="181"/>
        <v>0.45074130442756805</v>
      </c>
      <c r="BC119" s="591">
        <f t="shared" si="187"/>
        <v>319981754.25461483</v>
      </c>
      <c r="BD119" s="43">
        <f t="shared" si="183"/>
        <v>0.24386627191204419</v>
      </c>
      <c r="BE119" s="50"/>
      <c r="BF119" s="50" t="s">
        <v>70</v>
      </c>
      <c r="BG119" s="45" t="s">
        <v>71</v>
      </c>
      <c r="BH119" s="53" t="s">
        <v>372</v>
      </c>
      <c r="BI119" s="1222" t="s">
        <v>373</v>
      </c>
    </row>
    <row r="120" spans="1:61" ht="49.5" customHeight="1" x14ac:dyDescent="0.25">
      <c r="A120" s="842" t="s">
        <v>374</v>
      </c>
      <c r="B120" s="53" t="s">
        <v>375</v>
      </c>
      <c r="C120" s="91" t="s">
        <v>1776</v>
      </c>
      <c r="D120" s="53">
        <v>1</v>
      </c>
      <c r="E120" s="76">
        <v>1</v>
      </c>
      <c r="F120" s="76">
        <v>1</v>
      </c>
      <c r="G120" s="748">
        <v>1</v>
      </c>
      <c r="H120" s="76">
        <v>1</v>
      </c>
      <c r="I120" s="42">
        <v>1</v>
      </c>
      <c r="J120" s="42">
        <v>1</v>
      </c>
      <c r="K120" s="84">
        <v>0</v>
      </c>
      <c r="L120" s="42"/>
      <c r="M120" s="593"/>
      <c r="N120" s="593"/>
      <c r="O120" s="575">
        <f t="shared" si="188"/>
        <v>1</v>
      </c>
      <c r="P120" s="575">
        <f t="shared" si="188"/>
        <v>1</v>
      </c>
      <c r="Q120" s="575">
        <f t="shared" si="188"/>
        <v>1</v>
      </c>
      <c r="R120" s="43">
        <f t="shared" si="189"/>
        <v>0</v>
      </c>
      <c r="S120" s="770" t="s">
        <v>1678</v>
      </c>
      <c r="T120" s="234"/>
      <c r="U120" s="40" t="s">
        <v>1804</v>
      </c>
      <c r="V120" s="40"/>
      <c r="W120" s="45"/>
      <c r="X120" s="946" t="s">
        <v>1744</v>
      </c>
      <c r="Y120" s="47">
        <f t="shared" si="190"/>
        <v>4</v>
      </c>
      <c r="Z120" s="47">
        <f t="shared" si="191"/>
        <v>3</v>
      </c>
      <c r="AA120" s="43">
        <f t="shared" si="192"/>
        <v>0.75</v>
      </c>
      <c r="AB120" s="100">
        <v>0.04</v>
      </c>
      <c r="AC120" s="48">
        <v>7.0000000000000007E-2</v>
      </c>
      <c r="AD120" s="100">
        <v>0.04</v>
      </c>
      <c r="AE120" s="100">
        <v>0.04</v>
      </c>
      <c r="AF120" s="100">
        <v>0.04</v>
      </c>
      <c r="AG120" s="49">
        <v>800000000</v>
      </c>
      <c r="AH120" s="50"/>
      <c r="AI120" s="50"/>
      <c r="AJ120" s="240">
        <v>485710953.89639086</v>
      </c>
      <c r="AK120" s="240">
        <v>400000000</v>
      </c>
      <c r="AL120" s="932">
        <f t="shared" si="140"/>
        <v>0.5</v>
      </c>
      <c r="AM120" s="45"/>
      <c r="AN120" s="723"/>
      <c r="AO120" s="240">
        <v>199969590.42435804</v>
      </c>
      <c r="AP120" s="240">
        <v>100000000</v>
      </c>
      <c r="AQ120" s="1155">
        <f t="shared" si="143"/>
        <v>0.125</v>
      </c>
      <c r="AR120" s="51">
        <f t="shared" si="144"/>
        <v>300000000</v>
      </c>
      <c r="AS120" s="51"/>
      <c r="AT120" s="51"/>
      <c r="AU120" s="51"/>
      <c r="AV120" s="51"/>
      <c r="AW120" s="51">
        <f t="shared" si="171"/>
        <v>285741363.47203279</v>
      </c>
      <c r="AX120" s="51"/>
      <c r="AY120" s="43">
        <f t="shared" si="146"/>
        <v>0</v>
      </c>
      <c r="AZ120" s="49">
        <f>917549953+AG120+324569807.333333</f>
        <v>2042119760.333333</v>
      </c>
      <c r="BA120" s="45">
        <f t="shared" si="186"/>
        <v>885710953.89639091</v>
      </c>
      <c r="BB120" s="43">
        <f t="shared" si="181"/>
        <v>0.43372135714108034</v>
      </c>
      <c r="BC120" s="591">
        <f t="shared" si="187"/>
        <v>299969590.42435801</v>
      </c>
      <c r="BD120" s="43">
        <f t="shared" si="183"/>
        <v>0.14689128240715632</v>
      </c>
      <c r="BE120" s="50"/>
      <c r="BF120" s="50" t="s">
        <v>70</v>
      </c>
      <c r="BG120" s="50"/>
      <c r="BH120" s="57"/>
      <c r="BI120" s="1224"/>
    </row>
    <row r="121" spans="1:61" ht="409.5" x14ac:dyDescent="0.25">
      <c r="A121" s="842" t="s">
        <v>376</v>
      </c>
      <c r="B121" s="53" t="s">
        <v>377</v>
      </c>
      <c r="C121" s="91" t="s">
        <v>1776</v>
      </c>
      <c r="D121" s="53">
        <v>0</v>
      </c>
      <c r="E121" s="76">
        <v>0.3</v>
      </c>
      <c r="F121" s="76">
        <v>0.7</v>
      </c>
      <c r="G121" s="748">
        <v>1</v>
      </c>
      <c r="H121" s="611" t="s">
        <v>163</v>
      </c>
      <c r="I121" s="610">
        <v>0.3</v>
      </c>
      <c r="J121" s="695">
        <v>0</v>
      </c>
      <c r="K121" s="42">
        <v>1</v>
      </c>
      <c r="L121" s="42"/>
      <c r="M121" s="593"/>
      <c r="N121" s="593"/>
      <c r="O121" s="611">
        <f t="shared" si="188"/>
        <v>0</v>
      </c>
      <c r="P121" s="611">
        <f t="shared" si="188"/>
        <v>1</v>
      </c>
      <c r="Q121" s="611">
        <f t="shared" si="188"/>
        <v>0</v>
      </c>
      <c r="R121" s="575">
        <f t="shared" si="189"/>
        <v>1</v>
      </c>
      <c r="S121" s="196" t="s">
        <v>1697</v>
      </c>
      <c r="T121" s="234"/>
      <c r="U121" s="40" t="s">
        <v>1796</v>
      </c>
      <c r="V121" s="40"/>
      <c r="W121" s="45" t="s">
        <v>1807</v>
      </c>
      <c r="X121" s="946" t="s">
        <v>1744</v>
      </c>
      <c r="Y121" s="47">
        <f t="shared" si="190"/>
        <v>2</v>
      </c>
      <c r="Z121" s="40">
        <f t="shared" si="191"/>
        <v>1.3</v>
      </c>
      <c r="AA121" s="43">
        <f t="shared" si="192"/>
        <v>0.65</v>
      </c>
      <c r="AB121" s="100">
        <v>7.0000000000000007E-2</v>
      </c>
      <c r="AC121" s="48">
        <v>0</v>
      </c>
      <c r="AD121" s="100">
        <v>7.0000000000000007E-2</v>
      </c>
      <c r="AE121" s="100">
        <v>7.0000000000000007E-2</v>
      </c>
      <c r="AF121" s="100">
        <v>7.0000000000000007E-2</v>
      </c>
      <c r="AG121" s="49">
        <v>100000000</v>
      </c>
      <c r="AH121" s="50"/>
      <c r="AI121" s="50"/>
      <c r="AJ121" s="240">
        <v>194284381.55855632</v>
      </c>
      <c r="AK121" s="240"/>
      <c r="AL121" s="932">
        <f t="shared" si="140"/>
        <v>0</v>
      </c>
      <c r="AM121" s="45"/>
      <c r="AN121" s="723"/>
      <c r="AO121" s="240">
        <v>79987836.169743225</v>
      </c>
      <c r="AP121" s="240"/>
      <c r="AQ121" s="1155">
        <f t="shared" si="143"/>
        <v>0</v>
      </c>
      <c r="AR121" s="51">
        <f t="shared" si="144"/>
        <v>0</v>
      </c>
      <c r="AS121" s="51"/>
      <c r="AT121" s="51"/>
      <c r="AU121" s="51"/>
      <c r="AV121" s="51"/>
      <c r="AW121" s="51">
        <f t="shared" si="171"/>
        <v>114296545.38881309</v>
      </c>
      <c r="AX121" s="51"/>
      <c r="AY121" s="43">
        <f t="shared" si="146"/>
        <v>0</v>
      </c>
      <c r="AZ121" s="49">
        <f>972549953+AG121+324569807.333333</f>
        <v>1397119760.333333</v>
      </c>
      <c r="BA121" s="45">
        <f t="shared" si="186"/>
        <v>194284381.55855632</v>
      </c>
      <c r="BB121" s="43">
        <f t="shared" si="181"/>
        <v>0.13906064968417797</v>
      </c>
      <c r="BC121" s="591">
        <f t="shared" si="187"/>
        <v>79987836.169743225</v>
      </c>
      <c r="BD121" s="43">
        <f t="shared" si="183"/>
        <v>5.7251953941771794E-2</v>
      </c>
      <c r="BE121" s="50"/>
      <c r="BF121" s="50" t="s">
        <v>70</v>
      </c>
      <c r="BG121" s="50"/>
      <c r="BH121" s="57"/>
      <c r="BI121" s="619" t="s">
        <v>378</v>
      </c>
    </row>
    <row r="122" spans="1:61" ht="60.75" customHeight="1" x14ac:dyDescent="0.25">
      <c r="A122" s="842" t="s">
        <v>379</v>
      </c>
      <c r="B122" s="53" t="s">
        <v>380</v>
      </c>
      <c r="C122" s="53" t="s">
        <v>1778</v>
      </c>
      <c r="D122" s="578">
        <v>0.1</v>
      </c>
      <c r="E122" s="85">
        <v>0.3</v>
      </c>
      <c r="F122" s="85">
        <v>0.6</v>
      </c>
      <c r="G122" s="749">
        <v>0.4</v>
      </c>
      <c r="H122" s="85">
        <v>0.01</v>
      </c>
      <c r="I122" s="43">
        <v>0.3</v>
      </c>
      <c r="J122" s="85">
        <v>0.12</v>
      </c>
      <c r="K122" s="85">
        <v>0.1</v>
      </c>
      <c r="L122" s="43">
        <v>0.09</v>
      </c>
      <c r="M122" s="593"/>
      <c r="N122" s="593"/>
      <c r="O122" s="575">
        <f t="shared" si="188"/>
        <v>1</v>
      </c>
      <c r="P122" s="575">
        <f t="shared" si="188"/>
        <v>1</v>
      </c>
      <c r="Q122" s="575">
        <f t="shared" si="188"/>
        <v>0.2</v>
      </c>
      <c r="R122" s="43">
        <f t="shared" si="189"/>
        <v>0.25</v>
      </c>
      <c r="S122" s="196" t="s">
        <v>1637</v>
      </c>
      <c r="T122" s="234"/>
      <c r="U122" s="40" t="s">
        <v>1804</v>
      </c>
      <c r="V122" s="40"/>
      <c r="W122" s="545"/>
      <c r="X122" s="946" t="s">
        <v>1744</v>
      </c>
      <c r="Y122" s="43">
        <f t="shared" si="190"/>
        <v>1.4</v>
      </c>
      <c r="Z122" s="43">
        <f t="shared" si="191"/>
        <v>0.62</v>
      </c>
      <c r="AA122" s="43">
        <f t="shared" si="192"/>
        <v>0.44285714285714289</v>
      </c>
      <c r="AB122" s="48">
        <v>0.11</v>
      </c>
      <c r="AC122" s="48">
        <v>0.13</v>
      </c>
      <c r="AD122" s="48">
        <v>0.11</v>
      </c>
      <c r="AE122" s="48">
        <v>0.11</v>
      </c>
      <c r="AF122" s="48">
        <v>0.11</v>
      </c>
      <c r="AG122" s="49">
        <v>30000000</v>
      </c>
      <c r="AH122" s="50"/>
      <c r="AI122" s="50"/>
      <c r="AJ122" s="240">
        <v>194284381.55855632</v>
      </c>
      <c r="AK122" s="240">
        <v>10000000</v>
      </c>
      <c r="AL122" s="932">
        <f t="shared" si="140"/>
        <v>0.33333333333333331</v>
      </c>
      <c r="AM122" s="45"/>
      <c r="AN122" s="723"/>
      <c r="AO122" s="240">
        <v>79987836.169743225</v>
      </c>
      <c r="AP122" s="240">
        <v>10000000</v>
      </c>
      <c r="AQ122" s="1155">
        <f t="shared" si="143"/>
        <v>0.33333333333333331</v>
      </c>
      <c r="AR122" s="51">
        <f t="shared" si="144"/>
        <v>0</v>
      </c>
      <c r="AS122" s="51"/>
      <c r="AT122" s="51"/>
      <c r="AU122" s="51"/>
      <c r="AV122" s="51"/>
      <c r="AW122" s="51">
        <f t="shared" si="171"/>
        <v>114296545.38881309</v>
      </c>
      <c r="AX122" s="51"/>
      <c r="AY122" s="43">
        <f t="shared" si="146"/>
        <v>0</v>
      </c>
      <c r="AZ122" s="49">
        <f>490203656+AG122+324569807.333333</f>
        <v>844773463.33333302</v>
      </c>
      <c r="BA122" s="45">
        <f t="shared" si="186"/>
        <v>204284381.55855632</v>
      </c>
      <c r="BB122" s="43">
        <f t="shared" si="181"/>
        <v>0.24182149466732153</v>
      </c>
      <c r="BC122" s="591">
        <f t="shared" si="187"/>
        <v>89987836.169743225</v>
      </c>
      <c r="BD122" s="43">
        <f t="shared" si="183"/>
        <v>0.10652303851338614</v>
      </c>
      <c r="BE122" s="50"/>
      <c r="BF122" s="50" t="s">
        <v>70</v>
      </c>
      <c r="BG122" s="50"/>
      <c r="BH122" s="53" t="s">
        <v>175</v>
      </c>
      <c r="BI122" s="1222" t="s">
        <v>382</v>
      </c>
    </row>
    <row r="123" spans="1:61" ht="54.75" customHeight="1" x14ac:dyDescent="0.25">
      <c r="A123" s="842" t="s">
        <v>383</v>
      </c>
      <c r="B123" s="53" t="s">
        <v>384</v>
      </c>
      <c r="C123" s="91" t="s">
        <v>1776</v>
      </c>
      <c r="D123" s="53">
        <v>1</v>
      </c>
      <c r="E123" s="76">
        <v>1</v>
      </c>
      <c r="F123" s="76">
        <v>1</v>
      </c>
      <c r="G123" s="748">
        <v>1</v>
      </c>
      <c r="H123" s="612">
        <v>0.3</v>
      </c>
      <c r="I123" s="592">
        <v>1</v>
      </c>
      <c r="J123" s="42">
        <v>1</v>
      </c>
      <c r="K123" s="42">
        <v>1</v>
      </c>
      <c r="L123" s="93">
        <v>0.7</v>
      </c>
      <c r="M123" s="597"/>
      <c r="N123" s="597"/>
      <c r="O123" s="576">
        <f t="shared" si="188"/>
        <v>1</v>
      </c>
      <c r="P123" s="576">
        <f t="shared" si="188"/>
        <v>1</v>
      </c>
      <c r="Q123" s="576">
        <f t="shared" si="188"/>
        <v>1</v>
      </c>
      <c r="R123" s="43">
        <f>+IFERROR(IF(K123/G123&gt;=100%,100%,K123/G123),0)</f>
        <v>1</v>
      </c>
      <c r="S123" s="1109" t="s">
        <v>1616</v>
      </c>
      <c r="T123" s="234"/>
      <c r="U123" s="40" t="s">
        <v>1800</v>
      </c>
      <c r="V123" s="544"/>
      <c r="W123" s="45" t="s">
        <v>1807</v>
      </c>
      <c r="X123" s="946" t="s">
        <v>1744</v>
      </c>
      <c r="Y123" s="47">
        <f t="shared" si="190"/>
        <v>4</v>
      </c>
      <c r="Z123" s="47">
        <f t="shared" si="191"/>
        <v>4</v>
      </c>
      <c r="AA123" s="44">
        <f t="shared" si="192"/>
        <v>1</v>
      </c>
      <c r="AB123" s="100">
        <v>7.0000000000000007E-2</v>
      </c>
      <c r="AC123" s="48">
        <v>0.1</v>
      </c>
      <c r="AD123" s="100">
        <v>7.0000000000000007E-2</v>
      </c>
      <c r="AE123" s="100">
        <v>7.0000000000000007E-2</v>
      </c>
      <c r="AF123" s="100">
        <v>7.0000000000000007E-2</v>
      </c>
      <c r="AG123" s="49">
        <v>20000000</v>
      </c>
      <c r="AH123" s="50"/>
      <c r="AI123" s="50"/>
      <c r="AJ123" s="240">
        <v>194284381.55855632</v>
      </c>
      <c r="AK123" s="240">
        <v>10000000</v>
      </c>
      <c r="AL123" s="932">
        <f t="shared" si="140"/>
        <v>0.5</v>
      </c>
      <c r="AM123" s="45"/>
      <c r="AN123" s="723"/>
      <c r="AO123" s="240">
        <v>79987836.169743225</v>
      </c>
      <c r="AP123" s="240">
        <v>10000000</v>
      </c>
      <c r="AQ123" s="1155">
        <f t="shared" si="143"/>
        <v>0.5</v>
      </c>
      <c r="AR123" s="51">
        <f t="shared" si="144"/>
        <v>0</v>
      </c>
      <c r="AS123" s="51"/>
      <c r="AT123" s="51"/>
      <c r="AU123" s="51"/>
      <c r="AV123" s="51"/>
      <c r="AW123" s="51">
        <f t="shared" si="171"/>
        <v>114296545.38881309</v>
      </c>
      <c r="AX123" s="51"/>
      <c r="AY123" s="43">
        <f t="shared" si="146"/>
        <v>0</v>
      </c>
      <c r="AZ123" s="49">
        <f>592549953+AG123+324569807.333333</f>
        <v>937119760.33333302</v>
      </c>
      <c r="BA123" s="45">
        <f t="shared" si="186"/>
        <v>204284381.55855632</v>
      </c>
      <c r="BB123" s="43">
        <f t="shared" si="181"/>
        <v>0.21799175538235632</v>
      </c>
      <c r="BC123" s="591">
        <f t="shared" si="187"/>
        <v>89987836.169743225</v>
      </c>
      <c r="BD123" s="43">
        <f t="shared" si="183"/>
        <v>9.6025972323681014E-2</v>
      </c>
      <c r="BE123" s="50"/>
      <c r="BF123" s="50" t="s">
        <v>70</v>
      </c>
      <c r="BG123" s="50"/>
      <c r="BH123" s="53" t="s">
        <v>175</v>
      </c>
      <c r="BI123" s="1224"/>
    </row>
    <row r="124" spans="1:61" ht="51" customHeight="1" x14ac:dyDescent="0.25">
      <c r="A124" s="13" t="s">
        <v>386</v>
      </c>
      <c r="B124" s="14"/>
      <c r="C124" s="14"/>
      <c r="D124" s="14"/>
      <c r="E124" s="15"/>
      <c r="F124" s="15"/>
      <c r="G124" s="740"/>
      <c r="H124" s="15"/>
      <c r="I124" s="15"/>
      <c r="J124" s="15"/>
      <c r="K124" s="15"/>
      <c r="L124" s="15"/>
      <c r="M124" s="15"/>
      <c r="N124" s="15"/>
      <c r="O124" s="683">
        <f>+(O125*AC125)</f>
        <v>1</v>
      </c>
      <c r="P124" s="683">
        <f>+(P125*AD125)</f>
        <v>0.99999999999999989</v>
      </c>
      <c r="Q124" s="683">
        <f>+(Q125*AE125)</f>
        <v>1</v>
      </c>
      <c r="R124" s="683">
        <f>+(R125*AF125)</f>
        <v>0.55136000000000007</v>
      </c>
      <c r="S124" s="13"/>
      <c r="T124" s="17"/>
      <c r="U124" s="16"/>
      <c r="V124" s="16"/>
      <c r="W124" s="16"/>
      <c r="X124" s="16"/>
      <c r="Y124" s="16"/>
      <c r="Z124" s="16"/>
      <c r="AA124" s="20">
        <f>+(AA125*AB125)</f>
        <v>0.9120299999999999</v>
      </c>
      <c r="AB124" s="20">
        <v>0.1</v>
      </c>
      <c r="AC124" s="20">
        <v>0.1</v>
      </c>
      <c r="AD124" s="20">
        <v>0.1</v>
      </c>
      <c r="AE124" s="20">
        <v>0.1</v>
      </c>
      <c r="AF124" s="20">
        <v>0.1</v>
      </c>
      <c r="AG124" s="14">
        <f>AG125</f>
        <v>110000000</v>
      </c>
      <c r="AH124" s="14">
        <f t="shared" ref="AH124:AK124" si="193">AH125</f>
        <v>91812000</v>
      </c>
      <c r="AI124" s="14">
        <f t="shared" si="193"/>
        <v>167908010</v>
      </c>
      <c r="AJ124" s="14">
        <f t="shared" si="193"/>
        <v>89707653</v>
      </c>
      <c r="AK124" s="14">
        <f t="shared" si="193"/>
        <v>80216866</v>
      </c>
      <c r="AL124" s="1139">
        <f t="shared" si="140"/>
        <v>0.72924423636363633</v>
      </c>
      <c r="AM124" s="14">
        <f>+AM125</f>
        <v>91812000</v>
      </c>
      <c r="AN124" s="721">
        <f>+AN125</f>
        <v>167908010</v>
      </c>
      <c r="AO124" s="244">
        <f t="shared" ref="AO124" si="194">AO125</f>
        <v>89707653</v>
      </c>
      <c r="AP124" s="244">
        <f t="shared" ref="AP124" si="195">AP125</f>
        <v>21673633</v>
      </c>
      <c r="AQ124" s="1159">
        <f t="shared" si="143"/>
        <v>0.19703302727272728</v>
      </c>
      <c r="AR124" s="14">
        <f t="shared" si="144"/>
        <v>58543233</v>
      </c>
      <c r="AS124" s="14">
        <f>+AS125</f>
        <v>0</v>
      </c>
      <c r="AT124" s="14">
        <f>+AT125</f>
        <v>0</v>
      </c>
      <c r="AU124" s="14">
        <f>+AU125</f>
        <v>0</v>
      </c>
      <c r="AV124" s="14">
        <f>+AV125</f>
        <v>0</v>
      </c>
      <c r="AW124" s="21">
        <f t="shared" si="171"/>
        <v>0</v>
      </c>
      <c r="AX124" s="21">
        <f t="shared" ref="AX124" si="196">AX125</f>
        <v>0</v>
      </c>
      <c r="AY124" s="20" t="e">
        <f t="shared" si="146"/>
        <v>#DIV/0!</v>
      </c>
      <c r="AZ124" s="14">
        <f>+AZ125</f>
        <v>729994500</v>
      </c>
      <c r="BA124" s="14">
        <f t="shared" ref="BA124" si="197">BA125</f>
        <v>429644529</v>
      </c>
      <c r="BB124" s="20">
        <f t="shared" si="181"/>
        <v>0.5885585836605618</v>
      </c>
      <c r="BC124" s="1167">
        <f t="shared" ref="BC124" si="198">BC125</f>
        <v>371101296</v>
      </c>
      <c r="BD124" s="20">
        <f t="shared" si="183"/>
        <v>0.50836176984895087</v>
      </c>
      <c r="BE124" s="14"/>
      <c r="BF124" s="14"/>
      <c r="BG124" s="14"/>
      <c r="BH124" s="14"/>
      <c r="BI124" s="620"/>
    </row>
    <row r="125" spans="1:61" ht="25.5" x14ac:dyDescent="0.25">
      <c r="A125" s="23" t="s">
        <v>387</v>
      </c>
      <c r="B125" s="28"/>
      <c r="C125" s="28"/>
      <c r="D125" s="28"/>
      <c r="E125" s="81"/>
      <c r="F125" s="81"/>
      <c r="G125" s="741"/>
      <c r="H125" s="81"/>
      <c r="I125" s="81"/>
      <c r="J125" s="81"/>
      <c r="K125" s="81"/>
      <c r="L125" s="81"/>
      <c r="M125" s="81"/>
      <c r="N125" s="81"/>
      <c r="O125" s="609">
        <f>+(O126*AC126)+(O131*AC131)+(O136*AC136)</f>
        <v>1</v>
      </c>
      <c r="P125" s="609">
        <f>+(P126*AD126)+(P131*AD131)+(P136*AD136)</f>
        <v>0.99999999999999989</v>
      </c>
      <c r="Q125" s="609">
        <f>+(Q126*AE126)+(Q131*AE131)+(Q136*AE136)</f>
        <v>1</v>
      </c>
      <c r="R125" s="609">
        <f>+(R126*AF126)+(R131*AF131)+(R136*AF136)</f>
        <v>0.55136000000000007</v>
      </c>
      <c r="S125" s="23"/>
      <c r="T125" s="23"/>
      <c r="U125" s="28"/>
      <c r="V125" s="28"/>
      <c r="W125" s="28"/>
      <c r="X125" s="28"/>
      <c r="Y125" s="83"/>
      <c r="Z125" s="83"/>
      <c r="AA125" s="26">
        <f>+(AA126*AB126)+(AA131*AB131)+(AA136*AB136)</f>
        <v>0.9120299999999999</v>
      </c>
      <c r="AB125" s="26">
        <v>1</v>
      </c>
      <c r="AC125" s="26">
        <v>1</v>
      </c>
      <c r="AD125" s="26">
        <v>1</v>
      </c>
      <c r="AE125" s="26">
        <v>1</v>
      </c>
      <c r="AF125" s="26">
        <v>1</v>
      </c>
      <c r="AG125" s="28">
        <f>AG126+AG131+AG136</f>
        <v>110000000</v>
      </c>
      <c r="AH125" s="28">
        <f t="shared" ref="AH125:AK125" si="199">AH126+AH131+AH136</f>
        <v>91812000</v>
      </c>
      <c r="AI125" s="28">
        <f t="shared" si="199"/>
        <v>167908010</v>
      </c>
      <c r="AJ125" s="28">
        <f t="shared" si="199"/>
        <v>89707653</v>
      </c>
      <c r="AK125" s="28">
        <f t="shared" si="199"/>
        <v>80216866</v>
      </c>
      <c r="AL125" s="1134">
        <f t="shared" si="140"/>
        <v>0.72924423636363633</v>
      </c>
      <c r="AM125" s="28">
        <f>+AM126+AM131+AM136</f>
        <v>91812000</v>
      </c>
      <c r="AN125" s="722">
        <f>+AN126+AN131+AN136</f>
        <v>167908010</v>
      </c>
      <c r="AO125" s="243">
        <f t="shared" ref="AO125" si="200">AO126+AO131+AO136</f>
        <v>89707653</v>
      </c>
      <c r="AP125" s="243">
        <f t="shared" ref="AP125" si="201">AP126+AP131+AP136</f>
        <v>21673633</v>
      </c>
      <c r="AQ125" s="1153">
        <f t="shared" si="143"/>
        <v>0.19703302727272728</v>
      </c>
      <c r="AR125" s="28">
        <f t="shared" si="144"/>
        <v>58543233</v>
      </c>
      <c r="AS125" s="28">
        <f>+AS126+AS131+AS136</f>
        <v>0</v>
      </c>
      <c r="AT125" s="28">
        <f>+AT126+AT131+AT136</f>
        <v>0</v>
      </c>
      <c r="AU125" s="28">
        <f>+AU126+AU131+AU136</f>
        <v>0</v>
      </c>
      <c r="AV125" s="28">
        <f>+AV126+AV131+AV136</f>
        <v>0</v>
      </c>
      <c r="AW125" s="29">
        <f t="shared" si="171"/>
        <v>0</v>
      </c>
      <c r="AX125" s="29">
        <f t="shared" ref="AX125" si="202">AX126+AX131+AX136</f>
        <v>0</v>
      </c>
      <c r="AY125" s="26" t="e">
        <f t="shared" si="146"/>
        <v>#DIV/0!</v>
      </c>
      <c r="AZ125" s="28">
        <f>+AZ126+AZ131+AZ136</f>
        <v>729994500</v>
      </c>
      <c r="BA125" s="28">
        <f t="shared" ref="BA125" si="203">BA126+BA131+BA136</f>
        <v>429644529</v>
      </c>
      <c r="BB125" s="26">
        <f t="shared" si="181"/>
        <v>0.5885585836605618</v>
      </c>
      <c r="BC125" s="1168">
        <f t="shared" ref="BC125" si="204">BC126+BC131+BC136</f>
        <v>371101296</v>
      </c>
      <c r="BD125" s="26">
        <f t="shared" si="183"/>
        <v>0.50836176984895087</v>
      </c>
      <c r="BE125" s="28"/>
      <c r="BF125" s="28" t="s">
        <v>74</v>
      </c>
      <c r="BG125" s="28"/>
      <c r="BH125" s="28"/>
      <c r="BI125" s="615"/>
    </row>
    <row r="126" spans="1:61" ht="38.25" x14ac:dyDescent="0.25">
      <c r="A126" s="32" t="s">
        <v>388</v>
      </c>
      <c r="B126" s="33"/>
      <c r="C126" s="33"/>
      <c r="D126" s="33"/>
      <c r="E126" s="34"/>
      <c r="F126" s="34"/>
      <c r="G126" s="745"/>
      <c r="H126" s="34"/>
      <c r="I126" s="34"/>
      <c r="J126" s="34"/>
      <c r="K126" s="34"/>
      <c r="L126" s="34"/>
      <c r="M126" s="34"/>
      <c r="N126" s="34"/>
      <c r="O126" s="607">
        <f>+SUMPRODUCT(O127:O130,AC127:AC130)</f>
        <v>1</v>
      </c>
      <c r="P126" s="607">
        <f>+SUMPRODUCT(P127:P130,AD127:AD130)</f>
        <v>0.99999999999999989</v>
      </c>
      <c r="Q126" s="607">
        <f>+SUMPRODUCT(Q127:Q130,AE127:AE130)</f>
        <v>1</v>
      </c>
      <c r="R126" s="607">
        <f>+SUMPRODUCT(R127:R130,AF127:AF130)</f>
        <v>0.70320000000000005</v>
      </c>
      <c r="S126" s="32"/>
      <c r="T126" s="32"/>
      <c r="U126" s="33"/>
      <c r="V126" s="33"/>
      <c r="W126" s="33"/>
      <c r="X126" s="33"/>
      <c r="Y126" s="36"/>
      <c r="Z126" s="36"/>
      <c r="AA126" s="607">
        <f>+SUMPRODUCT(AA127:AA130,AB127:AB130)</f>
        <v>0.95099999999999985</v>
      </c>
      <c r="AB126" s="35">
        <v>0.43</v>
      </c>
      <c r="AC126" s="35">
        <v>0.5</v>
      </c>
      <c r="AD126" s="35">
        <v>0.43</v>
      </c>
      <c r="AE126" s="35">
        <v>0.4</v>
      </c>
      <c r="AF126" s="35">
        <v>0.4</v>
      </c>
      <c r="AG126" s="33">
        <f>SUM(AG127:AG130)</f>
        <v>50000000</v>
      </c>
      <c r="AH126" s="33">
        <v>84725500</v>
      </c>
      <c r="AI126" s="33">
        <v>67908010</v>
      </c>
      <c r="AJ126" s="33">
        <f t="shared" ref="AJ126:AK126" si="205">SUM(AJ127:AJ130)</f>
        <v>32212998.999999996</v>
      </c>
      <c r="AK126" s="33">
        <f t="shared" si="205"/>
        <v>48848500</v>
      </c>
      <c r="AL126" s="1138">
        <f t="shared" si="140"/>
        <v>0.97697000000000001</v>
      </c>
      <c r="AM126" s="733">
        <v>84725500</v>
      </c>
      <c r="AN126" s="1150">
        <v>67908010</v>
      </c>
      <c r="AO126" s="242">
        <f t="shared" ref="AO126" si="206">SUM(AO127:AO130)</f>
        <v>32212998.999999996</v>
      </c>
      <c r="AP126" s="242">
        <f t="shared" ref="AP126" si="207">SUM(AP127:AP130)</f>
        <v>21673633</v>
      </c>
      <c r="AQ126" s="1158">
        <f t="shared" si="143"/>
        <v>0.43347266000000001</v>
      </c>
      <c r="AR126" s="37">
        <f t="shared" si="144"/>
        <v>27174867</v>
      </c>
      <c r="AS126" s="37"/>
      <c r="AT126" s="37"/>
      <c r="AU126" s="530">
        <f>+AI126-AN126</f>
        <v>0</v>
      </c>
      <c r="AV126" s="37"/>
      <c r="AW126" s="37">
        <f t="shared" si="171"/>
        <v>0</v>
      </c>
      <c r="AX126" s="37">
        <f t="shared" ref="AX126" si="208">SUM(AX127:AX130)</f>
        <v>0</v>
      </c>
      <c r="AY126" s="35" t="e">
        <f t="shared" si="146"/>
        <v>#DIV/0!</v>
      </c>
      <c r="AZ126" s="33">
        <f>SUM(AZ127:AZ130)-50000000</f>
        <v>369994500</v>
      </c>
      <c r="BA126" s="33">
        <f t="shared" ref="BA126:BA138" si="209">SUM(AH126:AK126)</f>
        <v>233695009</v>
      </c>
      <c r="BB126" s="35">
        <f t="shared" ref="BB126:BB138" si="210">+BA126/AZ126</f>
        <v>0.63161752134153348</v>
      </c>
      <c r="BC126" s="1172">
        <f t="shared" ref="BC126:BC138" si="211">SUM(AM126:AP126)+AT126+AV126+AX126</f>
        <v>206520142</v>
      </c>
      <c r="BD126" s="35">
        <f t="shared" ref="BD126:BD138" si="212">+BC126/AZ126</f>
        <v>0.55817084308009979</v>
      </c>
      <c r="BE126" s="33"/>
      <c r="BF126" s="33" t="s">
        <v>74</v>
      </c>
      <c r="BG126" s="33"/>
      <c r="BH126" s="33"/>
      <c r="BI126" s="618"/>
    </row>
    <row r="127" spans="1:61" ht="55.5" customHeight="1" x14ac:dyDescent="0.25">
      <c r="A127" s="39" t="s">
        <v>389</v>
      </c>
      <c r="B127" s="68" t="s">
        <v>390</v>
      </c>
      <c r="C127" s="53" t="s">
        <v>1778</v>
      </c>
      <c r="D127" s="576">
        <v>0.5</v>
      </c>
      <c r="E127" s="85">
        <v>1</v>
      </c>
      <c r="F127" s="85">
        <v>0</v>
      </c>
      <c r="G127" s="749">
        <v>0</v>
      </c>
      <c r="H127" s="85">
        <v>0.9</v>
      </c>
      <c r="I127" s="43">
        <v>1</v>
      </c>
      <c r="J127" s="43" t="s">
        <v>163</v>
      </c>
      <c r="K127" s="43" t="s">
        <v>163</v>
      </c>
      <c r="L127" s="42"/>
      <c r="M127" s="593"/>
      <c r="N127" s="593"/>
      <c r="O127" s="575">
        <f>+IFERROR(IF((H127+L127)/D127&gt;=100%,100%,(H127+L127)/D127),0)</f>
        <v>1</v>
      </c>
      <c r="P127" s="575">
        <f>+IFERROR(IF((I127+M127)/E127&gt;=100%,100%,(I127+M127)/E127),0)</f>
        <v>1</v>
      </c>
      <c r="Q127" s="575">
        <f>+IFERROR(IF((J127+N127)/F127&gt;=100%,100%,(J127+N127)/F127),0)</f>
        <v>0</v>
      </c>
      <c r="R127" s="44">
        <f t="shared" ref="R127:R130" si="213">+IFERROR(IF(K127/G127&gt;=100%,100%,K127/G127),0)</f>
        <v>0</v>
      </c>
      <c r="S127" s="293"/>
      <c r="T127" s="103"/>
      <c r="U127" s="46" t="s">
        <v>1804</v>
      </c>
      <c r="V127" s="40"/>
      <c r="W127" s="45"/>
      <c r="X127" s="45"/>
      <c r="Y127" s="48">
        <f t="shared" ref="Y127:Y130" si="214">SUM(D127:G127)</f>
        <v>1.5</v>
      </c>
      <c r="Z127" s="43">
        <f t="shared" ref="Z127:Z130" si="215">SUM(H127:N127)</f>
        <v>1.9</v>
      </c>
      <c r="AA127" s="43">
        <f t="shared" ref="AA127:AA130" si="216">IF(Z127/Y127&gt;=100%,100%,Z127/Y127)</f>
        <v>1</v>
      </c>
      <c r="AB127" s="48">
        <v>0.3</v>
      </c>
      <c r="AC127" s="48">
        <v>0.31</v>
      </c>
      <c r="AD127" s="48">
        <v>0.3</v>
      </c>
      <c r="AE127" s="43">
        <v>0</v>
      </c>
      <c r="AF127" s="43">
        <v>0</v>
      </c>
      <c r="AG127" s="49"/>
      <c r="AH127" s="50"/>
      <c r="AI127" s="50"/>
      <c r="AJ127" s="240"/>
      <c r="AK127" s="240"/>
      <c r="AL127" s="932" t="e">
        <f t="shared" si="140"/>
        <v>#DIV/0!</v>
      </c>
      <c r="AM127" s="1145"/>
      <c r="AN127" s="1151"/>
      <c r="AO127" s="1147"/>
      <c r="AP127" s="280"/>
      <c r="AQ127" s="1155" t="e">
        <f t="shared" si="143"/>
        <v>#DIV/0!</v>
      </c>
      <c r="AR127" s="51">
        <f t="shared" si="144"/>
        <v>0</v>
      </c>
      <c r="AS127" s="51"/>
      <c r="AT127" s="51"/>
      <c r="AU127" s="51"/>
      <c r="AV127" s="51"/>
      <c r="AW127" s="51">
        <f t="shared" si="171"/>
        <v>0</v>
      </c>
      <c r="AX127" s="51"/>
      <c r="AY127" s="43" t="e">
        <f t="shared" si="146"/>
        <v>#DIV/0!</v>
      </c>
      <c r="AZ127" s="49">
        <f>55000000+AG127</f>
        <v>55000000</v>
      </c>
      <c r="BA127" s="45">
        <f t="shared" si="209"/>
        <v>0</v>
      </c>
      <c r="BB127" s="52">
        <f t="shared" si="210"/>
        <v>0</v>
      </c>
      <c r="BC127" s="1170">
        <f t="shared" si="211"/>
        <v>0</v>
      </c>
      <c r="BD127" s="52">
        <f t="shared" si="212"/>
        <v>0</v>
      </c>
      <c r="BE127" s="50"/>
      <c r="BF127" s="50" t="s">
        <v>74</v>
      </c>
      <c r="BG127" s="45" t="s">
        <v>99</v>
      </c>
      <c r="BH127" s="53" t="s">
        <v>175</v>
      </c>
      <c r="BI127" s="1222" t="s">
        <v>391</v>
      </c>
    </row>
    <row r="128" spans="1:61" ht="60.75" customHeight="1" x14ac:dyDescent="0.25">
      <c r="A128" s="89" t="s">
        <v>392</v>
      </c>
      <c r="B128" s="68" t="s">
        <v>393</v>
      </c>
      <c r="C128" s="53" t="s">
        <v>1778</v>
      </c>
      <c r="D128" s="85">
        <v>0</v>
      </c>
      <c r="E128" s="85">
        <v>1</v>
      </c>
      <c r="F128" s="85">
        <v>0</v>
      </c>
      <c r="G128" s="749">
        <v>0</v>
      </c>
      <c r="H128" s="43" t="s">
        <v>163</v>
      </c>
      <c r="I128" s="43">
        <v>1</v>
      </c>
      <c r="J128" s="43" t="s">
        <v>163</v>
      </c>
      <c r="K128" s="43" t="s">
        <v>163</v>
      </c>
      <c r="L128" s="42"/>
      <c r="M128" s="593"/>
      <c r="N128" s="593"/>
      <c r="O128" s="43">
        <f t="shared" ref="O128:Q130" si="217">+IFERROR(IF((H128+L128)/D128&gt;=100%,100%,(H128+L128)/D128),0)</f>
        <v>0</v>
      </c>
      <c r="P128" s="43">
        <f t="shared" si="217"/>
        <v>1</v>
      </c>
      <c r="Q128" s="43">
        <f t="shared" si="217"/>
        <v>0</v>
      </c>
      <c r="R128" s="44">
        <f t="shared" si="213"/>
        <v>0</v>
      </c>
      <c r="S128" s="293"/>
      <c r="T128" s="103"/>
      <c r="U128" s="543" t="s">
        <v>1804</v>
      </c>
      <c r="V128" s="40"/>
      <c r="W128" s="45"/>
      <c r="X128" s="45"/>
      <c r="Y128" s="48">
        <f t="shared" si="214"/>
        <v>1</v>
      </c>
      <c r="Z128" s="43">
        <f t="shared" si="215"/>
        <v>1</v>
      </c>
      <c r="AA128" s="43">
        <f t="shared" si="216"/>
        <v>1</v>
      </c>
      <c r="AB128" s="48">
        <v>0.05</v>
      </c>
      <c r="AC128" s="48">
        <v>0</v>
      </c>
      <c r="AD128" s="48">
        <v>0.05</v>
      </c>
      <c r="AE128" s="43">
        <v>0</v>
      </c>
      <c r="AF128" s="43">
        <v>0</v>
      </c>
      <c r="AG128" s="49"/>
      <c r="AH128" s="50"/>
      <c r="AI128" s="50"/>
      <c r="AJ128" s="240"/>
      <c r="AK128" s="240"/>
      <c r="AL128" s="932" t="e">
        <f t="shared" si="140"/>
        <v>#DIV/0!</v>
      </c>
      <c r="AM128" s="1145"/>
      <c r="AN128" s="1151"/>
      <c r="AO128" s="1148"/>
      <c r="AP128" s="937"/>
      <c r="AQ128" s="1155" t="e">
        <f t="shared" si="143"/>
        <v>#DIV/0!</v>
      </c>
      <c r="AR128" s="51">
        <f t="shared" si="144"/>
        <v>0</v>
      </c>
      <c r="AS128" s="51"/>
      <c r="AT128" s="51"/>
      <c r="AU128" s="51"/>
      <c r="AV128" s="51"/>
      <c r="AW128" s="51">
        <f t="shared" si="171"/>
        <v>0</v>
      </c>
      <c r="AX128" s="51"/>
      <c r="AY128" s="43" t="e">
        <f t="shared" si="146"/>
        <v>#DIV/0!</v>
      </c>
      <c r="AZ128" s="49">
        <f>15000000+AG128</f>
        <v>15000000</v>
      </c>
      <c r="BA128" s="45">
        <f t="shared" si="209"/>
        <v>0</v>
      </c>
      <c r="BB128" s="52">
        <f t="shared" si="210"/>
        <v>0</v>
      </c>
      <c r="BC128" s="1170">
        <f t="shared" si="211"/>
        <v>0</v>
      </c>
      <c r="BD128" s="52">
        <f t="shared" si="212"/>
        <v>0</v>
      </c>
      <c r="BE128" s="50"/>
      <c r="BF128" s="50" t="s">
        <v>74</v>
      </c>
      <c r="BG128" s="45" t="s">
        <v>99</v>
      </c>
      <c r="BH128" s="53" t="s">
        <v>175</v>
      </c>
      <c r="BI128" s="1223"/>
    </row>
    <row r="129" spans="1:61" ht="48.75" customHeight="1" x14ac:dyDescent="0.25">
      <c r="A129" s="89" t="s">
        <v>394</v>
      </c>
      <c r="B129" s="53" t="s">
        <v>395</v>
      </c>
      <c r="C129" s="53" t="s">
        <v>1778</v>
      </c>
      <c r="D129" s="578">
        <v>1</v>
      </c>
      <c r="E129" s="85">
        <v>1</v>
      </c>
      <c r="F129" s="85">
        <v>1</v>
      </c>
      <c r="G129" s="749">
        <v>1</v>
      </c>
      <c r="H129" s="85">
        <v>1</v>
      </c>
      <c r="I129" s="43">
        <v>1</v>
      </c>
      <c r="J129" s="43">
        <v>1</v>
      </c>
      <c r="K129" s="43">
        <v>1</v>
      </c>
      <c r="L129" s="42"/>
      <c r="M129" s="593"/>
      <c r="N129" s="593"/>
      <c r="O129" s="575">
        <f t="shared" si="217"/>
        <v>1</v>
      </c>
      <c r="P129" s="575">
        <f t="shared" si="217"/>
        <v>1</v>
      </c>
      <c r="Q129" s="575">
        <f t="shared" si="217"/>
        <v>1</v>
      </c>
      <c r="R129" s="44">
        <f t="shared" si="213"/>
        <v>1</v>
      </c>
      <c r="S129" s="54" t="s">
        <v>1617</v>
      </c>
      <c r="T129" s="234"/>
      <c r="U129" s="40" t="s">
        <v>1796</v>
      </c>
      <c r="V129" s="544"/>
      <c r="W129" s="45" t="s">
        <v>1807</v>
      </c>
      <c r="X129" s="552" t="s">
        <v>1745</v>
      </c>
      <c r="Y129" s="48">
        <f t="shared" si="214"/>
        <v>4</v>
      </c>
      <c r="Z129" s="43">
        <f t="shared" si="215"/>
        <v>4</v>
      </c>
      <c r="AA129" s="43">
        <f t="shared" si="216"/>
        <v>1</v>
      </c>
      <c r="AB129" s="48">
        <v>0.3</v>
      </c>
      <c r="AC129" s="48">
        <v>0.32</v>
      </c>
      <c r="AD129" s="48">
        <v>0.3</v>
      </c>
      <c r="AE129" s="43">
        <v>0.47</v>
      </c>
      <c r="AF129" s="43">
        <v>0.47</v>
      </c>
      <c r="AG129" s="49">
        <v>25000000</v>
      </c>
      <c r="AH129" s="50"/>
      <c r="AI129" s="50"/>
      <c r="AJ129" s="240">
        <v>16106499.499999998</v>
      </c>
      <c r="AK129" s="766">
        <v>24424250</v>
      </c>
      <c r="AL129" s="932">
        <f t="shared" si="140"/>
        <v>0.97697000000000001</v>
      </c>
      <c r="AM129" s="1145"/>
      <c r="AN129" s="1151"/>
      <c r="AO129" s="1149">
        <v>16106499.499999998</v>
      </c>
      <c r="AP129" s="542">
        <v>10836816.5</v>
      </c>
      <c r="AQ129" s="1155">
        <f t="shared" si="143"/>
        <v>0.43347266000000001</v>
      </c>
      <c r="AR129" s="51">
        <f t="shared" si="144"/>
        <v>13587433.5</v>
      </c>
      <c r="AS129" s="51"/>
      <c r="AT129" s="51"/>
      <c r="AU129" s="51"/>
      <c r="AV129" s="51"/>
      <c r="AW129" s="51">
        <f t="shared" ref="AW129:AW130" si="218">+AJ129-AO129</f>
        <v>0</v>
      </c>
      <c r="AX129" s="51"/>
      <c r="AY129" s="43" t="e">
        <f t="shared" si="146"/>
        <v>#DIV/0!</v>
      </c>
      <c r="AZ129" s="49">
        <f>110000000+AG129+69994500</f>
        <v>204994500</v>
      </c>
      <c r="BA129" s="45">
        <f t="shared" si="209"/>
        <v>40530749.5</v>
      </c>
      <c r="BB129" s="52">
        <f t="shared" si="210"/>
        <v>0.19771627775379338</v>
      </c>
      <c r="BC129" s="1170">
        <f t="shared" si="211"/>
        <v>26943316</v>
      </c>
      <c r="BD129" s="52">
        <f t="shared" si="212"/>
        <v>0.13143433604316213</v>
      </c>
      <c r="BE129" s="50"/>
      <c r="BF129" s="50" t="s">
        <v>74</v>
      </c>
      <c r="BG129" s="50"/>
      <c r="BH129" s="53" t="s">
        <v>175</v>
      </c>
      <c r="BI129" s="1223"/>
    </row>
    <row r="130" spans="1:61" ht="44.25" customHeight="1" x14ac:dyDescent="0.25">
      <c r="A130" s="39" t="s">
        <v>1698</v>
      </c>
      <c r="B130" s="53" t="s">
        <v>397</v>
      </c>
      <c r="C130" s="53" t="s">
        <v>1778</v>
      </c>
      <c r="D130" s="578">
        <v>1</v>
      </c>
      <c r="E130" s="85">
        <v>1</v>
      </c>
      <c r="F130" s="85">
        <v>1</v>
      </c>
      <c r="G130" s="749">
        <v>1</v>
      </c>
      <c r="H130" s="85">
        <v>1</v>
      </c>
      <c r="I130" s="43">
        <v>1</v>
      </c>
      <c r="J130" s="43">
        <v>1</v>
      </c>
      <c r="K130" s="43">
        <v>0.44</v>
      </c>
      <c r="L130" s="42"/>
      <c r="M130" s="593"/>
      <c r="N130" s="593"/>
      <c r="O130" s="575">
        <f t="shared" si="217"/>
        <v>1</v>
      </c>
      <c r="P130" s="575">
        <f t="shared" si="217"/>
        <v>1</v>
      </c>
      <c r="Q130" s="575">
        <f t="shared" si="217"/>
        <v>1</v>
      </c>
      <c r="R130" s="44">
        <f t="shared" si="213"/>
        <v>0.44</v>
      </c>
      <c r="S130" s="54" t="s">
        <v>1618</v>
      </c>
      <c r="T130" s="234"/>
      <c r="U130" s="40" t="s">
        <v>1796</v>
      </c>
      <c r="V130" s="544"/>
      <c r="W130" s="45" t="s">
        <v>1807</v>
      </c>
      <c r="X130" s="552" t="s">
        <v>1745</v>
      </c>
      <c r="Y130" s="48">
        <f t="shared" si="214"/>
        <v>4</v>
      </c>
      <c r="Z130" s="43">
        <f t="shared" si="215"/>
        <v>3.44</v>
      </c>
      <c r="AA130" s="44">
        <f t="shared" si="216"/>
        <v>0.86</v>
      </c>
      <c r="AB130" s="48">
        <v>0.35</v>
      </c>
      <c r="AC130" s="48">
        <v>0.37</v>
      </c>
      <c r="AD130" s="48">
        <v>0.35</v>
      </c>
      <c r="AE130" s="43">
        <v>0.53</v>
      </c>
      <c r="AF130" s="43">
        <v>0.53</v>
      </c>
      <c r="AG130" s="49">
        <v>25000000</v>
      </c>
      <c r="AH130" s="103"/>
      <c r="AI130" s="103"/>
      <c r="AJ130" s="240">
        <v>16106499.499999998</v>
      </c>
      <c r="AK130" s="766">
        <v>24424250</v>
      </c>
      <c r="AL130" s="932">
        <f t="shared" si="140"/>
        <v>0.97697000000000001</v>
      </c>
      <c r="AM130" s="1146"/>
      <c r="AN130" s="1151"/>
      <c r="AO130" s="1149">
        <v>16106499.499999998</v>
      </c>
      <c r="AP130" s="542">
        <v>10836816.5</v>
      </c>
      <c r="AQ130" s="1155">
        <f t="shared" si="143"/>
        <v>0.43347266000000001</v>
      </c>
      <c r="AR130" s="103">
        <f t="shared" si="144"/>
        <v>13587433.5</v>
      </c>
      <c r="AS130" s="103"/>
      <c r="AT130" s="103"/>
      <c r="AU130" s="103"/>
      <c r="AV130" s="103"/>
      <c r="AW130" s="51">
        <f t="shared" si="218"/>
        <v>0</v>
      </c>
      <c r="AX130" s="103"/>
      <c r="AY130" s="43" t="e">
        <f t="shared" si="146"/>
        <v>#DIV/0!</v>
      </c>
      <c r="AZ130" s="49">
        <f>120000000+AG130</f>
        <v>145000000</v>
      </c>
      <c r="BA130" s="45">
        <f t="shared" si="209"/>
        <v>40530749.5</v>
      </c>
      <c r="BB130" s="52">
        <f t="shared" si="210"/>
        <v>0.27952241034482761</v>
      </c>
      <c r="BC130" s="1170">
        <f t="shared" si="211"/>
        <v>26943316</v>
      </c>
      <c r="BD130" s="52">
        <f t="shared" si="212"/>
        <v>0.18581597241379311</v>
      </c>
      <c r="BE130" s="50"/>
      <c r="BF130" s="50" t="s">
        <v>74</v>
      </c>
      <c r="BG130" s="50"/>
      <c r="BH130" s="57"/>
      <c r="BI130" s="1224"/>
    </row>
    <row r="131" spans="1:61" ht="38.25" x14ac:dyDescent="0.25">
      <c r="A131" s="32" t="s">
        <v>398</v>
      </c>
      <c r="B131" s="33"/>
      <c r="C131" s="33"/>
      <c r="D131" s="33"/>
      <c r="E131" s="34"/>
      <c r="F131" s="34"/>
      <c r="G131" s="745"/>
      <c r="H131" s="34"/>
      <c r="I131" s="34"/>
      <c r="J131" s="34"/>
      <c r="K131" s="34"/>
      <c r="L131" s="34"/>
      <c r="M131" s="34"/>
      <c r="N131" s="34"/>
      <c r="O131" s="607">
        <f>+SUMPRODUCT(O132:O135,AC132:AC135)</f>
        <v>1</v>
      </c>
      <c r="P131" s="607">
        <f>+SUMPRODUCT(P132:P135,AD132:AD135)</f>
        <v>1</v>
      </c>
      <c r="Q131" s="607">
        <f>+SUMPRODUCT(Q132:Q135,AE132:AE135)</f>
        <v>1</v>
      </c>
      <c r="R131" s="607">
        <f>+SUMPRODUCT(R132:R135,AF132:AF135)</f>
        <v>0.67520000000000002</v>
      </c>
      <c r="S131" s="32"/>
      <c r="T131" s="32"/>
      <c r="U131" s="33"/>
      <c r="V131" s="33"/>
      <c r="W131" s="33"/>
      <c r="X131" s="33"/>
      <c r="Y131" s="36"/>
      <c r="Z131" s="36"/>
      <c r="AA131" s="607">
        <f>+SUMPRODUCT(AA132:AA135,AB132:AB135)</f>
        <v>0.92999999999999994</v>
      </c>
      <c r="AB131" s="35">
        <v>0.42</v>
      </c>
      <c r="AC131" s="35">
        <v>0.5</v>
      </c>
      <c r="AD131" s="35">
        <v>0.42</v>
      </c>
      <c r="AE131" s="35">
        <v>0.4</v>
      </c>
      <c r="AF131" s="35">
        <v>0.4</v>
      </c>
      <c r="AG131" s="33">
        <f>SUM(AG132:AG135)</f>
        <v>30000000</v>
      </c>
      <c r="AH131" s="33">
        <v>7086500</v>
      </c>
      <c r="AI131" s="33">
        <v>50000000</v>
      </c>
      <c r="AJ131" s="33">
        <f t="shared" ref="AJ131:AK131" si="219">SUM(AJ132:AJ135)</f>
        <v>37663032</v>
      </c>
      <c r="AK131" s="33">
        <f t="shared" si="219"/>
        <v>29311699.999999996</v>
      </c>
      <c r="AL131" s="1138">
        <f t="shared" si="140"/>
        <v>0.97705666666666657</v>
      </c>
      <c r="AM131" s="733">
        <v>7086500</v>
      </c>
      <c r="AN131" s="729">
        <v>50000000</v>
      </c>
      <c r="AO131" s="282">
        <f t="shared" ref="AO131" si="220">SUM(AO132:AO135)</f>
        <v>37663032</v>
      </c>
      <c r="AP131" s="282">
        <f t="shared" ref="AP131" si="221">SUM(AP132:AP135)</f>
        <v>0</v>
      </c>
      <c r="AQ131" s="1158">
        <f t="shared" si="143"/>
        <v>0</v>
      </c>
      <c r="AR131" s="37">
        <f t="shared" si="144"/>
        <v>29311699.999999996</v>
      </c>
      <c r="AS131" s="37"/>
      <c r="AT131" s="37"/>
      <c r="AU131" s="530">
        <f>+AI131-AN131</f>
        <v>0</v>
      </c>
      <c r="AV131" s="37"/>
      <c r="AW131" s="37">
        <f t="shared" ref="AW131:AW161" si="222">+AJ131-AO131</f>
        <v>0</v>
      </c>
      <c r="AX131" s="37">
        <f t="shared" ref="AX131" si="223">SUM(AX132:AX135)</f>
        <v>0</v>
      </c>
      <c r="AY131" s="35" t="e">
        <f t="shared" si="146"/>
        <v>#DIV/0!</v>
      </c>
      <c r="AZ131" s="33">
        <f>SUM(AZ132:AZ135)-50000000</f>
        <v>230000000</v>
      </c>
      <c r="BA131" s="33">
        <f t="shared" si="209"/>
        <v>124061232</v>
      </c>
      <c r="BB131" s="35">
        <f t="shared" si="210"/>
        <v>0.53939666086956517</v>
      </c>
      <c r="BC131" s="1172">
        <f t="shared" si="211"/>
        <v>94749532</v>
      </c>
      <c r="BD131" s="35">
        <f t="shared" si="212"/>
        <v>0.41195448695652176</v>
      </c>
      <c r="BE131" s="33"/>
      <c r="BF131" s="33" t="s">
        <v>74</v>
      </c>
      <c r="BG131" s="33"/>
      <c r="BH131" s="33"/>
      <c r="BI131" s="618"/>
    </row>
    <row r="132" spans="1:61" ht="64.5" customHeight="1" x14ac:dyDescent="0.25">
      <c r="A132" s="39" t="s">
        <v>399</v>
      </c>
      <c r="B132" s="68" t="s">
        <v>400</v>
      </c>
      <c r="C132" s="68" t="s">
        <v>1776</v>
      </c>
      <c r="D132" s="68">
        <v>25</v>
      </c>
      <c r="E132" s="76">
        <v>25</v>
      </c>
      <c r="F132" s="76">
        <v>25</v>
      </c>
      <c r="G132" s="748">
        <v>25</v>
      </c>
      <c r="H132" s="76">
        <v>25</v>
      </c>
      <c r="I132" s="42">
        <v>25</v>
      </c>
      <c r="J132" s="42">
        <v>25</v>
      </c>
      <c r="K132" s="42">
        <v>11</v>
      </c>
      <c r="L132" s="42"/>
      <c r="M132" s="593"/>
      <c r="N132" s="593"/>
      <c r="O132" s="575">
        <f t="shared" ref="O132:Q135" si="224">+IFERROR(IF((H132+L132)/D132&gt;=100%,100%,(H132+L132)/D132),0)</f>
        <v>1</v>
      </c>
      <c r="P132" s="575">
        <f t="shared" si="224"/>
        <v>1</v>
      </c>
      <c r="Q132" s="575">
        <f t="shared" si="224"/>
        <v>1</v>
      </c>
      <c r="R132" s="44">
        <f t="shared" ref="R132:R135" si="225">+IFERROR(IF(K132/G132&gt;=100%,100%,K132/G132),0)</f>
        <v>0.44</v>
      </c>
      <c r="S132" s="300" t="s">
        <v>1619</v>
      </c>
      <c r="T132" s="234"/>
      <c r="U132" s="40" t="s">
        <v>1796</v>
      </c>
      <c r="V132" s="544"/>
      <c r="W132" s="45" t="s">
        <v>1807</v>
      </c>
      <c r="X132" s="552" t="s">
        <v>1746</v>
      </c>
      <c r="Y132" s="47">
        <f t="shared" ref="Y132:Y135" si="226">SUM(D132:G132)</f>
        <v>100</v>
      </c>
      <c r="Z132" s="47">
        <f t="shared" ref="Z132:Z135" si="227">SUM(H132:N132)</f>
        <v>86</v>
      </c>
      <c r="AA132" s="43">
        <f t="shared" ref="AA132:AA135" si="228">IF(Z132/Y132&gt;=100%,100%,Z132/Y132)</f>
        <v>0.86</v>
      </c>
      <c r="AB132" s="48">
        <v>0.5</v>
      </c>
      <c r="AC132" s="48">
        <v>0.5</v>
      </c>
      <c r="AD132" s="48">
        <v>0.56999999999999995</v>
      </c>
      <c r="AE132" s="48">
        <v>0.5</v>
      </c>
      <c r="AF132" s="43">
        <v>0.57999999999999996</v>
      </c>
      <c r="AG132" s="49">
        <v>20000000</v>
      </c>
      <c r="AH132" s="50"/>
      <c r="AI132" s="50"/>
      <c r="AJ132" s="240">
        <v>15065212.800000001</v>
      </c>
      <c r="AK132" s="240">
        <v>19541133.333333332</v>
      </c>
      <c r="AL132" s="932">
        <f t="shared" si="140"/>
        <v>0.97705666666666657</v>
      </c>
      <c r="AM132" s="50"/>
      <c r="AN132" s="723"/>
      <c r="AO132" s="240">
        <v>15065212.800000001</v>
      </c>
      <c r="AP132" s="276"/>
      <c r="AQ132" s="1155">
        <f t="shared" si="143"/>
        <v>0</v>
      </c>
      <c r="AR132" s="51">
        <f t="shared" si="144"/>
        <v>19541133.333333332</v>
      </c>
      <c r="AS132" s="51"/>
      <c r="AT132" s="51"/>
      <c r="AU132" s="51"/>
      <c r="AV132" s="51"/>
      <c r="AW132" s="51">
        <f t="shared" si="222"/>
        <v>0</v>
      </c>
      <c r="AX132" s="51"/>
      <c r="AY132" s="43" t="e">
        <f t="shared" si="146"/>
        <v>#DIV/0!</v>
      </c>
      <c r="AZ132" s="49">
        <f>87500000+AG132</f>
        <v>107500000</v>
      </c>
      <c r="BA132" s="45">
        <f t="shared" si="209"/>
        <v>34606346.133333333</v>
      </c>
      <c r="BB132" s="52">
        <f t="shared" si="210"/>
        <v>0.32191949891472865</v>
      </c>
      <c r="BC132" s="1170">
        <f t="shared" si="211"/>
        <v>15065212.800000001</v>
      </c>
      <c r="BD132" s="52">
        <f t="shared" si="212"/>
        <v>0.14014151441860465</v>
      </c>
      <c r="BE132" s="50"/>
      <c r="BF132" s="50" t="s">
        <v>74</v>
      </c>
      <c r="BG132" s="45" t="s">
        <v>79</v>
      </c>
      <c r="BH132" s="53" t="s">
        <v>175</v>
      </c>
      <c r="BI132" s="1222" t="s">
        <v>391</v>
      </c>
    </row>
    <row r="133" spans="1:61" ht="64.5" customHeight="1" x14ac:dyDescent="0.25">
      <c r="A133" s="39" t="s">
        <v>401</v>
      </c>
      <c r="B133" s="68" t="s">
        <v>402</v>
      </c>
      <c r="C133" s="68" t="s">
        <v>1776</v>
      </c>
      <c r="D133" s="68">
        <v>8</v>
      </c>
      <c r="E133" s="76">
        <v>0</v>
      </c>
      <c r="F133" s="76">
        <v>8</v>
      </c>
      <c r="G133" s="748">
        <v>0</v>
      </c>
      <c r="H133" s="76">
        <v>8</v>
      </c>
      <c r="I133" s="42" t="s">
        <v>163</v>
      </c>
      <c r="J133" s="84">
        <v>8</v>
      </c>
      <c r="K133" s="84">
        <v>0</v>
      </c>
      <c r="L133" s="42"/>
      <c r="M133" s="593"/>
      <c r="N133" s="593"/>
      <c r="O133" s="575">
        <f t="shared" si="224"/>
        <v>1</v>
      </c>
      <c r="P133" s="575">
        <f t="shared" si="224"/>
        <v>0</v>
      </c>
      <c r="Q133" s="575">
        <f t="shared" si="224"/>
        <v>1</v>
      </c>
      <c r="R133" s="292">
        <f t="shared" si="225"/>
        <v>0</v>
      </c>
      <c r="S133" s="427" t="s">
        <v>624</v>
      </c>
      <c r="T133" s="234"/>
      <c r="U133" s="543" t="s">
        <v>1804</v>
      </c>
      <c r="V133" s="544"/>
      <c r="W133" s="45"/>
      <c r="X133" s="546"/>
      <c r="Y133" s="47">
        <f t="shared" si="226"/>
        <v>16</v>
      </c>
      <c r="Z133" s="47">
        <f t="shared" si="227"/>
        <v>16</v>
      </c>
      <c r="AA133" s="43">
        <f t="shared" si="228"/>
        <v>1</v>
      </c>
      <c r="AB133" s="48">
        <v>0.05</v>
      </c>
      <c r="AC133" s="48">
        <v>0.05</v>
      </c>
      <c r="AD133" s="48">
        <v>0</v>
      </c>
      <c r="AE133" s="48">
        <v>0.05</v>
      </c>
      <c r="AF133" s="43">
        <v>0</v>
      </c>
      <c r="AG133" s="70">
        <v>5000000</v>
      </c>
      <c r="AH133" s="50"/>
      <c r="AI133" s="50"/>
      <c r="AJ133" s="240">
        <v>3766303.2</v>
      </c>
      <c r="AK133" s="240">
        <v>4885283.333333333</v>
      </c>
      <c r="AL133" s="932">
        <f t="shared" si="140"/>
        <v>0.97705666666666657</v>
      </c>
      <c r="AM133" s="50"/>
      <c r="AN133" s="723"/>
      <c r="AO133" s="240">
        <v>3766303.2</v>
      </c>
      <c r="AP133" s="276"/>
      <c r="AQ133" s="1155">
        <f t="shared" si="143"/>
        <v>0</v>
      </c>
      <c r="AR133" s="51">
        <f t="shared" si="144"/>
        <v>4885283.333333333</v>
      </c>
      <c r="AS133" s="51"/>
      <c r="AT133" s="51"/>
      <c r="AU133" s="51"/>
      <c r="AV133" s="51"/>
      <c r="AW133" s="51">
        <f t="shared" si="222"/>
        <v>0</v>
      </c>
      <c r="AX133" s="51"/>
      <c r="AY133" s="43" t="e">
        <f t="shared" si="146"/>
        <v>#DIV/0!</v>
      </c>
      <c r="AZ133" s="70">
        <f>37500000+AG133</f>
        <v>42500000</v>
      </c>
      <c r="BA133" s="45">
        <f t="shared" si="209"/>
        <v>8651586.5333333332</v>
      </c>
      <c r="BB133" s="52">
        <f t="shared" si="210"/>
        <v>0.20356674196078431</v>
      </c>
      <c r="BC133" s="1170">
        <f t="shared" si="211"/>
        <v>3766303.2</v>
      </c>
      <c r="BD133" s="52">
        <f t="shared" si="212"/>
        <v>8.8618898823529413E-2</v>
      </c>
      <c r="BE133" s="50"/>
      <c r="BF133" s="50"/>
      <c r="BG133" s="45" t="s">
        <v>79</v>
      </c>
      <c r="BH133" s="57"/>
      <c r="BI133" s="1223"/>
    </row>
    <row r="134" spans="1:61" ht="64.5" customHeight="1" x14ac:dyDescent="0.25">
      <c r="A134" s="39" t="s">
        <v>403</v>
      </c>
      <c r="B134" s="68" t="s">
        <v>404</v>
      </c>
      <c r="C134" s="53" t="s">
        <v>1778</v>
      </c>
      <c r="D134" s="576">
        <v>1</v>
      </c>
      <c r="E134" s="85">
        <v>0</v>
      </c>
      <c r="F134" s="85">
        <v>1</v>
      </c>
      <c r="G134" s="749">
        <v>0</v>
      </c>
      <c r="H134" s="85">
        <v>1</v>
      </c>
      <c r="I134" s="42" t="s">
        <v>163</v>
      </c>
      <c r="J134" s="85">
        <v>1</v>
      </c>
      <c r="K134" s="85">
        <v>0</v>
      </c>
      <c r="L134" s="42"/>
      <c r="M134" s="593"/>
      <c r="N134" s="593"/>
      <c r="O134" s="575">
        <f t="shared" si="224"/>
        <v>1</v>
      </c>
      <c r="P134" s="575">
        <f t="shared" si="224"/>
        <v>0</v>
      </c>
      <c r="Q134" s="575">
        <f t="shared" si="224"/>
        <v>1</v>
      </c>
      <c r="R134" s="292">
        <f t="shared" si="225"/>
        <v>0</v>
      </c>
      <c r="S134" s="427" t="s">
        <v>624</v>
      </c>
      <c r="T134" s="234"/>
      <c r="U134" s="543" t="s">
        <v>1804</v>
      </c>
      <c r="V134" s="544"/>
      <c r="W134" s="45"/>
      <c r="X134" s="546"/>
      <c r="Y134" s="43">
        <f t="shared" si="226"/>
        <v>2</v>
      </c>
      <c r="Z134" s="698">
        <f t="shared" si="227"/>
        <v>2</v>
      </c>
      <c r="AA134" s="43">
        <f t="shared" si="228"/>
        <v>1</v>
      </c>
      <c r="AB134" s="48">
        <v>0.1</v>
      </c>
      <c r="AC134" s="48">
        <v>0.1</v>
      </c>
      <c r="AD134" s="48">
        <v>0</v>
      </c>
      <c r="AE134" s="48">
        <v>0.1</v>
      </c>
      <c r="AF134" s="43">
        <v>0</v>
      </c>
      <c r="AG134" s="70"/>
      <c r="AH134" s="50"/>
      <c r="AI134" s="50"/>
      <c r="AJ134" s="240">
        <v>15065212.800000001</v>
      </c>
      <c r="AK134" s="240"/>
      <c r="AL134" s="932" t="e">
        <f t="shared" si="140"/>
        <v>#DIV/0!</v>
      </c>
      <c r="AM134" s="50"/>
      <c r="AN134" s="723"/>
      <c r="AO134" s="240">
        <v>15065212.800000001</v>
      </c>
      <c r="AP134" s="276"/>
      <c r="AQ134" s="1155" t="e">
        <f t="shared" si="143"/>
        <v>#DIV/0!</v>
      </c>
      <c r="AR134" s="51">
        <f t="shared" si="144"/>
        <v>0</v>
      </c>
      <c r="AS134" s="51"/>
      <c r="AT134" s="51"/>
      <c r="AU134" s="51"/>
      <c r="AV134" s="51"/>
      <c r="AW134" s="51">
        <f t="shared" si="222"/>
        <v>0</v>
      </c>
      <c r="AX134" s="51"/>
      <c r="AY134" s="43" t="e">
        <f t="shared" si="146"/>
        <v>#DIV/0!</v>
      </c>
      <c r="AZ134" s="70">
        <f>37500000+AG134</f>
        <v>37500000</v>
      </c>
      <c r="BA134" s="45">
        <f t="shared" si="209"/>
        <v>15065212.800000001</v>
      </c>
      <c r="BB134" s="52">
        <f t="shared" si="210"/>
        <v>0.40173900800000001</v>
      </c>
      <c r="BC134" s="1170">
        <f t="shared" si="211"/>
        <v>15065212.800000001</v>
      </c>
      <c r="BD134" s="52">
        <f t="shared" si="212"/>
        <v>0.40173900800000001</v>
      </c>
      <c r="BE134" s="50"/>
      <c r="BF134" s="50"/>
      <c r="BG134" s="50"/>
      <c r="BH134" s="53" t="s">
        <v>175</v>
      </c>
      <c r="BI134" s="1223"/>
    </row>
    <row r="135" spans="1:61" ht="43.5" customHeight="1" x14ac:dyDescent="0.25">
      <c r="A135" s="89" t="s">
        <v>405</v>
      </c>
      <c r="B135" s="68" t="s">
        <v>406</v>
      </c>
      <c r="C135" s="53" t="s">
        <v>1778</v>
      </c>
      <c r="D135" s="576">
        <v>1</v>
      </c>
      <c r="E135" s="85">
        <v>1</v>
      </c>
      <c r="F135" s="85">
        <v>1</v>
      </c>
      <c r="G135" s="749">
        <v>1</v>
      </c>
      <c r="H135" s="85">
        <v>1</v>
      </c>
      <c r="I135" s="43">
        <v>1</v>
      </c>
      <c r="J135" s="43">
        <v>1</v>
      </c>
      <c r="K135" s="43">
        <v>1</v>
      </c>
      <c r="L135" s="42"/>
      <c r="M135" s="593"/>
      <c r="N135" s="593"/>
      <c r="O135" s="575">
        <f t="shared" si="224"/>
        <v>1</v>
      </c>
      <c r="P135" s="575">
        <f t="shared" si="224"/>
        <v>1</v>
      </c>
      <c r="Q135" s="575">
        <f t="shared" si="224"/>
        <v>1</v>
      </c>
      <c r="R135" s="44">
        <f t="shared" si="225"/>
        <v>1</v>
      </c>
      <c r="S135" s="301" t="s">
        <v>407</v>
      </c>
      <c r="T135" s="234"/>
      <c r="U135" s="40" t="s">
        <v>1800</v>
      </c>
      <c r="V135" s="40" t="s">
        <v>1864</v>
      </c>
      <c r="W135" s="45" t="s">
        <v>1807</v>
      </c>
      <c r="X135" s="552"/>
      <c r="Y135" s="43">
        <f t="shared" si="226"/>
        <v>4</v>
      </c>
      <c r="Z135" s="698">
        <f t="shared" si="227"/>
        <v>4</v>
      </c>
      <c r="AA135" s="43">
        <f t="shared" si="228"/>
        <v>1</v>
      </c>
      <c r="AB135" s="48">
        <v>0.35</v>
      </c>
      <c r="AC135" s="48">
        <v>0.35</v>
      </c>
      <c r="AD135" s="48">
        <v>0.43</v>
      </c>
      <c r="AE135" s="48">
        <v>0.35</v>
      </c>
      <c r="AF135" s="43">
        <v>0.42</v>
      </c>
      <c r="AG135" s="49">
        <v>5000000</v>
      </c>
      <c r="AH135" s="50"/>
      <c r="AI135" s="50"/>
      <c r="AJ135" s="240">
        <v>3766303.2</v>
      </c>
      <c r="AK135" s="240">
        <v>4885283.333333333</v>
      </c>
      <c r="AL135" s="932">
        <f t="shared" si="140"/>
        <v>0.97705666666666657</v>
      </c>
      <c r="AM135" s="50"/>
      <c r="AN135" s="723"/>
      <c r="AO135" s="240">
        <v>3766303.2</v>
      </c>
      <c r="AP135" s="276"/>
      <c r="AQ135" s="1155">
        <f t="shared" si="143"/>
        <v>0</v>
      </c>
      <c r="AR135" s="51">
        <f t="shared" si="144"/>
        <v>4885283.333333333</v>
      </c>
      <c r="AS135" s="51"/>
      <c r="AT135" s="51"/>
      <c r="AU135" s="51"/>
      <c r="AV135" s="51"/>
      <c r="AW135" s="51">
        <f t="shared" si="222"/>
        <v>0</v>
      </c>
      <c r="AX135" s="51"/>
      <c r="AY135" s="43" t="e">
        <f t="shared" si="146"/>
        <v>#DIV/0!</v>
      </c>
      <c r="AZ135" s="49">
        <f>87500000+AG135</f>
        <v>92500000</v>
      </c>
      <c r="BA135" s="45">
        <f t="shared" si="209"/>
        <v>8651586.5333333332</v>
      </c>
      <c r="BB135" s="52">
        <f t="shared" si="210"/>
        <v>9.3530665225225226E-2</v>
      </c>
      <c r="BC135" s="1170">
        <f t="shared" si="211"/>
        <v>3766303.2</v>
      </c>
      <c r="BD135" s="52">
        <f t="shared" si="212"/>
        <v>4.0716791351351353E-2</v>
      </c>
      <c r="BE135" s="50"/>
      <c r="BF135" s="50" t="s">
        <v>74</v>
      </c>
      <c r="BG135" s="45" t="s">
        <v>99</v>
      </c>
      <c r="BH135" s="53" t="s">
        <v>175</v>
      </c>
      <c r="BI135" s="1224"/>
    </row>
    <row r="136" spans="1:61" ht="51.75" customHeight="1" x14ac:dyDescent="0.25">
      <c r="A136" s="58" t="s">
        <v>408</v>
      </c>
      <c r="B136" s="59"/>
      <c r="C136" s="59"/>
      <c r="D136" s="59"/>
      <c r="E136" s="60"/>
      <c r="F136" s="60"/>
      <c r="G136" s="744"/>
      <c r="H136" s="60"/>
      <c r="I136" s="60"/>
      <c r="J136" s="60"/>
      <c r="K136" s="60"/>
      <c r="L136" s="60"/>
      <c r="M136" s="60"/>
      <c r="N136" s="60"/>
      <c r="O136" s="685">
        <f>+SUMPRODUCT(O137:O138,AC137:AC138)</f>
        <v>0</v>
      </c>
      <c r="P136" s="685">
        <f>+SUMPRODUCT(P137:P138,AD137:AD138)</f>
        <v>1</v>
      </c>
      <c r="Q136" s="685">
        <f>+SUMPRODUCT(Q137:Q138,AE137:AE138)</f>
        <v>1</v>
      </c>
      <c r="R136" s="685">
        <f>+SUMPRODUCT(R137:R138,AF137:AF138)</f>
        <v>0</v>
      </c>
      <c r="S136" s="59"/>
      <c r="T136" s="58"/>
      <c r="U136" s="59"/>
      <c r="V136" s="59"/>
      <c r="W136" s="59"/>
      <c r="X136" s="59"/>
      <c r="Y136" s="62"/>
      <c r="Z136" s="62"/>
      <c r="AA136" s="61">
        <f>+SUMPRODUCT(AA137:AA138,AB137:AB138)</f>
        <v>0.75</v>
      </c>
      <c r="AB136" s="61">
        <v>0.15</v>
      </c>
      <c r="AC136" s="61">
        <v>0</v>
      </c>
      <c r="AD136" s="61">
        <v>0.15</v>
      </c>
      <c r="AE136" s="61">
        <v>0.2</v>
      </c>
      <c r="AF136" s="61">
        <v>0.2</v>
      </c>
      <c r="AG136" s="59">
        <f>SUM(AG137:AG138)</f>
        <v>30000000</v>
      </c>
      <c r="AH136" s="59">
        <f t="shared" ref="AH136" si="229">AH137+AH138</f>
        <v>0</v>
      </c>
      <c r="AI136" s="59">
        <v>50000000</v>
      </c>
      <c r="AJ136" s="59">
        <f t="shared" ref="AJ136:AK136" si="230">SUM(AJ137:AJ138)</f>
        <v>19831622</v>
      </c>
      <c r="AK136" s="59">
        <f t="shared" si="230"/>
        <v>2056666</v>
      </c>
      <c r="AL136" s="1137">
        <f t="shared" ref="AL136:AL199" si="231">+AK136/AG136</f>
        <v>6.8555533333333335E-2</v>
      </c>
      <c r="AM136" s="59">
        <f>SUM(AM137:AM138)</f>
        <v>0</v>
      </c>
      <c r="AN136" s="724">
        <v>50000000</v>
      </c>
      <c r="AO136" s="241">
        <f t="shared" ref="AO136" si="232">SUM(AO137:AO138)</f>
        <v>19831622</v>
      </c>
      <c r="AP136" s="241">
        <f t="shared" ref="AP136" si="233">SUM(AP137:AP138)</f>
        <v>0</v>
      </c>
      <c r="AQ136" s="1156">
        <f t="shared" ref="AQ136:AQ199" si="234">+AP136/AG136</f>
        <v>0</v>
      </c>
      <c r="AR136" s="63">
        <f t="shared" ref="AR136:AR199" si="235">+AK136-AP136</f>
        <v>2056666</v>
      </c>
      <c r="AS136" s="63"/>
      <c r="AT136" s="63"/>
      <c r="AU136" s="530">
        <f>+AI136-AN136</f>
        <v>0</v>
      </c>
      <c r="AV136" s="63"/>
      <c r="AW136" s="63">
        <f t="shared" si="222"/>
        <v>0</v>
      </c>
      <c r="AX136" s="63">
        <f t="shared" ref="AX136" si="236">SUM(AX137:AX138)</f>
        <v>0</v>
      </c>
      <c r="AY136" s="61" t="e">
        <f t="shared" ref="AY136:AY199" si="237">+AX136/AW136</f>
        <v>#DIV/0!</v>
      </c>
      <c r="AZ136" s="59">
        <f>SUM(AZ137:AZ138)-50000000</f>
        <v>130000000</v>
      </c>
      <c r="BA136" s="59">
        <f t="shared" si="209"/>
        <v>71888288</v>
      </c>
      <c r="BB136" s="61">
        <f t="shared" si="210"/>
        <v>0.55298683076923072</v>
      </c>
      <c r="BC136" s="1171">
        <f t="shared" si="211"/>
        <v>69831622</v>
      </c>
      <c r="BD136" s="61">
        <f t="shared" si="212"/>
        <v>0.53716632307692302</v>
      </c>
      <c r="BE136" s="59"/>
      <c r="BF136" s="59" t="s">
        <v>74</v>
      </c>
      <c r="BG136" s="59"/>
      <c r="BH136" s="59"/>
      <c r="BI136" s="623"/>
    </row>
    <row r="137" spans="1:61" ht="48" customHeight="1" x14ac:dyDescent="0.25">
      <c r="A137" s="39" t="s">
        <v>409</v>
      </c>
      <c r="B137" s="91" t="s">
        <v>410</v>
      </c>
      <c r="C137" s="68" t="s">
        <v>1776</v>
      </c>
      <c r="D137" s="91">
        <v>0</v>
      </c>
      <c r="E137" s="76">
        <v>1</v>
      </c>
      <c r="F137" s="76">
        <v>0</v>
      </c>
      <c r="G137" s="748">
        <v>1</v>
      </c>
      <c r="H137" s="42" t="s">
        <v>163</v>
      </c>
      <c r="I137" s="42">
        <v>1</v>
      </c>
      <c r="J137" s="42" t="s">
        <v>163</v>
      </c>
      <c r="K137" s="42">
        <v>0</v>
      </c>
      <c r="L137" s="42"/>
      <c r="M137" s="593"/>
      <c r="N137" s="593"/>
      <c r="O137" s="575">
        <f t="shared" ref="O137:Q138" si="238">+IFERROR(IF((H137+L137)/D137&gt;=100%,100%,(H137+L137)/D137),0)</f>
        <v>0</v>
      </c>
      <c r="P137" s="575">
        <f t="shared" si="238"/>
        <v>1</v>
      </c>
      <c r="Q137" s="575">
        <f t="shared" si="238"/>
        <v>0</v>
      </c>
      <c r="R137" s="44">
        <f t="shared" ref="R137:R138" si="239">+IFERROR(IF(K137/G137&gt;=100%,100%,K137/G137),0)</f>
        <v>0</v>
      </c>
      <c r="S137" s="293" t="s">
        <v>1699</v>
      </c>
      <c r="T137" s="103"/>
      <c r="U137" s="40" t="s">
        <v>1796</v>
      </c>
      <c r="V137" s="40"/>
      <c r="W137" s="45"/>
      <c r="X137" s="45" t="s">
        <v>1747</v>
      </c>
      <c r="Y137" s="47">
        <f t="shared" ref="Y137:Y138" si="240">SUM(D137:G137)</f>
        <v>2</v>
      </c>
      <c r="Z137" s="47">
        <f t="shared" ref="Z137:Z138" si="241">SUM(H137:N137)</f>
        <v>1</v>
      </c>
      <c r="AA137" s="43">
        <f t="shared" ref="AA137:AA138" si="242">IF(Z137/Y137&gt;=100%,100%,Z137/Y137)</f>
        <v>0.5</v>
      </c>
      <c r="AB137" s="43">
        <v>0.5</v>
      </c>
      <c r="AC137" s="48">
        <v>0</v>
      </c>
      <c r="AD137" s="43">
        <v>1</v>
      </c>
      <c r="AE137" s="43">
        <v>0</v>
      </c>
      <c r="AF137" s="43">
        <v>1</v>
      </c>
      <c r="AG137" s="49">
        <v>30000000</v>
      </c>
      <c r="AH137" s="50"/>
      <c r="AI137" s="50"/>
      <c r="AJ137" s="240"/>
      <c r="AK137" s="240">
        <v>2056666</v>
      </c>
      <c r="AL137" s="932">
        <f t="shared" si="231"/>
        <v>6.8555533333333335E-2</v>
      </c>
      <c r="AM137" s="50"/>
      <c r="AN137" s="723"/>
      <c r="AO137" s="240"/>
      <c r="AP137" s="240"/>
      <c r="AQ137" s="1155">
        <f t="shared" si="234"/>
        <v>0</v>
      </c>
      <c r="AR137" s="51">
        <f t="shared" si="235"/>
        <v>2056666</v>
      </c>
      <c r="AS137" s="51"/>
      <c r="AT137" s="51"/>
      <c r="AU137" s="51"/>
      <c r="AV137" s="51"/>
      <c r="AW137" s="51">
        <f t="shared" si="222"/>
        <v>0</v>
      </c>
      <c r="AX137" s="51"/>
      <c r="AY137" s="43" t="e">
        <f t="shared" si="237"/>
        <v>#DIV/0!</v>
      </c>
      <c r="AZ137" s="49">
        <f>100000000+AG137</f>
        <v>130000000</v>
      </c>
      <c r="BA137" s="45">
        <f t="shared" si="209"/>
        <v>2056666</v>
      </c>
      <c r="BB137" s="43">
        <f t="shared" si="210"/>
        <v>1.5820507692307691E-2</v>
      </c>
      <c r="BC137" s="591">
        <f t="shared" si="211"/>
        <v>0</v>
      </c>
      <c r="BD137" s="43">
        <f t="shared" si="212"/>
        <v>0</v>
      </c>
      <c r="BE137" s="50"/>
      <c r="BF137" s="50" t="s">
        <v>74</v>
      </c>
      <c r="BG137" s="50"/>
      <c r="BH137" s="53" t="s">
        <v>175</v>
      </c>
      <c r="BI137" s="1255" t="s">
        <v>391</v>
      </c>
    </row>
    <row r="138" spans="1:61" ht="47.25" customHeight="1" x14ac:dyDescent="0.25">
      <c r="A138" s="39" t="s">
        <v>412</v>
      </c>
      <c r="B138" s="91" t="s">
        <v>413</v>
      </c>
      <c r="C138" s="68" t="s">
        <v>1776</v>
      </c>
      <c r="D138" s="91">
        <v>0</v>
      </c>
      <c r="E138" s="76">
        <v>0</v>
      </c>
      <c r="F138" s="76">
        <v>1</v>
      </c>
      <c r="G138" s="748">
        <v>0</v>
      </c>
      <c r="H138" s="42" t="s">
        <v>163</v>
      </c>
      <c r="I138" s="42" t="s">
        <v>163</v>
      </c>
      <c r="J138" s="42">
        <v>1</v>
      </c>
      <c r="K138" s="42" t="s">
        <v>163</v>
      </c>
      <c r="L138" s="42"/>
      <c r="M138" s="593"/>
      <c r="N138" s="593"/>
      <c r="O138" s="575">
        <f t="shared" si="238"/>
        <v>0</v>
      </c>
      <c r="P138" s="575">
        <f t="shared" si="238"/>
        <v>0</v>
      </c>
      <c r="Q138" s="575">
        <f t="shared" si="238"/>
        <v>1</v>
      </c>
      <c r="R138" s="43">
        <f t="shared" si="239"/>
        <v>0</v>
      </c>
      <c r="S138" s="54"/>
      <c r="T138" s="234"/>
      <c r="U138" s="543" t="s">
        <v>1804</v>
      </c>
      <c r="V138" s="40"/>
      <c r="W138" s="45"/>
      <c r="X138" s="45"/>
      <c r="Y138" s="47">
        <f t="shared" si="240"/>
        <v>1</v>
      </c>
      <c r="Z138" s="47">
        <f t="shared" si="241"/>
        <v>1</v>
      </c>
      <c r="AA138" s="43">
        <f t="shared" si="242"/>
        <v>1</v>
      </c>
      <c r="AB138" s="43">
        <v>0.5</v>
      </c>
      <c r="AC138" s="48">
        <v>0</v>
      </c>
      <c r="AD138" s="43">
        <v>0</v>
      </c>
      <c r="AE138" s="43">
        <v>1</v>
      </c>
      <c r="AF138" s="43">
        <v>0</v>
      </c>
      <c r="AG138" s="70"/>
      <c r="AH138" s="50"/>
      <c r="AI138" s="50"/>
      <c r="AJ138" s="240">
        <v>19831622</v>
      </c>
      <c r="AK138" s="240"/>
      <c r="AL138" s="932" t="e">
        <f t="shared" si="231"/>
        <v>#DIV/0!</v>
      </c>
      <c r="AM138" s="50"/>
      <c r="AN138" s="723"/>
      <c r="AO138" s="240">
        <v>19831622</v>
      </c>
      <c r="AP138" s="240"/>
      <c r="AQ138" s="1155" t="e">
        <f t="shared" si="234"/>
        <v>#DIV/0!</v>
      </c>
      <c r="AR138" s="51">
        <f t="shared" si="235"/>
        <v>0</v>
      </c>
      <c r="AS138" s="51"/>
      <c r="AT138" s="51"/>
      <c r="AU138" s="51"/>
      <c r="AV138" s="51"/>
      <c r="AW138" s="51">
        <f t="shared" si="222"/>
        <v>0</v>
      </c>
      <c r="AX138" s="51"/>
      <c r="AY138" s="43" t="e">
        <f t="shared" si="237"/>
        <v>#DIV/0!</v>
      </c>
      <c r="AZ138" s="70">
        <f>50000000+AG138</f>
        <v>50000000</v>
      </c>
      <c r="BA138" s="45">
        <f t="shared" si="209"/>
        <v>19831622</v>
      </c>
      <c r="BB138" s="43">
        <f t="shared" si="210"/>
        <v>0.39663243999999998</v>
      </c>
      <c r="BC138" s="591">
        <f t="shared" si="211"/>
        <v>19831622</v>
      </c>
      <c r="BD138" s="43">
        <f t="shared" si="212"/>
        <v>0.39663243999999998</v>
      </c>
      <c r="BE138" s="50"/>
      <c r="BF138" s="50" t="s">
        <v>74</v>
      </c>
      <c r="BG138" s="50"/>
      <c r="BH138" s="53"/>
      <c r="BI138" s="1224"/>
    </row>
    <row r="139" spans="1:61" ht="25.5" x14ac:dyDescent="0.25">
      <c r="A139" s="13" t="s">
        <v>415</v>
      </c>
      <c r="B139" s="14"/>
      <c r="C139" s="14"/>
      <c r="D139" s="14"/>
      <c r="E139" s="15"/>
      <c r="F139" s="15"/>
      <c r="G139" s="740"/>
      <c r="H139" s="15"/>
      <c r="I139" s="15"/>
      <c r="J139" s="15"/>
      <c r="K139" s="15"/>
      <c r="L139" s="15"/>
      <c r="M139" s="15"/>
      <c r="N139" s="15"/>
      <c r="O139" s="683">
        <f>+(O140*AB140)</f>
        <v>0.99999999999999989</v>
      </c>
      <c r="P139" s="683">
        <f>+(P140*AC140)</f>
        <v>0.99999999999999989</v>
      </c>
      <c r="Q139" s="683">
        <f>+(Q140*AD140)</f>
        <v>0.90739999999999998</v>
      </c>
      <c r="R139" s="683">
        <f>+(R140*AE140)</f>
        <v>0.75519999999999998</v>
      </c>
      <c r="S139" s="683">
        <f>+(S140*AG140)</f>
        <v>0</v>
      </c>
      <c r="T139" s="683"/>
      <c r="U139" s="683"/>
      <c r="V139" s="683"/>
      <c r="W139" s="683"/>
      <c r="X139" s="683"/>
      <c r="Y139" s="683">
        <f>+(Y140*AS140)</f>
        <v>0</v>
      </c>
      <c r="Z139" s="683">
        <f>+(Z140*AT140)</f>
        <v>0</v>
      </c>
      <c r="AA139" s="683">
        <f>+(AA140*AB140)</f>
        <v>0.97060000000000013</v>
      </c>
      <c r="AB139" s="20">
        <v>0.1</v>
      </c>
      <c r="AC139" s="20">
        <v>0.1</v>
      </c>
      <c r="AD139" s="20">
        <v>0.1</v>
      </c>
      <c r="AE139" s="20">
        <v>0.1</v>
      </c>
      <c r="AF139" s="20">
        <v>0.1</v>
      </c>
      <c r="AG139" s="14">
        <f>AG140</f>
        <v>400000000</v>
      </c>
      <c r="AH139" s="14">
        <f t="shared" ref="AH139:AK139" si="243">AH140</f>
        <v>244097340</v>
      </c>
      <c r="AI139" s="14">
        <f t="shared" si="243"/>
        <v>493940204</v>
      </c>
      <c r="AJ139" s="14">
        <f t="shared" si="243"/>
        <v>578939617</v>
      </c>
      <c r="AK139" s="14">
        <f t="shared" si="243"/>
        <v>164498434</v>
      </c>
      <c r="AL139" s="1139">
        <f t="shared" si="231"/>
        <v>0.41124608499999998</v>
      </c>
      <c r="AM139" s="14">
        <f>+AM140</f>
        <v>244097340</v>
      </c>
      <c r="AN139" s="721">
        <f>+AN140</f>
        <v>395940204</v>
      </c>
      <c r="AO139" s="244">
        <f t="shared" ref="AO139" si="244">AO140</f>
        <v>465524711</v>
      </c>
      <c r="AP139" s="244">
        <f t="shared" ref="AP139" si="245">AP140</f>
        <v>54733766</v>
      </c>
      <c r="AQ139" s="1159">
        <f t="shared" si="234"/>
        <v>0.13683441499999999</v>
      </c>
      <c r="AR139" s="14">
        <f t="shared" si="235"/>
        <v>109764668</v>
      </c>
      <c r="AS139" s="14">
        <f>+AS140</f>
        <v>90000000</v>
      </c>
      <c r="AT139" s="14">
        <f>+AT140</f>
        <v>0</v>
      </c>
      <c r="AU139" s="14">
        <f>+AU140</f>
        <v>98000000</v>
      </c>
      <c r="AV139" s="14">
        <f>+AV140</f>
        <v>0</v>
      </c>
      <c r="AW139" s="21">
        <f t="shared" si="222"/>
        <v>113414906</v>
      </c>
      <c r="AX139" s="21">
        <f t="shared" ref="AX139" si="246">AX140</f>
        <v>0</v>
      </c>
      <c r="AY139" s="20">
        <f t="shared" si="237"/>
        <v>0</v>
      </c>
      <c r="AZ139" s="14">
        <f>+AZ140</f>
        <v>2230085000</v>
      </c>
      <c r="BA139" s="14">
        <f t="shared" ref="BA139" si="247">BA140</f>
        <v>1481475595</v>
      </c>
      <c r="BB139" s="20">
        <f t="shared" si="181"/>
        <v>0.66431351047157394</v>
      </c>
      <c r="BC139" s="1167">
        <f t="shared" ref="BC139" si="248">BC140</f>
        <v>1160296021</v>
      </c>
      <c r="BD139" s="20">
        <f t="shared" ref="BD139:BD159" si="249">+BC139/AZ139</f>
        <v>0.52029228527163762</v>
      </c>
      <c r="BE139" s="14"/>
      <c r="BF139" s="14"/>
      <c r="BG139" s="14"/>
      <c r="BH139" s="14"/>
      <c r="BI139" s="620"/>
    </row>
    <row r="140" spans="1:61" ht="25.5" x14ac:dyDescent="0.25">
      <c r="A140" s="23" t="s">
        <v>416</v>
      </c>
      <c r="B140" s="28"/>
      <c r="C140" s="28"/>
      <c r="D140" s="28"/>
      <c r="E140" s="81"/>
      <c r="F140" s="81"/>
      <c r="G140" s="741"/>
      <c r="H140" s="81"/>
      <c r="I140" s="81"/>
      <c r="J140" s="81"/>
      <c r="K140" s="81"/>
      <c r="L140" s="81"/>
      <c r="M140" s="81"/>
      <c r="N140" s="81"/>
      <c r="O140" s="609">
        <f>+(O141*AB141)+(O147*AB147)+(O154*AB154)</f>
        <v>0.99999999999999989</v>
      </c>
      <c r="P140" s="609">
        <f>+(P141*AC141)+(P147*AC147)+(P154*AC154)</f>
        <v>0.99999999999999989</v>
      </c>
      <c r="Q140" s="609">
        <f>+(Q141*AD141)+(Q147*AD147)+(Q154*AD154)</f>
        <v>0.90739999999999998</v>
      </c>
      <c r="R140" s="609">
        <f>+(R141*AE141)+(R147*AE147)+(R154*AE154)</f>
        <v>0.75519999999999998</v>
      </c>
      <c r="S140" s="23"/>
      <c r="T140" s="23"/>
      <c r="U140" s="28"/>
      <c r="V140" s="28"/>
      <c r="W140" s="28"/>
      <c r="X140" s="23"/>
      <c r="Y140" s="104"/>
      <c r="Z140" s="83"/>
      <c r="AA140" s="26">
        <f>+(AA141*AB141)+(AA147*AB147)+(AA154*AB154)</f>
        <v>0.97060000000000013</v>
      </c>
      <c r="AB140" s="26">
        <v>1</v>
      </c>
      <c r="AC140" s="26">
        <v>1</v>
      </c>
      <c r="AD140" s="26">
        <v>1</v>
      </c>
      <c r="AE140" s="26">
        <v>1</v>
      </c>
      <c r="AF140" s="26">
        <v>1</v>
      </c>
      <c r="AG140" s="28">
        <f>AG141+AG147+AG154</f>
        <v>400000000</v>
      </c>
      <c r="AH140" s="28">
        <f t="shared" ref="AH140:AK140" si="250">AH141+AH147+AH154</f>
        <v>244097340</v>
      </c>
      <c r="AI140" s="28">
        <f t="shared" si="250"/>
        <v>493940204</v>
      </c>
      <c r="AJ140" s="28">
        <f t="shared" si="250"/>
        <v>578939617</v>
      </c>
      <c r="AK140" s="28">
        <f t="shared" si="250"/>
        <v>164498434</v>
      </c>
      <c r="AL140" s="1134">
        <f t="shared" si="231"/>
        <v>0.41124608499999998</v>
      </c>
      <c r="AM140" s="28">
        <f>+AM141+AM147+AM154</f>
        <v>244097340</v>
      </c>
      <c r="AN140" s="722">
        <f>+AN141+AN147+AN154</f>
        <v>395940204</v>
      </c>
      <c r="AO140" s="243">
        <f t="shared" ref="AO140" si="251">AO141+AO147+AO154</f>
        <v>465524711</v>
      </c>
      <c r="AP140" s="243">
        <f t="shared" ref="AP140" si="252">AP141+AP147+AP154</f>
        <v>54733766</v>
      </c>
      <c r="AQ140" s="1153">
        <f t="shared" si="234"/>
        <v>0.13683441499999999</v>
      </c>
      <c r="AR140" s="28">
        <f t="shared" si="235"/>
        <v>109764668</v>
      </c>
      <c r="AS140" s="28">
        <f>+AS141+AS147+AS154</f>
        <v>90000000</v>
      </c>
      <c r="AT140" s="28">
        <f>+AT141+AT147+AT154</f>
        <v>0</v>
      </c>
      <c r="AU140" s="28">
        <f>+AU141+AU147+AU154</f>
        <v>98000000</v>
      </c>
      <c r="AV140" s="28">
        <f>+AV141+AV147+AV154</f>
        <v>0</v>
      </c>
      <c r="AW140" s="29">
        <f t="shared" si="222"/>
        <v>113414906</v>
      </c>
      <c r="AX140" s="29">
        <f t="shared" ref="AX140" si="253">AX141+AX147+AX154</f>
        <v>0</v>
      </c>
      <c r="AY140" s="26">
        <f t="shared" si="237"/>
        <v>0</v>
      </c>
      <c r="AZ140" s="28">
        <f>+AZ141+AZ147+AZ154</f>
        <v>2230085000</v>
      </c>
      <c r="BA140" s="28">
        <f t="shared" ref="BA140" si="254">BA141+BA147+BA154</f>
        <v>1481475595</v>
      </c>
      <c r="BB140" s="26">
        <f t="shared" si="181"/>
        <v>0.66431351047157394</v>
      </c>
      <c r="BC140" s="1168">
        <f t="shared" ref="BC140" si="255">BC141+BC147+BC154</f>
        <v>1160296021</v>
      </c>
      <c r="BD140" s="26">
        <f t="shared" si="249"/>
        <v>0.52029228527163762</v>
      </c>
      <c r="BE140" s="28"/>
      <c r="BF140" s="28" t="s">
        <v>80</v>
      </c>
      <c r="BG140" s="28"/>
      <c r="BH140" s="28"/>
      <c r="BI140" s="615"/>
    </row>
    <row r="141" spans="1:61" ht="75.75" customHeight="1" x14ac:dyDescent="0.25">
      <c r="A141" s="32" t="s">
        <v>417</v>
      </c>
      <c r="B141" s="33"/>
      <c r="C141" s="33"/>
      <c r="D141" s="33"/>
      <c r="E141" s="34"/>
      <c r="F141" s="34"/>
      <c r="G141" s="745"/>
      <c r="H141" s="34"/>
      <c r="I141" s="34"/>
      <c r="J141" s="34"/>
      <c r="K141" s="34"/>
      <c r="L141" s="34"/>
      <c r="M141" s="34"/>
      <c r="N141" s="34"/>
      <c r="O141" s="607">
        <f>+SUMPRODUCT(O142:O146,AC142:AC146)</f>
        <v>1</v>
      </c>
      <c r="P141" s="607">
        <f>+SUMPRODUCT(P142:P146,AD142:AD146)</f>
        <v>1</v>
      </c>
      <c r="Q141" s="607">
        <f>+SUMPRODUCT(Q142:Q146,AE142:AE146)</f>
        <v>0.96799999999999997</v>
      </c>
      <c r="R141" s="607">
        <f>+SUMPRODUCT(R142:R146,AF142:AF146)</f>
        <v>1</v>
      </c>
      <c r="S141" s="32"/>
      <c r="T141" s="32"/>
      <c r="U141" s="33"/>
      <c r="V141" s="33"/>
      <c r="W141" s="33"/>
      <c r="X141" s="32"/>
      <c r="Y141" s="11"/>
      <c r="Z141" s="36"/>
      <c r="AA141" s="607">
        <f>+SUMPRODUCT(AA142:AA146,AB142:AB146)</f>
        <v>1</v>
      </c>
      <c r="AB141" s="35">
        <v>0.3</v>
      </c>
      <c r="AC141" s="35">
        <v>0.3</v>
      </c>
      <c r="AD141" s="35">
        <v>0.3</v>
      </c>
      <c r="AE141" s="35">
        <v>0.3</v>
      </c>
      <c r="AF141" s="35">
        <v>0.3</v>
      </c>
      <c r="AG141" s="33">
        <f>SUM(AG142:AG146)</f>
        <v>100000000</v>
      </c>
      <c r="AH141" s="33">
        <v>66185000</v>
      </c>
      <c r="AI141" s="33">
        <v>140271800</v>
      </c>
      <c r="AJ141" s="33">
        <f t="shared" ref="AJ141:AK141" si="256">SUM(AJ142:AJ146)</f>
        <v>193812597</v>
      </c>
      <c r="AK141" s="33">
        <f t="shared" si="256"/>
        <v>84853447</v>
      </c>
      <c r="AL141" s="1138">
        <f t="shared" si="231"/>
        <v>0.84853447000000004</v>
      </c>
      <c r="AM141" s="733">
        <v>66185000</v>
      </c>
      <c r="AN141" s="725">
        <v>140271800</v>
      </c>
      <c r="AO141" s="242">
        <f t="shared" ref="AO141" si="257">SUM(AO142:AO146)</f>
        <v>103462603</v>
      </c>
      <c r="AP141" s="242">
        <f t="shared" ref="AP141" si="258">SUM(AP142:AP146)</f>
        <v>22018913</v>
      </c>
      <c r="AQ141" s="1158">
        <f t="shared" si="234"/>
        <v>0.22018913000000001</v>
      </c>
      <c r="AR141" s="37">
        <f t="shared" si="235"/>
        <v>62834534</v>
      </c>
      <c r="AS141" s="37"/>
      <c r="AT141" s="37"/>
      <c r="AU141" s="530">
        <f>+AI141-AN141</f>
        <v>0</v>
      </c>
      <c r="AV141" s="37"/>
      <c r="AW141" s="37">
        <f t="shared" si="222"/>
        <v>90349994</v>
      </c>
      <c r="AX141" s="37">
        <f t="shared" ref="AX141" si="259">SUM(AX142:AX146)</f>
        <v>0</v>
      </c>
      <c r="AY141" s="35">
        <f t="shared" si="237"/>
        <v>0</v>
      </c>
      <c r="AZ141" s="33">
        <f>SUM(AZ142:AZ146)-200000000</f>
        <v>614000000</v>
      </c>
      <c r="BA141" s="33">
        <f t="shared" ref="BA141:BA157" si="260">SUM(AH141:AK141)</f>
        <v>485122844</v>
      </c>
      <c r="BB141" s="35">
        <f t="shared" si="181"/>
        <v>0.79010235179153099</v>
      </c>
      <c r="BC141" s="1172">
        <f t="shared" ref="BC141:BC157" si="261">SUM(AM141:AP141)+AT141+AV141+AX141</f>
        <v>331938316</v>
      </c>
      <c r="BD141" s="35">
        <f t="shared" si="249"/>
        <v>0.54061614983713357</v>
      </c>
      <c r="BE141" s="33"/>
      <c r="BF141" s="33" t="s">
        <v>80</v>
      </c>
      <c r="BG141" s="33"/>
      <c r="BH141" s="33"/>
      <c r="BI141" s="618"/>
    </row>
    <row r="142" spans="1:61" ht="93" customHeight="1" x14ac:dyDescent="0.25">
      <c r="A142" s="39" t="s">
        <v>418</v>
      </c>
      <c r="B142" s="68" t="s">
        <v>419</v>
      </c>
      <c r="C142" s="68" t="s">
        <v>1776</v>
      </c>
      <c r="D142" s="68">
        <v>3</v>
      </c>
      <c r="E142" s="76">
        <v>4</v>
      </c>
      <c r="F142" s="76">
        <v>4</v>
      </c>
      <c r="G142" s="748">
        <v>3</v>
      </c>
      <c r="H142" s="76">
        <v>3</v>
      </c>
      <c r="I142" s="42">
        <v>26</v>
      </c>
      <c r="J142" s="42">
        <v>9</v>
      </c>
      <c r="K142" s="1118">
        <v>3</v>
      </c>
      <c r="L142" s="42"/>
      <c r="M142" s="593"/>
      <c r="N142" s="593"/>
      <c r="O142" s="575">
        <f t="shared" ref="O142:Q146" si="262">+IFERROR(IF((H142+L142)/D142&gt;=100%,100%,(H142+L142)/D142),0)</f>
        <v>1</v>
      </c>
      <c r="P142" s="575">
        <f t="shared" si="262"/>
        <v>1</v>
      </c>
      <c r="Q142" s="575">
        <f t="shared" si="262"/>
        <v>1</v>
      </c>
      <c r="R142" s="44">
        <f t="shared" ref="R142:R146" si="263">+IFERROR(IF(K142/G142&gt;=100%,100%,K142/G142),0)</f>
        <v>1</v>
      </c>
      <c r="S142" s="756" t="s">
        <v>1700</v>
      </c>
      <c r="T142" s="234"/>
      <c r="U142" s="40" t="s">
        <v>1796</v>
      </c>
      <c r="V142" s="544"/>
      <c r="W142" s="45" t="s">
        <v>1807</v>
      </c>
      <c r="X142" s="554" t="s">
        <v>1748</v>
      </c>
      <c r="Y142" s="40">
        <f t="shared" ref="Y142:Y146" si="264">SUM(D142:G142)</f>
        <v>14</v>
      </c>
      <c r="Z142" s="47">
        <f t="shared" ref="Z142:Z146" si="265">SUM(H142:N142)</f>
        <v>41</v>
      </c>
      <c r="AA142" s="43">
        <f t="shared" ref="AA142:AA146" si="266">IF(Z142/Y142&gt;=100%,100%,Z142/Y142)</f>
        <v>1</v>
      </c>
      <c r="AB142" s="48">
        <v>0.23</v>
      </c>
      <c r="AC142" s="48">
        <v>0.27</v>
      </c>
      <c r="AD142" s="48">
        <v>0.23</v>
      </c>
      <c r="AE142" s="48">
        <v>0.23</v>
      </c>
      <c r="AF142" s="43">
        <v>0.27</v>
      </c>
      <c r="AG142" s="49">
        <v>25000000</v>
      </c>
      <c r="AH142" s="50"/>
      <c r="AI142" s="50"/>
      <c r="AJ142" s="240">
        <v>38762519.399999999</v>
      </c>
      <c r="AK142" s="240">
        <v>21213361.75</v>
      </c>
      <c r="AL142" s="932">
        <f t="shared" si="231"/>
        <v>0.84853447000000004</v>
      </c>
      <c r="AM142" s="50"/>
      <c r="AN142" s="723"/>
      <c r="AO142" s="240">
        <v>20692520.600000001</v>
      </c>
      <c r="AP142" s="240">
        <v>5504728.25</v>
      </c>
      <c r="AQ142" s="1155">
        <f t="shared" si="234"/>
        <v>0.22018913000000001</v>
      </c>
      <c r="AR142" s="51">
        <f t="shared" si="235"/>
        <v>15708633.5</v>
      </c>
      <c r="AS142" s="51"/>
      <c r="AT142" s="51"/>
      <c r="AU142" s="51"/>
      <c r="AV142" s="51"/>
      <c r="AW142" s="51">
        <f t="shared" si="222"/>
        <v>18069998.799999997</v>
      </c>
      <c r="AX142" s="51"/>
      <c r="AY142" s="43">
        <f t="shared" si="237"/>
        <v>0</v>
      </c>
      <c r="AZ142" s="49">
        <f>145000000+AG142+64000000</f>
        <v>234000000</v>
      </c>
      <c r="BA142" s="45">
        <f t="shared" si="260"/>
        <v>59975881.149999999</v>
      </c>
      <c r="BB142" s="52">
        <f t="shared" si="181"/>
        <v>0.25630718440170941</v>
      </c>
      <c r="BC142" s="1170">
        <f t="shared" si="261"/>
        <v>26197248.850000001</v>
      </c>
      <c r="BD142" s="52">
        <f t="shared" si="249"/>
        <v>0.11195405491452992</v>
      </c>
      <c r="BE142" s="50"/>
      <c r="BF142" s="50" t="s">
        <v>80</v>
      </c>
      <c r="BG142" s="45" t="s">
        <v>102</v>
      </c>
      <c r="BH142" s="53" t="s">
        <v>193</v>
      </c>
      <c r="BI142" s="1225" t="s">
        <v>420</v>
      </c>
    </row>
    <row r="143" spans="1:61" ht="51.75" x14ac:dyDescent="0.25">
      <c r="A143" s="39" t="s">
        <v>421</v>
      </c>
      <c r="B143" s="68" t="s">
        <v>422</v>
      </c>
      <c r="C143" s="68" t="s">
        <v>1776</v>
      </c>
      <c r="D143" s="68">
        <v>0</v>
      </c>
      <c r="E143" s="76">
        <v>1</v>
      </c>
      <c r="F143" s="76">
        <v>1</v>
      </c>
      <c r="G143" s="748">
        <v>1</v>
      </c>
      <c r="H143" s="575" t="s">
        <v>163</v>
      </c>
      <c r="I143" s="42">
        <v>2</v>
      </c>
      <c r="J143" s="56">
        <v>5</v>
      </c>
      <c r="K143" s="56">
        <v>2</v>
      </c>
      <c r="L143" s="42"/>
      <c r="M143" s="593"/>
      <c r="N143" s="593"/>
      <c r="O143" s="575">
        <f t="shared" si="262"/>
        <v>0</v>
      </c>
      <c r="P143" s="575">
        <f t="shared" si="262"/>
        <v>1</v>
      </c>
      <c r="Q143" s="575">
        <f t="shared" si="262"/>
        <v>1</v>
      </c>
      <c r="R143" s="44">
        <f t="shared" si="263"/>
        <v>1</v>
      </c>
      <c r="S143" s="757" t="s">
        <v>1638</v>
      </c>
      <c r="T143" s="234"/>
      <c r="U143" s="40" t="s">
        <v>1796</v>
      </c>
      <c r="V143" s="544"/>
      <c r="W143" s="547" t="s">
        <v>1807</v>
      </c>
      <c r="X143" s="554" t="s">
        <v>1748</v>
      </c>
      <c r="Y143" s="40">
        <f t="shared" si="264"/>
        <v>3</v>
      </c>
      <c r="Z143" s="47">
        <f t="shared" si="265"/>
        <v>9</v>
      </c>
      <c r="AA143" s="43">
        <f t="shared" si="266"/>
        <v>1</v>
      </c>
      <c r="AB143" s="48">
        <v>0.16</v>
      </c>
      <c r="AC143" s="48">
        <v>0</v>
      </c>
      <c r="AD143" s="48">
        <v>0.16</v>
      </c>
      <c r="AE143" s="48">
        <v>0.16</v>
      </c>
      <c r="AF143" s="43">
        <v>0.2</v>
      </c>
      <c r="AG143" s="49">
        <v>25000000</v>
      </c>
      <c r="AH143" s="50"/>
      <c r="AI143" s="50"/>
      <c r="AJ143" s="240">
        <v>38762519.399999999</v>
      </c>
      <c r="AK143" s="240">
        <v>21213361.75</v>
      </c>
      <c r="AL143" s="932">
        <f t="shared" si="231"/>
        <v>0.84853447000000004</v>
      </c>
      <c r="AM143" s="50"/>
      <c r="AN143" s="723"/>
      <c r="AO143" s="240">
        <v>20692520.600000001</v>
      </c>
      <c r="AP143" s="240">
        <v>5504728.25</v>
      </c>
      <c r="AQ143" s="1155">
        <f t="shared" si="234"/>
        <v>0.22018913000000001</v>
      </c>
      <c r="AR143" s="51">
        <f t="shared" si="235"/>
        <v>15708633.5</v>
      </c>
      <c r="AS143" s="51"/>
      <c r="AT143" s="51"/>
      <c r="AU143" s="51"/>
      <c r="AV143" s="51"/>
      <c r="AW143" s="51">
        <f t="shared" si="222"/>
        <v>18069998.799999997</v>
      </c>
      <c r="AX143" s="51"/>
      <c r="AY143" s="43">
        <f t="shared" si="237"/>
        <v>0</v>
      </c>
      <c r="AZ143" s="49">
        <f>120000000+AG143</f>
        <v>145000000</v>
      </c>
      <c r="BA143" s="45">
        <f t="shared" si="260"/>
        <v>59975881.149999999</v>
      </c>
      <c r="BB143" s="52">
        <f t="shared" si="181"/>
        <v>0.41362676655172415</v>
      </c>
      <c r="BC143" s="1170">
        <f t="shared" si="261"/>
        <v>26197248.850000001</v>
      </c>
      <c r="BD143" s="52">
        <f t="shared" si="249"/>
        <v>0.18067068172413794</v>
      </c>
      <c r="BE143" s="50"/>
      <c r="BF143" s="50" t="s">
        <v>80</v>
      </c>
      <c r="BG143" s="45" t="s">
        <v>102</v>
      </c>
      <c r="BH143" s="57"/>
      <c r="BI143" s="1223"/>
    </row>
    <row r="144" spans="1:61" ht="81.75" customHeight="1" x14ac:dyDescent="0.25">
      <c r="A144" s="39" t="s">
        <v>423</v>
      </c>
      <c r="B144" s="68" t="s">
        <v>424</v>
      </c>
      <c r="C144" s="68" t="s">
        <v>1032</v>
      </c>
      <c r="D144" s="68">
        <v>1</v>
      </c>
      <c r="E144" s="76">
        <v>3</v>
      </c>
      <c r="F144" s="76">
        <v>2</v>
      </c>
      <c r="G144" s="748">
        <v>2</v>
      </c>
      <c r="H144" s="76">
        <v>1</v>
      </c>
      <c r="I144" s="42">
        <v>21</v>
      </c>
      <c r="J144" s="42">
        <v>4</v>
      </c>
      <c r="K144" s="1118">
        <v>2</v>
      </c>
      <c r="L144" s="42"/>
      <c r="M144" s="593"/>
      <c r="N144" s="593"/>
      <c r="O144" s="575">
        <f t="shared" si="262"/>
        <v>1</v>
      </c>
      <c r="P144" s="575">
        <f t="shared" si="262"/>
        <v>1</v>
      </c>
      <c r="Q144" s="575">
        <f t="shared" si="262"/>
        <v>1</v>
      </c>
      <c r="R144" s="44">
        <f t="shared" si="263"/>
        <v>1</v>
      </c>
      <c r="S144" s="758" t="s">
        <v>1639</v>
      </c>
      <c r="T144" s="234"/>
      <c r="U144" s="40" t="s">
        <v>1796</v>
      </c>
      <c r="V144" s="544"/>
      <c r="W144" s="547" t="s">
        <v>1807</v>
      </c>
      <c r="X144" s="554" t="s">
        <v>1748</v>
      </c>
      <c r="Y144" s="40">
        <f t="shared" si="264"/>
        <v>8</v>
      </c>
      <c r="Z144" s="47">
        <f t="shared" si="265"/>
        <v>28</v>
      </c>
      <c r="AA144" s="43">
        <f t="shared" si="266"/>
        <v>1</v>
      </c>
      <c r="AB144" s="48">
        <v>0.22</v>
      </c>
      <c r="AC144" s="48">
        <v>0.26</v>
      </c>
      <c r="AD144" s="48">
        <v>0.22</v>
      </c>
      <c r="AE144" s="48">
        <v>0.22</v>
      </c>
      <c r="AF144" s="43">
        <v>0.26</v>
      </c>
      <c r="AG144" s="49">
        <v>25000000</v>
      </c>
      <c r="AH144" s="50"/>
      <c r="AI144" s="50"/>
      <c r="AJ144" s="240">
        <v>38762519.399999999</v>
      </c>
      <c r="AK144" s="240">
        <v>21213361.75</v>
      </c>
      <c r="AL144" s="932">
        <f t="shared" si="231"/>
        <v>0.84853447000000004</v>
      </c>
      <c r="AM144" s="50"/>
      <c r="AN144" s="723"/>
      <c r="AO144" s="240">
        <v>20692520.600000001</v>
      </c>
      <c r="AP144" s="240">
        <v>5504728.25</v>
      </c>
      <c r="AQ144" s="1155">
        <f t="shared" si="234"/>
        <v>0.22018913000000001</v>
      </c>
      <c r="AR144" s="51">
        <f t="shared" si="235"/>
        <v>15708633.5</v>
      </c>
      <c r="AS144" s="51"/>
      <c r="AT144" s="51"/>
      <c r="AU144" s="51"/>
      <c r="AV144" s="51"/>
      <c r="AW144" s="51">
        <f t="shared" si="222"/>
        <v>18069998.799999997</v>
      </c>
      <c r="AX144" s="51"/>
      <c r="AY144" s="43">
        <f t="shared" si="237"/>
        <v>0</v>
      </c>
      <c r="AZ144" s="49">
        <f>145000000+AG144</f>
        <v>170000000</v>
      </c>
      <c r="BA144" s="45">
        <f t="shared" si="260"/>
        <v>59975881.149999999</v>
      </c>
      <c r="BB144" s="52">
        <f t="shared" si="181"/>
        <v>0.35279930088235295</v>
      </c>
      <c r="BC144" s="1170">
        <f t="shared" si="261"/>
        <v>26197248.850000001</v>
      </c>
      <c r="BD144" s="52">
        <f t="shared" si="249"/>
        <v>0.15410146382352943</v>
      </c>
      <c r="BE144" s="50"/>
      <c r="BF144" s="50" t="s">
        <v>80</v>
      </c>
      <c r="BG144" s="45" t="s">
        <v>102</v>
      </c>
      <c r="BH144" s="57"/>
      <c r="BI144" s="1223"/>
    </row>
    <row r="145" spans="1:61" ht="51.75" x14ac:dyDescent="0.25">
      <c r="A145" s="89" t="s">
        <v>425</v>
      </c>
      <c r="B145" s="68" t="s">
        <v>426</v>
      </c>
      <c r="C145" s="68" t="s">
        <v>1776</v>
      </c>
      <c r="D145" s="68">
        <v>1</v>
      </c>
      <c r="E145" s="76">
        <v>1</v>
      </c>
      <c r="F145" s="76">
        <v>1</v>
      </c>
      <c r="G145" s="748">
        <v>1</v>
      </c>
      <c r="H145" s="76">
        <v>1</v>
      </c>
      <c r="I145" s="42">
        <v>1</v>
      </c>
      <c r="J145" s="42">
        <v>2</v>
      </c>
      <c r="K145" s="42">
        <v>1</v>
      </c>
      <c r="L145" s="42"/>
      <c r="M145" s="593"/>
      <c r="N145" s="593"/>
      <c r="O145" s="575">
        <f t="shared" si="262"/>
        <v>1</v>
      </c>
      <c r="P145" s="575">
        <f t="shared" si="262"/>
        <v>1</v>
      </c>
      <c r="Q145" s="575">
        <f t="shared" si="262"/>
        <v>1</v>
      </c>
      <c r="R145" s="44">
        <f t="shared" si="263"/>
        <v>1</v>
      </c>
      <c r="S145" s="758" t="s">
        <v>1640</v>
      </c>
      <c r="T145" s="234"/>
      <c r="U145" s="40" t="s">
        <v>1796</v>
      </c>
      <c r="V145" s="544"/>
      <c r="W145" s="547" t="s">
        <v>1807</v>
      </c>
      <c r="X145" s="554" t="s">
        <v>1748</v>
      </c>
      <c r="Y145" s="40">
        <f t="shared" si="264"/>
        <v>4</v>
      </c>
      <c r="Z145" s="47">
        <f t="shared" si="265"/>
        <v>5</v>
      </c>
      <c r="AA145" s="43">
        <f t="shared" si="266"/>
        <v>1</v>
      </c>
      <c r="AB145" s="48">
        <v>0.23</v>
      </c>
      <c r="AC145" s="48">
        <v>0.27</v>
      </c>
      <c r="AD145" s="48">
        <v>0.23</v>
      </c>
      <c r="AE145" s="48">
        <v>0.23</v>
      </c>
      <c r="AF145" s="43">
        <v>0.27</v>
      </c>
      <c r="AG145" s="49">
        <v>25000000</v>
      </c>
      <c r="AH145" s="50"/>
      <c r="AI145" s="50"/>
      <c r="AJ145" s="240">
        <v>38762519.399999999</v>
      </c>
      <c r="AK145" s="240">
        <v>21213361.75</v>
      </c>
      <c r="AL145" s="932">
        <f t="shared" si="231"/>
        <v>0.84853447000000004</v>
      </c>
      <c r="AM145" s="50"/>
      <c r="AN145" s="723"/>
      <c r="AO145" s="240">
        <v>20692520.600000001</v>
      </c>
      <c r="AP145" s="240">
        <v>5504728.25</v>
      </c>
      <c r="AQ145" s="1155">
        <f t="shared" si="234"/>
        <v>0.22018913000000001</v>
      </c>
      <c r="AR145" s="51">
        <f t="shared" si="235"/>
        <v>15708633.5</v>
      </c>
      <c r="AS145" s="51"/>
      <c r="AT145" s="51"/>
      <c r="AU145" s="51"/>
      <c r="AV145" s="51"/>
      <c r="AW145" s="51">
        <f t="shared" si="222"/>
        <v>18069998.799999997</v>
      </c>
      <c r="AX145" s="51"/>
      <c r="AY145" s="43">
        <f t="shared" si="237"/>
        <v>0</v>
      </c>
      <c r="AZ145" s="49">
        <f>145000000++AG145</f>
        <v>170000000</v>
      </c>
      <c r="BA145" s="45">
        <f t="shared" si="260"/>
        <v>59975881.149999999</v>
      </c>
      <c r="BB145" s="52">
        <f t="shared" si="181"/>
        <v>0.35279930088235295</v>
      </c>
      <c r="BC145" s="1170">
        <f t="shared" si="261"/>
        <v>26197248.850000001</v>
      </c>
      <c r="BD145" s="52">
        <f t="shared" si="249"/>
        <v>0.15410146382352943</v>
      </c>
      <c r="BE145" s="50"/>
      <c r="BF145" s="50" t="s">
        <v>80</v>
      </c>
      <c r="BG145" s="45" t="s">
        <v>102</v>
      </c>
      <c r="BH145" s="57"/>
      <c r="BI145" s="1223"/>
    </row>
    <row r="146" spans="1:61" ht="53.25" customHeight="1" x14ac:dyDescent="0.25">
      <c r="A146" s="89" t="s">
        <v>427</v>
      </c>
      <c r="B146" s="68" t="s">
        <v>428</v>
      </c>
      <c r="C146" s="68" t="s">
        <v>1778</v>
      </c>
      <c r="D146" s="576">
        <v>0.2</v>
      </c>
      <c r="E146" s="85">
        <v>0.7</v>
      </c>
      <c r="F146" s="85">
        <v>1</v>
      </c>
      <c r="G146" s="749">
        <v>0</v>
      </c>
      <c r="H146" s="579">
        <v>0.2</v>
      </c>
      <c r="I146" s="575">
        <v>0.7</v>
      </c>
      <c r="J146" s="575">
        <v>0.8</v>
      </c>
      <c r="K146" s="42" t="s">
        <v>163</v>
      </c>
      <c r="L146" s="42"/>
      <c r="M146" s="579">
        <v>0.2</v>
      </c>
      <c r="N146" s="579"/>
      <c r="O146" s="575">
        <f t="shared" si="262"/>
        <v>1</v>
      </c>
      <c r="P146" s="575">
        <f t="shared" si="262"/>
        <v>1</v>
      </c>
      <c r="Q146" s="575">
        <f t="shared" si="262"/>
        <v>0.8</v>
      </c>
      <c r="R146" s="44">
        <f t="shared" si="263"/>
        <v>0</v>
      </c>
      <c r="S146" s="774" t="s">
        <v>1641</v>
      </c>
      <c r="T146" s="234"/>
      <c r="U146" s="40" t="s">
        <v>1804</v>
      </c>
      <c r="V146" s="544"/>
      <c r="W146" s="574"/>
      <c r="X146" s="554" t="s">
        <v>1748</v>
      </c>
      <c r="Y146" s="43">
        <f t="shared" si="264"/>
        <v>1.9</v>
      </c>
      <c r="Z146" s="43">
        <f t="shared" si="265"/>
        <v>1.9</v>
      </c>
      <c r="AA146" s="43">
        <f t="shared" si="266"/>
        <v>1</v>
      </c>
      <c r="AB146" s="48">
        <v>0.16</v>
      </c>
      <c r="AC146" s="48">
        <v>0.2</v>
      </c>
      <c r="AD146" s="48">
        <v>0.16</v>
      </c>
      <c r="AE146" s="48">
        <v>0.16</v>
      </c>
      <c r="AF146" s="43">
        <v>0</v>
      </c>
      <c r="AG146" s="49"/>
      <c r="AH146" s="50"/>
      <c r="AI146" s="50"/>
      <c r="AJ146" s="240">
        <v>38762519.399999999</v>
      </c>
      <c r="AK146" s="240"/>
      <c r="AL146" s="932" t="e">
        <f t="shared" si="231"/>
        <v>#DIV/0!</v>
      </c>
      <c r="AM146" s="50"/>
      <c r="AN146" s="723"/>
      <c r="AO146" s="240">
        <v>20692520.600000001</v>
      </c>
      <c r="AP146" s="240"/>
      <c r="AQ146" s="1155" t="e">
        <f t="shared" si="234"/>
        <v>#DIV/0!</v>
      </c>
      <c r="AR146" s="51">
        <f t="shared" si="235"/>
        <v>0</v>
      </c>
      <c r="AS146" s="51"/>
      <c r="AT146" s="51"/>
      <c r="AU146" s="51"/>
      <c r="AV146" s="51"/>
      <c r="AW146" s="51">
        <f t="shared" si="222"/>
        <v>18069998.799999997</v>
      </c>
      <c r="AX146" s="51"/>
      <c r="AY146" s="43">
        <f t="shared" si="237"/>
        <v>0</v>
      </c>
      <c r="AZ146" s="49">
        <f>95000000++AG146</f>
        <v>95000000</v>
      </c>
      <c r="BA146" s="45">
        <f t="shared" si="260"/>
        <v>38762519.399999999</v>
      </c>
      <c r="BB146" s="52">
        <f t="shared" si="181"/>
        <v>0.40802652</v>
      </c>
      <c r="BC146" s="1170">
        <f t="shared" si="261"/>
        <v>20692520.600000001</v>
      </c>
      <c r="BD146" s="52">
        <f t="shared" si="249"/>
        <v>0.21781600631578948</v>
      </c>
      <c r="BE146" s="50"/>
      <c r="BF146" s="50" t="s">
        <v>80</v>
      </c>
      <c r="BG146" s="45" t="s">
        <v>102</v>
      </c>
      <c r="BH146" s="53" t="s">
        <v>193</v>
      </c>
      <c r="BI146" s="1224"/>
    </row>
    <row r="147" spans="1:61" ht="92.25" customHeight="1" x14ac:dyDescent="0.25">
      <c r="A147" s="32" t="s">
        <v>430</v>
      </c>
      <c r="B147" s="33"/>
      <c r="C147" s="33"/>
      <c r="D147" s="33"/>
      <c r="E147" s="34"/>
      <c r="F147" s="34"/>
      <c r="G147" s="745"/>
      <c r="H147" s="34"/>
      <c r="I147" s="34"/>
      <c r="J147" s="34"/>
      <c r="K147" s="34"/>
      <c r="L147" s="34"/>
      <c r="M147" s="34"/>
      <c r="N147" s="34"/>
      <c r="O147" s="607">
        <f>+SUMPRODUCT(O148:O153,AC148:AC153)</f>
        <v>1</v>
      </c>
      <c r="P147" s="607">
        <f>+SUMPRODUCT(P148:P153,AD148:AD153)</f>
        <v>1</v>
      </c>
      <c r="Q147" s="607">
        <f>+SUMPRODUCT(Q148:Q153,AE148:AE153)</f>
        <v>0.89499999999999991</v>
      </c>
      <c r="R147" s="607">
        <f>+SUMPRODUCT(R148:R153,AF148:AF153)</f>
        <v>0.59200000000000008</v>
      </c>
      <c r="S147" s="35"/>
      <c r="T147" s="32"/>
      <c r="U147" s="33"/>
      <c r="V147" s="33"/>
      <c r="W147" s="33"/>
      <c r="X147" s="33"/>
      <c r="Y147" s="36"/>
      <c r="Z147" s="36"/>
      <c r="AA147" s="607">
        <f>+SUMPRODUCT(AA148:AA153,AB148:AB153)</f>
        <v>0.96350000000000013</v>
      </c>
      <c r="AB147" s="35">
        <v>0.6</v>
      </c>
      <c r="AC147" s="35">
        <v>0.6</v>
      </c>
      <c r="AD147" s="35">
        <v>0.6</v>
      </c>
      <c r="AE147" s="35">
        <v>0.6</v>
      </c>
      <c r="AF147" s="35">
        <v>0.6</v>
      </c>
      <c r="AG147" s="33">
        <f>SUM(AG148:AG153)</f>
        <v>200000000</v>
      </c>
      <c r="AH147" s="33">
        <v>106085000</v>
      </c>
      <c r="AI147" s="33">
        <v>213691584</v>
      </c>
      <c r="AJ147" s="33">
        <f t="shared" ref="AJ147:AK147" si="267">SUM(AJ148:AJ153)</f>
        <v>237127020</v>
      </c>
      <c r="AK147" s="33">
        <f t="shared" si="267"/>
        <v>73117987</v>
      </c>
      <c r="AL147" s="1138">
        <f t="shared" si="231"/>
        <v>0.36558993499999998</v>
      </c>
      <c r="AM147" s="733">
        <v>106085000</v>
      </c>
      <c r="AN147" s="725">
        <v>213691584</v>
      </c>
      <c r="AO147" s="242">
        <f t="shared" ref="AO147" si="268">SUM(AO148:AO153)</f>
        <v>223592020</v>
      </c>
      <c r="AP147" s="242">
        <f t="shared" ref="AP147" si="269">SUM(AP148:AP153)</f>
        <v>31187853</v>
      </c>
      <c r="AQ147" s="1158">
        <f t="shared" si="234"/>
        <v>0.15593926499999999</v>
      </c>
      <c r="AR147" s="37">
        <f t="shared" si="235"/>
        <v>41930134</v>
      </c>
      <c r="AS147" s="37">
        <v>20000000</v>
      </c>
      <c r="AT147" s="37">
        <v>0</v>
      </c>
      <c r="AU147" s="530">
        <f>+AI147-AN147</f>
        <v>0</v>
      </c>
      <c r="AV147" s="37"/>
      <c r="AW147" s="37">
        <f t="shared" si="222"/>
        <v>13535000</v>
      </c>
      <c r="AX147" s="37">
        <f t="shared" ref="AX147" si="270">SUM(AX148:AX153)</f>
        <v>0</v>
      </c>
      <c r="AY147" s="35">
        <f t="shared" si="237"/>
        <v>0</v>
      </c>
      <c r="AZ147" s="33">
        <f>SUM(AZ148:AZ153)-250000000</f>
        <v>1066085000</v>
      </c>
      <c r="BA147" s="33">
        <f t="shared" si="260"/>
        <v>630021591</v>
      </c>
      <c r="BB147" s="35">
        <f t="shared" si="181"/>
        <v>0.5909675035292683</v>
      </c>
      <c r="BC147" s="1172">
        <f t="shared" si="261"/>
        <v>574556457</v>
      </c>
      <c r="BD147" s="35">
        <f t="shared" si="249"/>
        <v>0.53894056946678737</v>
      </c>
      <c r="BE147" s="33"/>
      <c r="BF147" s="33" t="s">
        <v>80</v>
      </c>
      <c r="BG147" s="33"/>
      <c r="BH147" s="33"/>
      <c r="BI147" s="618"/>
    </row>
    <row r="148" spans="1:61" ht="65.25" customHeight="1" x14ac:dyDescent="0.25">
      <c r="A148" s="55" t="s">
        <v>431</v>
      </c>
      <c r="B148" s="68" t="s">
        <v>432</v>
      </c>
      <c r="C148" s="68" t="s">
        <v>1776</v>
      </c>
      <c r="D148" s="68">
        <v>1</v>
      </c>
      <c r="E148" s="76">
        <v>2</v>
      </c>
      <c r="F148" s="76">
        <v>1</v>
      </c>
      <c r="G148" s="748">
        <v>1</v>
      </c>
      <c r="H148" s="76">
        <v>1</v>
      </c>
      <c r="I148" s="42">
        <v>2</v>
      </c>
      <c r="J148" s="42">
        <v>0.5</v>
      </c>
      <c r="K148" s="42">
        <v>1</v>
      </c>
      <c r="L148" s="42"/>
      <c r="M148" s="593"/>
      <c r="N148" s="593"/>
      <c r="O148" s="575">
        <f t="shared" ref="O148:Q153" si="271">+IFERROR(IF((H148+L148)/D148&gt;=100%,100%,(H148+L148)/D148),0)</f>
        <v>1</v>
      </c>
      <c r="P148" s="575">
        <f t="shared" si="271"/>
        <v>1</v>
      </c>
      <c r="Q148" s="575">
        <f t="shared" si="271"/>
        <v>0.5</v>
      </c>
      <c r="R148" s="44">
        <f t="shared" ref="R148:R153" si="272">+IFERROR(IF(K148/G148&gt;=100%,100%,K148/G148),0)</f>
        <v>1</v>
      </c>
      <c r="S148" s="759" t="s">
        <v>1714</v>
      </c>
      <c r="T148" s="234"/>
      <c r="U148" s="40" t="s">
        <v>1796</v>
      </c>
      <c r="V148" s="40"/>
      <c r="W148" s="545" t="s">
        <v>1807</v>
      </c>
      <c r="X148" s="552" t="s">
        <v>1749</v>
      </c>
      <c r="Y148" s="47">
        <f t="shared" ref="Y148:Y153" si="273">SUM(D148:G148)</f>
        <v>5</v>
      </c>
      <c r="Z148" s="47">
        <f t="shared" ref="Z148:Z153" si="274">SUM(H148:N148)</f>
        <v>4.5</v>
      </c>
      <c r="AA148" s="92">
        <f t="shared" ref="AA148:AA153" si="275">IF(Z148/Y148&gt;=100%,100%,Z148/Y148)</f>
        <v>0.9</v>
      </c>
      <c r="AB148" s="48">
        <v>0.19</v>
      </c>
      <c r="AC148" s="48">
        <v>0.19</v>
      </c>
      <c r="AD148" s="48">
        <v>0.19</v>
      </c>
      <c r="AE148" s="48">
        <v>0.21</v>
      </c>
      <c r="AF148" s="43">
        <v>0.26</v>
      </c>
      <c r="AG148" s="49">
        <v>50000000</v>
      </c>
      <c r="AH148" s="50"/>
      <c r="AI148" s="50"/>
      <c r="AJ148" s="240">
        <v>18970161.599999998</v>
      </c>
      <c r="AK148" s="240">
        <v>18279496.75</v>
      </c>
      <c r="AL148" s="932">
        <f t="shared" si="231"/>
        <v>0.36558993499999998</v>
      </c>
      <c r="AM148" s="50"/>
      <c r="AN148" s="723"/>
      <c r="AO148" s="240">
        <v>17887361.600000001</v>
      </c>
      <c r="AP148" s="240">
        <v>7796963.25</v>
      </c>
      <c r="AQ148" s="1155">
        <f t="shared" si="234"/>
        <v>0.15593926499999999</v>
      </c>
      <c r="AR148" s="51">
        <f t="shared" si="235"/>
        <v>10482533.5</v>
      </c>
      <c r="AS148" s="51"/>
      <c r="AT148" s="51"/>
      <c r="AU148" s="51"/>
      <c r="AV148" s="51"/>
      <c r="AW148" s="51">
        <f t="shared" si="222"/>
        <v>1082799.9999999963</v>
      </c>
      <c r="AX148" s="51"/>
      <c r="AY148" s="43">
        <f t="shared" si="237"/>
        <v>0</v>
      </c>
      <c r="AZ148" s="49">
        <f>106100000+AG148</f>
        <v>156100000</v>
      </c>
      <c r="BA148" s="45">
        <f t="shared" si="260"/>
        <v>37249658.349999994</v>
      </c>
      <c r="BB148" s="52">
        <f t="shared" si="181"/>
        <v>0.23862689525944902</v>
      </c>
      <c r="BC148" s="1170">
        <f t="shared" si="261"/>
        <v>25684324.850000001</v>
      </c>
      <c r="BD148" s="52">
        <f t="shared" si="249"/>
        <v>0.16453763516976297</v>
      </c>
      <c r="BE148" s="50"/>
      <c r="BF148" s="50" t="s">
        <v>80</v>
      </c>
      <c r="BG148" s="45" t="s">
        <v>102</v>
      </c>
      <c r="BH148" s="53" t="s">
        <v>193</v>
      </c>
      <c r="BI148" s="1225" t="s">
        <v>420</v>
      </c>
    </row>
    <row r="149" spans="1:61" ht="74.25" customHeight="1" x14ac:dyDescent="0.25">
      <c r="A149" s="55" t="s">
        <v>433</v>
      </c>
      <c r="B149" s="68" t="s">
        <v>434</v>
      </c>
      <c r="C149" s="68" t="s">
        <v>1776</v>
      </c>
      <c r="D149" s="68">
        <v>5</v>
      </c>
      <c r="E149" s="76">
        <v>5</v>
      </c>
      <c r="F149" s="76">
        <v>5</v>
      </c>
      <c r="G149" s="748">
        <v>5</v>
      </c>
      <c r="H149" s="76">
        <v>25</v>
      </c>
      <c r="I149" s="42">
        <v>25</v>
      </c>
      <c r="J149" s="42">
        <v>7</v>
      </c>
      <c r="K149" s="42">
        <v>2</v>
      </c>
      <c r="L149" s="42"/>
      <c r="M149" s="593"/>
      <c r="N149" s="593"/>
      <c r="O149" s="575">
        <f t="shared" si="271"/>
        <v>1</v>
      </c>
      <c r="P149" s="575">
        <f t="shared" si="271"/>
        <v>1</v>
      </c>
      <c r="Q149" s="575">
        <f t="shared" si="271"/>
        <v>1</v>
      </c>
      <c r="R149" s="44">
        <f t="shared" si="272"/>
        <v>0.4</v>
      </c>
      <c r="S149" s="1119" t="s">
        <v>1853</v>
      </c>
      <c r="T149" s="234"/>
      <c r="U149" s="40" t="s">
        <v>1796</v>
      </c>
      <c r="V149" s="544"/>
      <c r="W149" s="45" t="s">
        <v>1807</v>
      </c>
      <c r="X149" s="552" t="s">
        <v>1749</v>
      </c>
      <c r="Y149" s="47">
        <f t="shared" si="273"/>
        <v>20</v>
      </c>
      <c r="Z149" s="47">
        <f t="shared" si="274"/>
        <v>59</v>
      </c>
      <c r="AA149" s="43">
        <f t="shared" si="275"/>
        <v>1</v>
      </c>
      <c r="AB149" s="48">
        <v>0.25</v>
      </c>
      <c r="AC149" s="48">
        <v>0.25</v>
      </c>
      <c r="AD149" s="48">
        <v>0.25</v>
      </c>
      <c r="AE149" s="48">
        <v>0.27</v>
      </c>
      <c r="AF149" s="43">
        <v>0.32</v>
      </c>
      <c r="AG149" s="49">
        <v>50000000</v>
      </c>
      <c r="AH149" s="50"/>
      <c r="AI149" s="50"/>
      <c r="AJ149" s="240">
        <v>75880646.399999991</v>
      </c>
      <c r="AK149" s="240">
        <v>18279496.75</v>
      </c>
      <c r="AL149" s="932">
        <f t="shared" si="231"/>
        <v>0.36558993499999998</v>
      </c>
      <c r="AM149" s="50"/>
      <c r="AN149" s="723"/>
      <c r="AO149" s="240">
        <v>71549446.400000006</v>
      </c>
      <c r="AP149" s="240">
        <v>7796963.25</v>
      </c>
      <c r="AQ149" s="1155">
        <f t="shared" si="234"/>
        <v>0.15593926499999999</v>
      </c>
      <c r="AR149" s="51">
        <f t="shared" si="235"/>
        <v>10482533.5</v>
      </c>
      <c r="AS149" s="51"/>
      <c r="AT149" s="51"/>
      <c r="AU149" s="51"/>
      <c r="AV149" s="51"/>
      <c r="AW149" s="51">
        <f t="shared" si="222"/>
        <v>4331199.9999999851</v>
      </c>
      <c r="AX149" s="51"/>
      <c r="AY149" s="43">
        <f t="shared" si="237"/>
        <v>0</v>
      </c>
      <c r="AZ149" s="49">
        <f>105900000+AG149</f>
        <v>155900000</v>
      </c>
      <c r="BA149" s="45">
        <f t="shared" si="260"/>
        <v>94160143.149999991</v>
      </c>
      <c r="BB149" s="52">
        <f t="shared" si="181"/>
        <v>0.60397782649134057</v>
      </c>
      <c r="BC149" s="1170">
        <f t="shared" si="261"/>
        <v>79346409.650000006</v>
      </c>
      <c r="BD149" s="52">
        <f t="shared" si="249"/>
        <v>0.5089570856318153</v>
      </c>
      <c r="BE149" s="50"/>
      <c r="BF149" s="50" t="s">
        <v>80</v>
      </c>
      <c r="BG149" s="45" t="s">
        <v>102</v>
      </c>
      <c r="BH149" s="57"/>
      <c r="BI149" s="1223"/>
    </row>
    <row r="150" spans="1:61" ht="38.25" x14ac:dyDescent="0.25">
      <c r="A150" s="55" t="s">
        <v>435</v>
      </c>
      <c r="B150" s="68" t="s">
        <v>436</v>
      </c>
      <c r="C150" s="68" t="s">
        <v>1776</v>
      </c>
      <c r="D150" s="68">
        <v>10</v>
      </c>
      <c r="E150" s="76">
        <v>25</v>
      </c>
      <c r="F150" s="76">
        <v>0</v>
      </c>
      <c r="G150" s="748">
        <v>0</v>
      </c>
      <c r="H150" s="76">
        <v>25</v>
      </c>
      <c r="I150" s="42">
        <v>170</v>
      </c>
      <c r="J150" s="42" t="s">
        <v>163</v>
      </c>
      <c r="K150" s="42" t="s">
        <v>163</v>
      </c>
      <c r="L150" s="42"/>
      <c r="M150" s="593"/>
      <c r="N150" s="593"/>
      <c r="O150" s="575">
        <f t="shared" si="271"/>
        <v>1</v>
      </c>
      <c r="P150" s="575">
        <f t="shared" si="271"/>
        <v>1</v>
      </c>
      <c r="Q150" s="575">
        <f t="shared" si="271"/>
        <v>0</v>
      </c>
      <c r="R150" s="44">
        <f t="shared" si="272"/>
        <v>0</v>
      </c>
      <c r="S150" s="54"/>
      <c r="T150" s="234"/>
      <c r="U150" s="543" t="s">
        <v>1804</v>
      </c>
      <c r="V150" s="544"/>
      <c r="W150" s="545"/>
      <c r="X150" s="546"/>
      <c r="Y150" s="47">
        <f t="shared" si="273"/>
        <v>35</v>
      </c>
      <c r="Z150" s="47">
        <f t="shared" si="274"/>
        <v>195</v>
      </c>
      <c r="AA150" s="43">
        <f t="shared" si="275"/>
        <v>1</v>
      </c>
      <c r="AB150" s="48">
        <v>0.1</v>
      </c>
      <c r="AC150" s="48">
        <v>0.1</v>
      </c>
      <c r="AD150" s="48">
        <v>0.1</v>
      </c>
      <c r="AE150" s="43">
        <v>0</v>
      </c>
      <c r="AF150" s="43">
        <v>0</v>
      </c>
      <c r="AG150" s="49"/>
      <c r="AH150" s="50"/>
      <c r="AI150" s="50"/>
      <c r="AJ150" s="240">
        <v>0</v>
      </c>
      <c r="AK150" s="240"/>
      <c r="AL150" s="932" t="e">
        <f t="shared" si="231"/>
        <v>#DIV/0!</v>
      </c>
      <c r="AM150" s="50"/>
      <c r="AN150" s="723"/>
      <c r="AO150" s="240">
        <v>0</v>
      </c>
      <c r="AP150" s="240"/>
      <c r="AQ150" s="1155" t="e">
        <f t="shared" si="234"/>
        <v>#DIV/0!</v>
      </c>
      <c r="AR150" s="51">
        <f t="shared" si="235"/>
        <v>0</v>
      </c>
      <c r="AS150" s="51"/>
      <c r="AT150" s="51"/>
      <c r="AU150" s="51"/>
      <c r="AV150" s="51"/>
      <c r="AW150" s="51">
        <f t="shared" si="222"/>
        <v>0</v>
      </c>
      <c r="AX150" s="51"/>
      <c r="AY150" s="43" t="e">
        <f t="shared" si="237"/>
        <v>#DIV/0!</v>
      </c>
      <c r="AZ150" s="49">
        <f>46000000+AG150+166085000</f>
        <v>212085000</v>
      </c>
      <c r="BA150" s="45">
        <f t="shared" si="260"/>
        <v>0</v>
      </c>
      <c r="BB150" s="52">
        <f t="shared" si="181"/>
        <v>0</v>
      </c>
      <c r="BC150" s="1170">
        <f t="shared" si="261"/>
        <v>0</v>
      </c>
      <c r="BD150" s="52">
        <f t="shared" si="249"/>
        <v>0</v>
      </c>
      <c r="BE150" s="50"/>
      <c r="BF150" s="50" t="s">
        <v>80</v>
      </c>
      <c r="BG150" s="45" t="s">
        <v>102</v>
      </c>
      <c r="BH150" s="57"/>
      <c r="BI150" s="1223"/>
    </row>
    <row r="151" spans="1:61" ht="93" customHeight="1" x14ac:dyDescent="0.25">
      <c r="A151" s="89" t="s">
        <v>438</v>
      </c>
      <c r="B151" s="68" t="s">
        <v>439</v>
      </c>
      <c r="C151" s="68" t="s">
        <v>1776</v>
      </c>
      <c r="D151" s="68">
        <v>10</v>
      </c>
      <c r="E151" s="76">
        <v>15</v>
      </c>
      <c r="F151" s="76">
        <v>15</v>
      </c>
      <c r="G151" s="748">
        <v>20</v>
      </c>
      <c r="H151" s="76">
        <v>10</v>
      </c>
      <c r="I151" s="42">
        <v>30</v>
      </c>
      <c r="J151" s="56">
        <v>16</v>
      </c>
      <c r="K151" s="56">
        <v>12</v>
      </c>
      <c r="L151" s="42"/>
      <c r="M151" s="593"/>
      <c r="N151" s="593"/>
      <c r="O151" s="575">
        <f t="shared" si="271"/>
        <v>1</v>
      </c>
      <c r="P151" s="575">
        <f t="shared" si="271"/>
        <v>1</v>
      </c>
      <c r="Q151" s="575">
        <f t="shared" si="271"/>
        <v>1</v>
      </c>
      <c r="R151" s="44">
        <f t="shared" si="272"/>
        <v>0.6</v>
      </c>
      <c r="S151" s="760" t="s">
        <v>1715</v>
      </c>
      <c r="T151" s="234"/>
      <c r="U151" s="40" t="s">
        <v>1796</v>
      </c>
      <c r="V151" s="544"/>
      <c r="W151" s="545" t="s">
        <v>1807</v>
      </c>
      <c r="X151" s="552" t="s">
        <v>1749</v>
      </c>
      <c r="Y151" s="47">
        <f t="shared" si="273"/>
        <v>60</v>
      </c>
      <c r="Z151" s="47">
        <f t="shared" si="274"/>
        <v>68</v>
      </c>
      <c r="AA151" s="44">
        <f t="shared" si="275"/>
        <v>1</v>
      </c>
      <c r="AB151" s="48">
        <v>0.2</v>
      </c>
      <c r="AC151" s="48">
        <v>0.2</v>
      </c>
      <c r="AD151" s="48">
        <v>0.2</v>
      </c>
      <c r="AE151" s="48">
        <v>0.22</v>
      </c>
      <c r="AF151" s="43">
        <v>0.26</v>
      </c>
      <c r="AG151" s="49">
        <v>50000000</v>
      </c>
      <c r="AH151" s="50"/>
      <c r="AI151" s="50"/>
      <c r="AJ151" s="240">
        <v>47425404</v>
      </c>
      <c r="AK151" s="240">
        <v>18279496.75</v>
      </c>
      <c r="AL151" s="932">
        <f t="shared" si="231"/>
        <v>0.36558993499999998</v>
      </c>
      <c r="AM151" s="50"/>
      <c r="AN151" s="723"/>
      <c r="AO151" s="240">
        <v>44718404</v>
      </c>
      <c r="AP151" s="240">
        <v>7796963.25</v>
      </c>
      <c r="AQ151" s="1155">
        <f t="shared" si="234"/>
        <v>0.15593926499999999</v>
      </c>
      <c r="AR151" s="51">
        <f t="shared" si="235"/>
        <v>10482533.5</v>
      </c>
      <c r="AS151" s="51"/>
      <c r="AT151" s="51"/>
      <c r="AU151" s="51"/>
      <c r="AV151" s="51"/>
      <c r="AW151" s="51">
        <f t="shared" si="222"/>
        <v>2707000</v>
      </c>
      <c r="AX151" s="51"/>
      <c r="AY151" s="43">
        <f t="shared" si="237"/>
        <v>0</v>
      </c>
      <c r="AZ151" s="49">
        <f>308000000+AG151</f>
        <v>358000000</v>
      </c>
      <c r="BA151" s="45">
        <f t="shared" si="260"/>
        <v>65704900.75</v>
      </c>
      <c r="BB151" s="52">
        <f t="shared" si="181"/>
        <v>0.18353324231843576</v>
      </c>
      <c r="BC151" s="1170">
        <f t="shared" si="261"/>
        <v>52515367.25</v>
      </c>
      <c r="BD151" s="52">
        <f t="shared" si="249"/>
        <v>0.14669096997206704</v>
      </c>
      <c r="BE151" s="50"/>
      <c r="BF151" s="50" t="s">
        <v>80</v>
      </c>
      <c r="BG151" s="45" t="s">
        <v>102</v>
      </c>
      <c r="BH151" s="57"/>
      <c r="BI151" s="1223"/>
    </row>
    <row r="152" spans="1:61" ht="93.75" customHeight="1" x14ac:dyDescent="0.25">
      <c r="A152" s="55" t="s">
        <v>440</v>
      </c>
      <c r="B152" s="68" t="s">
        <v>441</v>
      </c>
      <c r="C152" s="68" t="s">
        <v>1778</v>
      </c>
      <c r="D152" s="576">
        <v>0.1</v>
      </c>
      <c r="E152" s="85">
        <v>0.5</v>
      </c>
      <c r="F152" s="579">
        <v>1</v>
      </c>
      <c r="G152" s="750">
        <v>0</v>
      </c>
      <c r="H152" s="579">
        <v>0.1</v>
      </c>
      <c r="I152" s="43">
        <v>0.5</v>
      </c>
      <c r="J152" s="579">
        <v>1</v>
      </c>
      <c r="K152" s="42">
        <v>0.3</v>
      </c>
      <c r="L152" s="42"/>
      <c r="M152" s="593"/>
      <c r="N152" s="593"/>
      <c r="O152" s="575">
        <f t="shared" si="271"/>
        <v>1</v>
      </c>
      <c r="P152" s="575">
        <f t="shared" si="271"/>
        <v>1</v>
      </c>
      <c r="Q152" s="575">
        <f t="shared" si="271"/>
        <v>1</v>
      </c>
      <c r="R152" s="44">
        <f t="shared" si="272"/>
        <v>0</v>
      </c>
      <c r="T152" s="234"/>
      <c r="U152" s="543" t="s">
        <v>1804</v>
      </c>
      <c r="V152" s="544"/>
      <c r="W152" s="545" t="s">
        <v>1807</v>
      </c>
      <c r="X152" s="546"/>
      <c r="Y152" s="43">
        <f t="shared" si="273"/>
        <v>1.6</v>
      </c>
      <c r="Z152" s="47">
        <f t="shared" si="274"/>
        <v>1.9000000000000001</v>
      </c>
      <c r="AA152" s="43">
        <f t="shared" si="275"/>
        <v>1</v>
      </c>
      <c r="AB152" s="48">
        <v>0.16</v>
      </c>
      <c r="AC152" s="48">
        <v>0.16</v>
      </c>
      <c r="AD152" s="48">
        <v>0.16</v>
      </c>
      <c r="AE152" s="48">
        <v>0.18</v>
      </c>
      <c r="AF152" s="43">
        <v>0</v>
      </c>
      <c r="AG152" s="49"/>
      <c r="AH152" s="50"/>
      <c r="AI152" s="50"/>
      <c r="AJ152" s="240">
        <v>56910484.799999997</v>
      </c>
      <c r="AK152" s="240"/>
      <c r="AL152" s="932" t="e">
        <f t="shared" si="231"/>
        <v>#DIV/0!</v>
      </c>
      <c r="AM152" s="50"/>
      <c r="AN152" s="723"/>
      <c r="AO152" s="240">
        <v>53662084.799999997</v>
      </c>
      <c r="AP152" s="240"/>
      <c r="AQ152" s="1155" t="e">
        <f t="shared" si="234"/>
        <v>#DIV/0!</v>
      </c>
      <c r="AR152" s="51">
        <f t="shared" si="235"/>
        <v>0</v>
      </c>
      <c r="AS152" s="51"/>
      <c r="AT152" s="51"/>
      <c r="AU152" s="51"/>
      <c r="AV152" s="51"/>
      <c r="AW152" s="51">
        <f t="shared" si="222"/>
        <v>3248400</v>
      </c>
      <c r="AX152" s="51"/>
      <c r="AY152" s="43">
        <f t="shared" si="237"/>
        <v>0</v>
      </c>
      <c r="AZ152" s="49">
        <f>76000000+AG152</f>
        <v>76000000</v>
      </c>
      <c r="BA152" s="45">
        <f t="shared" si="260"/>
        <v>56910484.799999997</v>
      </c>
      <c r="BB152" s="52">
        <f t="shared" si="181"/>
        <v>0.74882216842105265</v>
      </c>
      <c r="BC152" s="1170">
        <f t="shared" si="261"/>
        <v>53662084.799999997</v>
      </c>
      <c r="BD152" s="52">
        <f t="shared" si="249"/>
        <v>0.70608006315789473</v>
      </c>
      <c r="BE152" s="50"/>
      <c r="BF152" s="50" t="s">
        <v>80</v>
      </c>
      <c r="BG152" s="45" t="s">
        <v>102</v>
      </c>
      <c r="BH152" s="53" t="s">
        <v>193</v>
      </c>
      <c r="BI152" s="1223"/>
    </row>
    <row r="153" spans="1:61" ht="121.5" customHeight="1" x14ac:dyDescent="0.25">
      <c r="A153" s="89" t="s">
        <v>442</v>
      </c>
      <c r="B153" s="68" t="s">
        <v>443</v>
      </c>
      <c r="C153" s="68" t="s">
        <v>1778</v>
      </c>
      <c r="D153" s="576">
        <v>1</v>
      </c>
      <c r="E153" s="85">
        <v>1</v>
      </c>
      <c r="F153" s="579">
        <v>1</v>
      </c>
      <c r="G153" s="750">
        <v>1</v>
      </c>
      <c r="H153" s="43">
        <v>1</v>
      </c>
      <c r="I153" s="43">
        <v>1</v>
      </c>
      <c r="J153" s="579">
        <v>1</v>
      </c>
      <c r="K153" s="575">
        <v>0.3</v>
      </c>
      <c r="L153" s="42"/>
      <c r="M153" s="593"/>
      <c r="N153" s="593"/>
      <c r="O153" s="575">
        <f t="shared" si="271"/>
        <v>1</v>
      </c>
      <c r="P153" s="575">
        <f t="shared" si="271"/>
        <v>1</v>
      </c>
      <c r="Q153" s="575">
        <f t="shared" si="271"/>
        <v>1</v>
      </c>
      <c r="R153" s="44">
        <f t="shared" si="272"/>
        <v>0.3</v>
      </c>
      <c r="S153" s="1120" t="s">
        <v>1854</v>
      </c>
      <c r="T153" s="234"/>
      <c r="U153" s="40" t="s">
        <v>1796</v>
      </c>
      <c r="V153" s="544"/>
      <c r="W153" s="545" t="s">
        <v>1807</v>
      </c>
      <c r="X153" s="552" t="s">
        <v>1749</v>
      </c>
      <c r="Y153" s="43">
        <f t="shared" si="273"/>
        <v>4</v>
      </c>
      <c r="Z153" s="43">
        <f t="shared" si="274"/>
        <v>3.3</v>
      </c>
      <c r="AA153" s="43">
        <f t="shared" si="275"/>
        <v>0.82499999999999996</v>
      </c>
      <c r="AB153" s="48">
        <v>0.1</v>
      </c>
      <c r="AC153" s="48">
        <v>0.1</v>
      </c>
      <c r="AD153" s="48">
        <v>0.1</v>
      </c>
      <c r="AE153" s="48">
        <v>0.12</v>
      </c>
      <c r="AF153" s="43">
        <v>0.16</v>
      </c>
      <c r="AG153" s="49">
        <v>50000000</v>
      </c>
      <c r="AH153" s="50"/>
      <c r="AI153" s="50"/>
      <c r="AJ153" s="240">
        <v>37940323.199999996</v>
      </c>
      <c r="AK153" s="240">
        <v>18279496.75</v>
      </c>
      <c r="AL153" s="932">
        <f t="shared" si="231"/>
        <v>0.36558993499999998</v>
      </c>
      <c r="AM153" s="50"/>
      <c r="AN153" s="723"/>
      <c r="AO153" s="240">
        <v>35774723.200000003</v>
      </c>
      <c r="AP153" s="240">
        <v>7796963.25</v>
      </c>
      <c r="AQ153" s="1155">
        <f t="shared" si="234"/>
        <v>0.15593926499999999</v>
      </c>
      <c r="AR153" s="51">
        <f t="shared" si="235"/>
        <v>10482533.5</v>
      </c>
      <c r="AS153" s="51"/>
      <c r="AT153" s="51"/>
      <c r="AU153" s="51"/>
      <c r="AV153" s="51"/>
      <c r="AW153" s="51">
        <f t="shared" si="222"/>
        <v>2165599.9999999925</v>
      </c>
      <c r="AX153" s="51"/>
      <c r="AY153" s="43">
        <f t="shared" si="237"/>
        <v>0</v>
      </c>
      <c r="AZ153" s="49">
        <f>308000000++AG153</f>
        <v>358000000</v>
      </c>
      <c r="BA153" s="45">
        <f t="shared" si="260"/>
        <v>56219819.949999996</v>
      </c>
      <c r="BB153" s="52">
        <f t="shared" si="181"/>
        <v>0.15703860321229049</v>
      </c>
      <c r="BC153" s="1170">
        <f t="shared" si="261"/>
        <v>43571686.450000003</v>
      </c>
      <c r="BD153" s="52">
        <f t="shared" si="249"/>
        <v>0.12170862136871509</v>
      </c>
      <c r="BE153" s="50"/>
      <c r="BF153" s="50" t="s">
        <v>80</v>
      </c>
      <c r="BG153" s="45" t="s">
        <v>102</v>
      </c>
      <c r="BH153" s="53" t="s">
        <v>193</v>
      </c>
      <c r="BI153" s="1224"/>
    </row>
    <row r="154" spans="1:61" ht="78" customHeight="1" x14ac:dyDescent="0.25">
      <c r="A154" s="32" t="s">
        <v>444</v>
      </c>
      <c r="B154" s="33"/>
      <c r="C154" s="33"/>
      <c r="D154" s="33"/>
      <c r="E154" s="34"/>
      <c r="F154" s="34"/>
      <c r="G154" s="745"/>
      <c r="H154" s="34"/>
      <c r="I154" s="34"/>
      <c r="J154" s="34"/>
      <c r="K154" s="34"/>
      <c r="L154" s="34"/>
      <c r="M154" s="34"/>
      <c r="N154" s="34"/>
      <c r="O154" s="607">
        <f>+SUMPRODUCT(O155:O157,AC155:AC157)</f>
        <v>1</v>
      </c>
      <c r="P154" s="607">
        <f>+SUMPRODUCT(P155:P157,AD155:AD157)</f>
        <v>1</v>
      </c>
      <c r="Q154" s="607">
        <f>+SUMPRODUCT(Q155:Q157,AE155:AE157)</f>
        <v>0.8</v>
      </c>
      <c r="R154" s="607">
        <f>+SUMPRODUCT(R155:R157,AF155:AF157)</f>
        <v>1</v>
      </c>
      <c r="S154" s="11"/>
      <c r="T154" s="32"/>
      <c r="U154" s="33"/>
      <c r="V154" s="33"/>
      <c r="W154" s="33"/>
      <c r="X154" s="32"/>
      <c r="Y154" s="11"/>
      <c r="Z154" s="36"/>
      <c r="AA154" s="607">
        <f>+SUMPRODUCT(AA155:AA157,AB155:AB157)</f>
        <v>0.92499999999999993</v>
      </c>
      <c r="AB154" s="35">
        <v>0.1</v>
      </c>
      <c r="AC154" s="35">
        <v>0.1</v>
      </c>
      <c r="AD154" s="35">
        <v>0.1</v>
      </c>
      <c r="AE154" s="35">
        <v>0.1</v>
      </c>
      <c r="AF154" s="35">
        <v>0.1</v>
      </c>
      <c r="AG154" s="33">
        <f>SUM(AG155:AG157)</f>
        <v>100000000</v>
      </c>
      <c r="AH154" s="33">
        <v>71827340</v>
      </c>
      <c r="AI154" s="33">
        <v>139976820</v>
      </c>
      <c r="AJ154" s="242">
        <f t="shared" ref="AJ154:AK154" si="276">SUM(AJ155:AJ157)</f>
        <v>148000000</v>
      </c>
      <c r="AK154" s="242">
        <f t="shared" si="276"/>
        <v>6527000</v>
      </c>
      <c r="AL154" s="1138">
        <f t="shared" si="231"/>
        <v>6.5269999999999995E-2</v>
      </c>
      <c r="AM154" s="733">
        <v>71827340</v>
      </c>
      <c r="AN154" s="725">
        <v>41976820</v>
      </c>
      <c r="AO154" s="242">
        <f t="shared" ref="AO154" si="277">SUM(AO155:AO157)</f>
        <v>138470088</v>
      </c>
      <c r="AP154" s="242">
        <f t="shared" ref="AP154" si="278">SUM(AP155:AP157)</f>
        <v>1527000</v>
      </c>
      <c r="AQ154" s="1158">
        <f t="shared" si="234"/>
        <v>1.5270000000000001E-2</v>
      </c>
      <c r="AR154" s="37">
        <f t="shared" si="235"/>
        <v>5000000</v>
      </c>
      <c r="AS154" s="37">
        <v>70000000</v>
      </c>
      <c r="AT154" s="37">
        <v>0</v>
      </c>
      <c r="AU154" s="530">
        <f>+AI154-AN154</f>
        <v>98000000</v>
      </c>
      <c r="AV154" s="677">
        <v>0</v>
      </c>
      <c r="AW154" s="37">
        <f t="shared" si="222"/>
        <v>9529912</v>
      </c>
      <c r="AX154" s="37">
        <f t="shared" ref="AX154" si="279">SUM(AX155:AX157)</f>
        <v>0</v>
      </c>
      <c r="AY154" s="35">
        <f t="shared" si="237"/>
        <v>0</v>
      </c>
      <c r="AZ154" s="33">
        <f>SUM(AZ155:AZ157)-150000000</f>
        <v>550000000</v>
      </c>
      <c r="BA154" s="33">
        <f t="shared" si="260"/>
        <v>366331160</v>
      </c>
      <c r="BB154" s="35">
        <f t="shared" si="181"/>
        <v>0.6660566545454546</v>
      </c>
      <c r="BC154" s="1172">
        <f t="shared" si="261"/>
        <v>253801248</v>
      </c>
      <c r="BD154" s="35">
        <f t="shared" si="249"/>
        <v>0.46145681454545456</v>
      </c>
      <c r="BE154" s="33"/>
      <c r="BF154" s="33" t="s">
        <v>80</v>
      </c>
      <c r="BG154" s="33"/>
      <c r="BH154" s="33"/>
      <c r="BI154" s="618"/>
    </row>
    <row r="155" spans="1:61" ht="47.25" customHeight="1" x14ac:dyDescent="0.25">
      <c r="A155" s="39" t="s">
        <v>445</v>
      </c>
      <c r="B155" s="68" t="s">
        <v>446</v>
      </c>
      <c r="C155" s="68" t="s">
        <v>1776</v>
      </c>
      <c r="D155" s="68">
        <v>0</v>
      </c>
      <c r="E155" s="76">
        <v>2</v>
      </c>
      <c r="F155" s="76">
        <v>0</v>
      </c>
      <c r="G155" s="748">
        <v>1</v>
      </c>
      <c r="H155" s="42" t="s">
        <v>163</v>
      </c>
      <c r="I155" s="42">
        <v>2</v>
      </c>
      <c r="J155" s="42" t="s">
        <v>163</v>
      </c>
      <c r="K155" s="42">
        <v>2</v>
      </c>
      <c r="L155" s="42"/>
      <c r="M155" s="593"/>
      <c r="N155" s="593"/>
      <c r="O155" s="575">
        <f t="shared" ref="O155:Q157" si="280">+IFERROR(IF((H155+L155)/D155&gt;=100%,100%,(H155+L155)/D155),0)</f>
        <v>0</v>
      </c>
      <c r="P155" s="575">
        <f t="shared" si="280"/>
        <v>1</v>
      </c>
      <c r="Q155" s="575">
        <f t="shared" si="280"/>
        <v>0</v>
      </c>
      <c r="R155" s="44">
        <f t="shared" ref="R155:R157" si="281">+IFERROR(IF(K155/G155&gt;=100%,100%,K155/G155),0)</f>
        <v>1</v>
      </c>
      <c r="S155" s="296" t="s">
        <v>1642</v>
      </c>
      <c r="T155" s="103"/>
      <c r="U155" s="40" t="s">
        <v>1796</v>
      </c>
      <c r="V155" s="40"/>
      <c r="W155" s="45"/>
      <c r="X155" s="103" t="s">
        <v>1731</v>
      </c>
      <c r="Y155" s="40">
        <f t="shared" ref="Y155:Y157" si="282">SUM(D155:G155)</f>
        <v>3</v>
      </c>
      <c r="Z155" s="47">
        <f t="shared" ref="Z155:Z157" si="283">SUM(H155:N155)</f>
        <v>4</v>
      </c>
      <c r="AA155" s="92">
        <f t="shared" ref="AA155:AA157" si="284">IF(Z155/Y155&gt;=100%,100%,Z155/Y155)</f>
        <v>1</v>
      </c>
      <c r="AB155" s="48">
        <v>0.32</v>
      </c>
      <c r="AC155" s="48">
        <v>0</v>
      </c>
      <c r="AD155" s="48">
        <v>0.32</v>
      </c>
      <c r="AE155" s="43">
        <v>0</v>
      </c>
      <c r="AF155" s="43">
        <v>1</v>
      </c>
      <c r="AG155" s="49">
        <v>100000000</v>
      </c>
      <c r="AH155" s="50"/>
      <c r="AI155" s="50"/>
      <c r="AJ155" s="1130"/>
      <c r="AK155" s="1130">
        <v>6527000</v>
      </c>
      <c r="AL155" s="932">
        <f t="shared" si="231"/>
        <v>6.5269999999999995E-2</v>
      </c>
      <c r="AM155" s="50"/>
      <c r="AN155" s="723"/>
      <c r="AO155" s="240"/>
      <c r="AP155" s="240">
        <v>1527000</v>
      </c>
      <c r="AQ155" s="1155">
        <f t="shared" si="234"/>
        <v>1.5270000000000001E-2</v>
      </c>
      <c r="AR155" s="51">
        <f t="shared" si="235"/>
        <v>5000000</v>
      </c>
      <c r="AS155" s="51"/>
      <c r="AT155" s="51"/>
      <c r="AU155" s="51"/>
      <c r="AV155" s="51"/>
      <c r="AW155" s="51">
        <f t="shared" si="222"/>
        <v>0</v>
      </c>
      <c r="AX155" s="51"/>
      <c r="AY155" s="43" t="e">
        <f t="shared" si="237"/>
        <v>#DIV/0!</v>
      </c>
      <c r="AZ155" s="49">
        <f>250000000++AG155</f>
        <v>350000000</v>
      </c>
      <c r="BA155" s="45">
        <f t="shared" si="260"/>
        <v>6527000</v>
      </c>
      <c r="BB155" s="43">
        <f t="shared" si="181"/>
        <v>1.8648571428571428E-2</v>
      </c>
      <c r="BC155" s="591">
        <f t="shared" si="261"/>
        <v>1527000</v>
      </c>
      <c r="BD155" s="43">
        <f t="shared" si="249"/>
        <v>4.3628571428571431E-3</v>
      </c>
      <c r="BE155" s="50"/>
      <c r="BF155" s="50" t="s">
        <v>80</v>
      </c>
      <c r="BG155" s="45" t="s">
        <v>95</v>
      </c>
      <c r="BH155" s="53" t="s">
        <v>193</v>
      </c>
      <c r="BI155" s="1225" t="s">
        <v>420</v>
      </c>
    </row>
    <row r="156" spans="1:61" ht="25.5" x14ac:dyDescent="0.25">
      <c r="A156" s="39" t="s">
        <v>447</v>
      </c>
      <c r="B156" s="68" t="s">
        <v>448</v>
      </c>
      <c r="C156" s="68" t="s">
        <v>1776</v>
      </c>
      <c r="D156" s="68">
        <v>0</v>
      </c>
      <c r="E156" s="76">
        <v>1</v>
      </c>
      <c r="F156" s="76">
        <v>0</v>
      </c>
      <c r="G156" s="748">
        <v>0</v>
      </c>
      <c r="H156" s="42" t="s">
        <v>163</v>
      </c>
      <c r="I156" s="42">
        <v>1</v>
      </c>
      <c r="J156" s="42" t="s">
        <v>163</v>
      </c>
      <c r="K156" s="42" t="s">
        <v>163</v>
      </c>
      <c r="L156" s="42"/>
      <c r="M156" s="593"/>
      <c r="N156" s="593"/>
      <c r="O156" s="575">
        <f t="shared" si="280"/>
        <v>0</v>
      </c>
      <c r="P156" s="575">
        <f t="shared" si="280"/>
        <v>1</v>
      </c>
      <c r="Q156" s="575">
        <f t="shared" si="280"/>
        <v>0</v>
      </c>
      <c r="R156" s="44">
        <f t="shared" si="281"/>
        <v>0</v>
      </c>
      <c r="S156" s="296"/>
      <c r="T156" s="103"/>
      <c r="U156" s="543" t="s">
        <v>1804</v>
      </c>
      <c r="V156" s="40"/>
      <c r="W156" s="45"/>
      <c r="X156" s="103"/>
      <c r="Y156" s="40">
        <f t="shared" si="282"/>
        <v>1</v>
      </c>
      <c r="Z156" s="47">
        <f t="shared" si="283"/>
        <v>1</v>
      </c>
      <c r="AA156" s="44">
        <f t="shared" si="284"/>
        <v>1</v>
      </c>
      <c r="AB156" s="48">
        <v>0.08</v>
      </c>
      <c r="AC156" s="48">
        <v>0</v>
      </c>
      <c r="AD156" s="48">
        <v>0.08</v>
      </c>
      <c r="AE156" s="43">
        <v>0</v>
      </c>
      <c r="AF156" s="43">
        <v>0</v>
      </c>
      <c r="AG156" s="49"/>
      <c r="AH156" s="50"/>
      <c r="AI156" s="50"/>
      <c r="AJ156" s="1130"/>
      <c r="AK156" s="1130"/>
      <c r="AL156" s="932" t="e">
        <f t="shared" si="231"/>
        <v>#DIV/0!</v>
      </c>
      <c r="AM156" s="50"/>
      <c r="AN156" s="723"/>
      <c r="AO156" s="240"/>
      <c r="AP156" s="240"/>
      <c r="AQ156" s="1155" t="e">
        <f t="shared" si="234"/>
        <v>#DIV/0!</v>
      </c>
      <c r="AR156" s="51">
        <f t="shared" si="235"/>
        <v>0</v>
      </c>
      <c r="AS156" s="51"/>
      <c r="AT156" s="51"/>
      <c r="AU156" s="51"/>
      <c r="AV156" s="51"/>
      <c r="AW156" s="51">
        <f t="shared" si="222"/>
        <v>0</v>
      </c>
      <c r="AX156" s="51"/>
      <c r="AY156" s="43" t="e">
        <f t="shared" si="237"/>
        <v>#DIV/0!</v>
      </c>
      <c r="AZ156" s="49">
        <f>25000000+AG156</f>
        <v>25000000</v>
      </c>
      <c r="BA156" s="45">
        <f t="shared" si="260"/>
        <v>0</v>
      </c>
      <c r="BB156" s="43">
        <f t="shared" si="181"/>
        <v>0</v>
      </c>
      <c r="BC156" s="591">
        <f t="shared" si="261"/>
        <v>0</v>
      </c>
      <c r="BD156" s="43">
        <f t="shared" si="249"/>
        <v>0</v>
      </c>
      <c r="BE156" s="50"/>
      <c r="BF156" s="50" t="s">
        <v>80</v>
      </c>
      <c r="BG156" s="45" t="s">
        <v>102</v>
      </c>
      <c r="BH156" s="53"/>
      <c r="BI156" s="1223"/>
    </row>
    <row r="157" spans="1:61" ht="38.25" x14ac:dyDescent="0.25">
      <c r="A157" s="39" t="s">
        <v>449</v>
      </c>
      <c r="B157" s="68" t="s">
        <v>450</v>
      </c>
      <c r="C157" s="68" t="s">
        <v>1778</v>
      </c>
      <c r="D157" s="85">
        <v>0.1</v>
      </c>
      <c r="E157" s="85">
        <v>0.5</v>
      </c>
      <c r="F157" s="85">
        <v>1</v>
      </c>
      <c r="G157" s="749">
        <v>0</v>
      </c>
      <c r="H157" s="85">
        <v>0.1</v>
      </c>
      <c r="I157" s="43">
        <v>0.5</v>
      </c>
      <c r="J157" s="43">
        <v>0.8</v>
      </c>
      <c r="K157" s="43" t="s">
        <v>163</v>
      </c>
      <c r="L157" s="42"/>
      <c r="M157" s="606"/>
      <c r="N157" s="606"/>
      <c r="O157" s="575">
        <f t="shared" si="280"/>
        <v>1</v>
      </c>
      <c r="P157" s="575">
        <f t="shared" si="280"/>
        <v>1</v>
      </c>
      <c r="Q157" s="575">
        <f t="shared" si="280"/>
        <v>0.8</v>
      </c>
      <c r="R157" s="44">
        <f t="shared" si="281"/>
        <v>0</v>
      </c>
      <c r="S157" s="295"/>
      <c r="T157" s="234"/>
      <c r="U157" s="543" t="s">
        <v>1804</v>
      </c>
      <c r="V157" s="40"/>
      <c r="W157" s="573"/>
      <c r="X157" s="103"/>
      <c r="Y157" s="43">
        <f t="shared" si="282"/>
        <v>1.6</v>
      </c>
      <c r="Z157" s="698">
        <f t="shared" si="283"/>
        <v>1.4</v>
      </c>
      <c r="AA157" s="43">
        <f t="shared" si="284"/>
        <v>0.87499999999999989</v>
      </c>
      <c r="AB157" s="48">
        <v>0.6</v>
      </c>
      <c r="AC157" s="48">
        <v>1</v>
      </c>
      <c r="AD157" s="48">
        <v>0.6</v>
      </c>
      <c r="AE157" s="43">
        <v>1</v>
      </c>
      <c r="AF157" s="43">
        <v>0</v>
      </c>
      <c r="AG157" s="49"/>
      <c r="AH157" s="50"/>
      <c r="AI157" s="50"/>
      <c r="AJ157" s="1130">
        <v>148000000</v>
      </c>
      <c r="AK157" s="1130"/>
      <c r="AL157" s="932" t="e">
        <f t="shared" si="231"/>
        <v>#DIV/0!</v>
      </c>
      <c r="AM157" s="50"/>
      <c r="AN157" s="723"/>
      <c r="AO157" s="240">
        <v>138470088</v>
      </c>
      <c r="AP157" s="240"/>
      <c r="AQ157" s="1155" t="e">
        <f t="shared" si="234"/>
        <v>#DIV/0!</v>
      </c>
      <c r="AR157" s="51">
        <f t="shared" si="235"/>
        <v>0</v>
      </c>
      <c r="AS157" s="51"/>
      <c r="AT157" s="51"/>
      <c r="AU157" s="51"/>
      <c r="AV157" s="51"/>
      <c r="AW157" s="51">
        <f t="shared" si="222"/>
        <v>9529912</v>
      </c>
      <c r="AX157" s="51"/>
      <c r="AY157" s="43">
        <f t="shared" si="237"/>
        <v>0</v>
      </c>
      <c r="AZ157" s="49">
        <f>325000000+AG157</f>
        <v>325000000</v>
      </c>
      <c r="BA157" s="45">
        <f t="shared" si="260"/>
        <v>148000000</v>
      </c>
      <c r="BB157" s="43">
        <f t="shared" si="181"/>
        <v>0.45538461538461539</v>
      </c>
      <c r="BC157" s="591">
        <f t="shared" si="261"/>
        <v>138470088</v>
      </c>
      <c r="BD157" s="43">
        <f t="shared" si="249"/>
        <v>0.42606180923076925</v>
      </c>
      <c r="BE157" s="50"/>
      <c r="BF157" s="50" t="s">
        <v>80</v>
      </c>
      <c r="BG157" s="45" t="s">
        <v>102</v>
      </c>
      <c r="BH157" s="53" t="s">
        <v>175</v>
      </c>
      <c r="BI157" s="1224"/>
    </row>
    <row r="158" spans="1:61" ht="31.5" customHeight="1" x14ac:dyDescent="0.25">
      <c r="A158" s="13" t="s">
        <v>1791</v>
      </c>
      <c r="B158" s="105"/>
      <c r="C158" s="105"/>
      <c r="D158" s="105"/>
      <c r="E158" s="106"/>
      <c r="F158" s="106"/>
      <c r="G158" s="740"/>
      <c r="H158" s="106"/>
      <c r="I158" s="106"/>
      <c r="J158" s="15"/>
      <c r="K158" s="106"/>
      <c r="L158" s="106"/>
      <c r="M158" s="15"/>
      <c r="N158" s="15"/>
      <c r="O158" s="683">
        <f>+(O159*AC159)+(O210*AC210)</f>
        <v>0.97886666666666666</v>
      </c>
      <c r="P158" s="683">
        <f>+(P159*AD159)+(P210*AD210)</f>
        <v>0.96420245098039226</v>
      </c>
      <c r="Q158" s="683">
        <f>+(Q159*AE159)+(Q210*AE210)</f>
        <v>0.87224000000000002</v>
      </c>
      <c r="R158" s="683">
        <f>+(R159*AF159)+(R210*AF210)</f>
        <v>0.62028299498746875</v>
      </c>
      <c r="S158" s="16"/>
      <c r="T158" s="107"/>
      <c r="U158" s="17"/>
      <c r="V158" s="17"/>
      <c r="W158" s="17"/>
      <c r="X158" s="107"/>
      <c r="Y158" s="108"/>
      <c r="Z158" s="109"/>
      <c r="AA158" s="20">
        <f>+(AA159*AB159)+(AA210*AB210)</f>
        <v>0.86357785459463143</v>
      </c>
      <c r="AB158" s="20">
        <v>0.2</v>
      </c>
      <c r="AC158" s="20">
        <v>0.2</v>
      </c>
      <c r="AD158" s="20">
        <v>0.2</v>
      </c>
      <c r="AE158" s="20">
        <v>0.2</v>
      </c>
      <c r="AF158" s="20">
        <v>0.2</v>
      </c>
      <c r="AG158" s="14">
        <f>AG159+AG210</f>
        <v>4361000000</v>
      </c>
      <c r="AH158" s="14">
        <f t="shared" ref="AH158:AK158" si="285">AH159+AH210</f>
        <v>3895380272.6300001</v>
      </c>
      <c r="AI158" s="14">
        <f t="shared" si="285"/>
        <v>4349498550.5499992</v>
      </c>
      <c r="AJ158" s="14">
        <f t="shared" si="285"/>
        <v>6136471058.000001</v>
      </c>
      <c r="AK158" s="14">
        <f t="shared" si="285"/>
        <v>3052746026</v>
      </c>
      <c r="AL158" s="1139">
        <f t="shared" si="231"/>
        <v>0.7000105540013758</v>
      </c>
      <c r="AM158" s="14">
        <f>+AM159+AM210</f>
        <v>3895380272.6300001</v>
      </c>
      <c r="AN158" s="721">
        <f>+AN159+AN210</f>
        <v>3888619785.5499997</v>
      </c>
      <c r="AO158" s="244">
        <f t="shared" ref="AO158" si="286">AO159+AO210</f>
        <v>5582202638</v>
      </c>
      <c r="AP158" s="244">
        <f t="shared" ref="AP158" si="287">AP159+AP210</f>
        <v>935292384</v>
      </c>
      <c r="AQ158" s="1159">
        <f t="shared" si="234"/>
        <v>0.21446741206145378</v>
      </c>
      <c r="AR158" s="110">
        <f t="shared" si="235"/>
        <v>2117453642</v>
      </c>
      <c r="AS158" s="110">
        <f>+AS159+AS210</f>
        <v>224700747</v>
      </c>
      <c r="AT158" s="110">
        <f>+AT159+AT210</f>
        <v>224700747</v>
      </c>
      <c r="AU158" s="110">
        <f>+AU159+AU210</f>
        <v>460878765</v>
      </c>
      <c r="AV158" s="110">
        <f>+AV159+AV210</f>
        <v>136842667</v>
      </c>
      <c r="AW158" s="21">
        <f t="shared" si="222"/>
        <v>554268420.00000095</v>
      </c>
      <c r="AX158" s="21">
        <f t="shared" ref="AX158" si="288">AX159+AX210</f>
        <v>0</v>
      </c>
      <c r="AY158" s="20">
        <f t="shared" si="237"/>
        <v>0</v>
      </c>
      <c r="AZ158" s="14">
        <f>+AZ159+AZ210</f>
        <v>22801502214</v>
      </c>
      <c r="BA158" s="14">
        <f t="shared" ref="BA158" si="289">BA159+BA210</f>
        <v>17434095907.180004</v>
      </c>
      <c r="BB158" s="20">
        <f t="shared" si="181"/>
        <v>0.76460295218950802</v>
      </c>
      <c r="BC158" s="1167">
        <f t="shared" ref="BC158" si="290">BC159+BC210</f>
        <v>14663038494.18</v>
      </c>
      <c r="BD158" s="20">
        <f t="shared" si="249"/>
        <v>0.64307335352567141</v>
      </c>
      <c r="BE158" s="14"/>
      <c r="BF158" s="14"/>
      <c r="BG158" s="14"/>
      <c r="BH158" s="14"/>
      <c r="BI158" s="620"/>
    </row>
    <row r="159" spans="1:61" ht="48.75" customHeight="1" x14ac:dyDescent="0.25">
      <c r="A159" s="23" t="s">
        <v>452</v>
      </c>
      <c r="B159" s="28"/>
      <c r="C159" s="28"/>
      <c r="D159" s="28"/>
      <c r="E159" s="81"/>
      <c r="F159" s="81"/>
      <c r="G159" s="741"/>
      <c r="H159" s="81"/>
      <c r="I159" s="81"/>
      <c r="J159" s="81"/>
      <c r="K159" s="81"/>
      <c r="L159" s="81"/>
      <c r="M159" s="81"/>
      <c r="N159" s="81"/>
      <c r="O159" s="609">
        <f>+(O160*AB160)+(O174*AB174)+(O185*AB185)+(O193*AB193)+(O201*AB201)+(O205*AB205)</f>
        <v>0.95773333333333333</v>
      </c>
      <c r="P159" s="609">
        <f>+(P160*AC160)+(P174*AC174)+(P185*AC185)+(P193*AC193)+(P201*AC201)+(P205*AC205)</f>
        <v>0.92840490196078451</v>
      </c>
      <c r="Q159" s="609">
        <f>+(Q160*AD160)+(Q174*AD174)+(Q185*AD185)+(Q193*AD193)+(Q201*AD201)+(Q205*AD205)</f>
        <v>0.84448000000000001</v>
      </c>
      <c r="R159" s="609">
        <f>+(R160*AE160)+(R174*AE174)+(R185*AE185)+(R193*AE193)+(R201*AE201)+(R205*AE205)</f>
        <v>0.65306598997493748</v>
      </c>
      <c r="S159" s="26"/>
      <c r="T159" s="23"/>
      <c r="U159" s="28"/>
      <c r="V159" s="28"/>
      <c r="W159" s="28"/>
      <c r="X159" s="23"/>
      <c r="Y159" s="104"/>
      <c r="Z159" s="83"/>
      <c r="AA159" s="26">
        <f>+(AA160*AB160)+(AA174*AB174)+(AA185*AB185)+(AA193*AB193)+(AA201*AB201)+(AA205*AB205)</f>
        <v>0.85438785204640566</v>
      </c>
      <c r="AB159" s="26">
        <v>0.5</v>
      </c>
      <c r="AC159" s="26">
        <v>0.5</v>
      </c>
      <c r="AD159" s="26">
        <v>0.5</v>
      </c>
      <c r="AE159" s="26">
        <v>0.5</v>
      </c>
      <c r="AF159" s="26">
        <v>0.5</v>
      </c>
      <c r="AG159" s="28">
        <f>AG160+AG174+AG185+AG193+AG201+AG205</f>
        <v>3961000000</v>
      </c>
      <c r="AH159" s="28">
        <f t="shared" ref="AH159:AK159" si="291">AH160+AH174+AH185+AH193+AH201+AH205</f>
        <v>3720469772.6300001</v>
      </c>
      <c r="AI159" s="28">
        <f t="shared" si="291"/>
        <v>4049233834.5499997</v>
      </c>
      <c r="AJ159" s="28">
        <f t="shared" si="291"/>
        <v>5706954539.000001</v>
      </c>
      <c r="AK159" s="28">
        <f t="shared" si="291"/>
        <v>2876920506</v>
      </c>
      <c r="AL159" s="1134">
        <f t="shared" si="231"/>
        <v>0.72631166523605151</v>
      </c>
      <c r="AM159" s="28">
        <f>+AM160+AM174+AM185+AM193+AM201+AM205</f>
        <v>3720469772.6300001</v>
      </c>
      <c r="AN159" s="722">
        <f>+AN160+AN174+AN185+AN193+AN201+AN205</f>
        <v>3711280785.5499997</v>
      </c>
      <c r="AO159" s="243">
        <f t="shared" ref="AO159" si="292">AO160+AO174+AO185+AO193+AO201+AO205</f>
        <v>5209613052</v>
      </c>
      <c r="AP159" s="243">
        <f t="shared" ref="AP159" si="293">AP160+AP174+AP185+AP193+AP201+AP205</f>
        <v>870016665</v>
      </c>
      <c r="AQ159" s="1153">
        <f t="shared" si="234"/>
        <v>0.21964571194142893</v>
      </c>
      <c r="AR159" s="28">
        <f t="shared" si="235"/>
        <v>2006903841</v>
      </c>
      <c r="AS159" s="28">
        <f>+AS160+AS174+AS185+AS193+AS201+AS205</f>
        <v>224700747</v>
      </c>
      <c r="AT159" s="28">
        <f>+AT160+AT174+AT185+AT193+AT201+AT205</f>
        <v>224700747</v>
      </c>
      <c r="AU159" s="28">
        <f>+AU160+AU174+AU185+AU193+AU201+AU205</f>
        <v>337953049</v>
      </c>
      <c r="AV159" s="28">
        <f>+AV160+AV174+AV185+AV193+AV201+AV205</f>
        <v>136842667</v>
      </c>
      <c r="AW159" s="29">
        <f t="shared" si="222"/>
        <v>497341487.00000095</v>
      </c>
      <c r="AX159" s="29">
        <f t="shared" ref="AX159" si="294">AX160+AX174+AX185+AX193+AX201+AX205</f>
        <v>0</v>
      </c>
      <c r="AY159" s="26">
        <f t="shared" si="237"/>
        <v>0</v>
      </c>
      <c r="AZ159" s="28">
        <f>+AZ160+AZ174+AZ185+AZ193+AZ201+AZ205</f>
        <v>21147586881</v>
      </c>
      <c r="BA159" s="28">
        <f t="shared" ref="BA159" si="295">BA160+BA174+BA185+BA193+BA201+BA205</f>
        <v>16353578652.180004</v>
      </c>
      <c r="BB159" s="26">
        <f t="shared" si="181"/>
        <v>0.77330707963057665</v>
      </c>
      <c r="BC159" s="1168">
        <f t="shared" ref="BC159" si="296">BC160+BC174+BC185+BC193+BC201+BC205</f>
        <v>13872923689.18</v>
      </c>
      <c r="BD159" s="26">
        <f t="shared" si="249"/>
        <v>0.65600504526802994</v>
      </c>
      <c r="BE159" s="28"/>
      <c r="BF159" s="28" t="s">
        <v>82</v>
      </c>
      <c r="BG159" s="28"/>
      <c r="BH159" s="28"/>
      <c r="BI159" s="615"/>
    </row>
    <row r="160" spans="1:61" ht="48.75" customHeight="1" x14ac:dyDescent="0.25">
      <c r="A160" s="32" t="s">
        <v>453</v>
      </c>
      <c r="B160" s="33"/>
      <c r="C160" s="33"/>
      <c r="D160" s="33"/>
      <c r="E160" s="34"/>
      <c r="F160" s="34"/>
      <c r="G160" s="745"/>
      <c r="H160" s="34"/>
      <c r="I160" s="34"/>
      <c r="J160" s="34"/>
      <c r="K160" s="34"/>
      <c r="L160" s="34"/>
      <c r="M160" s="34"/>
      <c r="N160" s="34"/>
      <c r="O160" s="607">
        <f>+SUMPRODUCT(O161:O173,AC161:AC173)</f>
        <v>0.9916666666666667</v>
      </c>
      <c r="P160" s="607">
        <f>+SUMPRODUCT(P161:P173,AD161:AD173)</f>
        <v>0.96294117647058841</v>
      </c>
      <c r="Q160" s="607">
        <f>+SUMPRODUCT(Q161:Q173,AE161:AE173)</f>
        <v>0.94279999999999986</v>
      </c>
      <c r="R160" s="607">
        <f>+SUMPRODUCT(R161:R173,AF161:AF173)</f>
        <v>0.80918947368421057</v>
      </c>
      <c r="S160" s="35"/>
      <c r="T160" s="32"/>
      <c r="U160" s="33"/>
      <c r="V160" s="33"/>
      <c r="W160" s="33"/>
      <c r="X160" s="32"/>
      <c r="Y160" s="11"/>
      <c r="Z160" s="36"/>
      <c r="AA160" s="36">
        <f>+SUMPRODUCT(AA161:AA173,AB161:AB173)</f>
        <v>0.93456897478991596</v>
      </c>
      <c r="AB160" s="35">
        <v>0.2</v>
      </c>
      <c r="AC160" s="35">
        <v>0.2</v>
      </c>
      <c r="AD160" s="35">
        <v>0.2</v>
      </c>
      <c r="AE160" s="35">
        <v>0.2</v>
      </c>
      <c r="AF160" s="35">
        <v>0.2</v>
      </c>
      <c r="AG160" s="33">
        <f>SUM(AG161:AG173)</f>
        <v>400000000</v>
      </c>
      <c r="AH160" s="33">
        <v>300050488</v>
      </c>
      <c r="AI160" s="33">
        <v>417008278</v>
      </c>
      <c r="AJ160" s="242">
        <f t="shared" ref="AJ160:AK160" si="297">SUM(AJ161:AJ173)</f>
        <v>599861040.99999976</v>
      </c>
      <c r="AK160" s="242">
        <f t="shared" si="297"/>
        <v>353282510</v>
      </c>
      <c r="AL160" s="1138">
        <f t="shared" si="231"/>
        <v>0.88320627500000004</v>
      </c>
      <c r="AM160" s="733">
        <v>300050488</v>
      </c>
      <c r="AN160" s="725">
        <v>415645489</v>
      </c>
      <c r="AO160" s="242">
        <f t="shared" ref="AO160" si="298">SUM(AO161:AO173)</f>
        <v>533856233.00000006</v>
      </c>
      <c r="AP160" s="242">
        <f t="shared" ref="AP160" si="299">SUM(AP161:AP173)</f>
        <v>118390446.99999999</v>
      </c>
      <c r="AQ160" s="1158">
        <f t="shared" si="234"/>
        <v>0.29597611749999997</v>
      </c>
      <c r="AR160" s="37">
        <f t="shared" si="235"/>
        <v>234892063</v>
      </c>
      <c r="AS160" s="37">
        <v>22610476</v>
      </c>
      <c r="AT160" s="37">
        <v>22610476</v>
      </c>
      <c r="AU160" s="530">
        <f>+AI160-AN160</f>
        <v>1362789</v>
      </c>
      <c r="AV160" s="677">
        <v>0</v>
      </c>
      <c r="AW160" s="37">
        <f t="shared" si="222"/>
        <v>66004807.999999702</v>
      </c>
      <c r="AX160" s="37">
        <f t="shared" ref="AX160" si="300">SUM(AX161:AX173)</f>
        <v>0</v>
      </c>
      <c r="AY160" s="35">
        <f t="shared" si="237"/>
        <v>0</v>
      </c>
      <c r="AZ160" s="33">
        <f>SUM(AZ161:AZ173)-700000000</f>
        <v>2610945197</v>
      </c>
      <c r="BA160" s="33">
        <f t="shared" ref="BA160:BA209" si="301">SUM(AH160:AK160)</f>
        <v>1670202316.9999998</v>
      </c>
      <c r="BB160" s="35">
        <f t="shared" ref="BB160:BB209" si="302">+BA160/AZ160</f>
        <v>0.63969259826635871</v>
      </c>
      <c r="BC160" s="1172">
        <f t="shared" ref="BC160:BC209" si="303">SUM(AM160:AP160)+AT160+AV160+AX160</f>
        <v>1390553133</v>
      </c>
      <c r="BD160" s="35">
        <f t="shared" ref="BD160:BD209" si="304">+BC160/AZ160</f>
        <v>0.53258610506178305</v>
      </c>
      <c r="BE160" s="33"/>
      <c r="BF160" s="33" t="s">
        <v>82</v>
      </c>
      <c r="BG160" s="33"/>
      <c r="BH160" s="33"/>
      <c r="BI160" s="618"/>
    </row>
    <row r="161" spans="1:61" ht="255.75" x14ac:dyDescent="0.25">
      <c r="A161" s="55" t="s">
        <v>454</v>
      </c>
      <c r="B161" s="53" t="s">
        <v>455</v>
      </c>
      <c r="C161" s="68" t="s">
        <v>1776</v>
      </c>
      <c r="D161" s="53">
        <v>1</v>
      </c>
      <c r="E161" s="76">
        <v>1</v>
      </c>
      <c r="F161" s="76">
        <v>1</v>
      </c>
      <c r="G161" s="748">
        <v>1</v>
      </c>
      <c r="H161" s="76">
        <v>1</v>
      </c>
      <c r="I161" s="42">
        <v>1</v>
      </c>
      <c r="J161" s="42">
        <v>1</v>
      </c>
      <c r="K161" s="42">
        <v>1</v>
      </c>
      <c r="L161" s="42"/>
      <c r="M161" s="593"/>
      <c r="N161" s="593"/>
      <c r="O161" s="575">
        <f t="shared" ref="O161:Q173" si="305">+IFERROR(IF((H161+L161)/D161&gt;=100%,100%,(H161+L161)/D161),0)</f>
        <v>1</v>
      </c>
      <c r="P161" s="575">
        <f t="shared" si="305"/>
        <v>1</v>
      </c>
      <c r="Q161" s="575">
        <f t="shared" si="305"/>
        <v>1</v>
      </c>
      <c r="R161" s="44">
        <f t="shared" ref="R161:R173" si="306">+IFERROR(IF(K161/G161&gt;=100%,100%,K161/G161),0)</f>
        <v>1</v>
      </c>
      <c r="S161" s="101" t="s">
        <v>1643</v>
      </c>
      <c r="T161" s="234"/>
      <c r="U161" s="40" t="s">
        <v>1796</v>
      </c>
      <c r="V161" s="544"/>
      <c r="W161" s="45" t="s">
        <v>1807</v>
      </c>
      <c r="X161" s="554" t="s">
        <v>1750</v>
      </c>
      <c r="Y161" s="40">
        <f t="shared" ref="Y161:Y173" si="307">SUM(D161:G161)</f>
        <v>4</v>
      </c>
      <c r="Z161" s="47">
        <f t="shared" ref="Z161:Z173" si="308">SUM(H161:N161)</f>
        <v>4</v>
      </c>
      <c r="AA161" s="43">
        <f t="shared" ref="AA161:AA173" si="309">IF(Z161/Y161&gt;=100%,100%,Z161/Y161)</f>
        <v>1</v>
      </c>
      <c r="AB161" s="48">
        <v>0.2</v>
      </c>
      <c r="AC161" s="48">
        <v>0.23</v>
      </c>
      <c r="AD161" s="48">
        <v>0.2</v>
      </c>
      <c r="AE161" s="43">
        <v>0.22</v>
      </c>
      <c r="AF161" s="43">
        <v>0.26</v>
      </c>
      <c r="AG161" s="49">
        <v>150000000</v>
      </c>
      <c r="AH161" s="50"/>
      <c r="AI161" s="50"/>
      <c r="AJ161" s="240">
        <v>319338362.83053213</v>
      </c>
      <c r="AK161" s="240">
        <v>132480941.25</v>
      </c>
      <c r="AL161" s="932">
        <f t="shared" si="231"/>
        <v>0.88320627500000004</v>
      </c>
      <c r="AM161" s="50"/>
      <c r="AN161" s="723"/>
      <c r="AO161" s="240">
        <v>284200446.07146794</v>
      </c>
      <c r="AP161" s="240">
        <v>44396417.625</v>
      </c>
      <c r="AQ161" s="1155">
        <f t="shared" si="234"/>
        <v>0.29597611750000002</v>
      </c>
      <c r="AR161" s="51">
        <f t="shared" si="235"/>
        <v>88084523.625</v>
      </c>
      <c r="AS161" s="51"/>
      <c r="AT161" s="51"/>
      <c r="AU161" s="51"/>
      <c r="AV161" s="51"/>
      <c r="AW161" s="51">
        <f t="shared" si="222"/>
        <v>35137916.759064198</v>
      </c>
      <c r="AX161" s="51"/>
      <c r="AY161" s="43">
        <f t="shared" si="237"/>
        <v>0</v>
      </c>
      <c r="AZ161" s="49">
        <f>310000000+AG161+819945197</f>
        <v>1279945197</v>
      </c>
      <c r="BA161" s="45">
        <f t="shared" si="301"/>
        <v>451819304.08053213</v>
      </c>
      <c r="BB161" s="52">
        <f t="shared" si="302"/>
        <v>0.35299894490758588</v>
      </c>
      <c r="BC161" s="1170">
        <f t="shared" si="303"/>
        <v>328596863.69646794</v>
      </c>
      <c r="BD161" s="52">
        <f t="shared" si="304"/>
        <v>0.25672729150173756</v>
      </c>
      <c r="BE161" s="50"/>
      <c r="BF161" s="50" t="s">
        <v>82</v>
      </c>
      <c r="BG161" s="50"/>
      <c r="BH161" s="53" t="s">
        <v>175</v>
      </c>
      <c r="BI161" s="624" t="s">
        <v>456</v>
      </c>
    </row>
    <row r="162" spans="1:61" ht="69.75" customHeight="1" x14ac:dyDescent="0.25">
      <c r="A162" s="761" t="s">
        <v>1589</v>
      </c>
      <c r="B162" s="762" t="s">
        <v>1610</v>
      </c>
      <c r="C162" s="68" t="s">
        <v>1776</v>
      </c>
      <c r="D162" s="690">
        <v>0</v>
      </c>
      <c r="E162" s="691">
        <v>2</v>
      </c>
      <c r="F162" s="691">
        <v>0</v>
      </c>
      <c r="G162" s="748">
        <v>0</v>
      </c>
      <c r="H162" s="691" t="s">
        <v>163</v>
      </c>
      <c r="I162" s="692">
        <v>2</v>
      </c>
      <c r="J162" s="42" t="s">
        <v>163</v>
      </c>
      <c r="K162" s="42" t="s">
        <v>163</v>
      </c>
      <c r="L162" s="42"/>
      <c r="M162" s="593"/>
      <c r="N162" s="593"/>
      <c r="O162" s="575">
        <f t="shared" si="305"/>
        <v>0</v>
      </c>
      <c r="P162" s="575">
        <f t="shared" si="305"/>
        <v>1</v>
      </c>
      <c r="Q162" s="575">
        <f t="shared" si="305"/>
        <v>0</v>
      </c>
      <c r="R162" s="44">
        <f t="shared" si="306"/>
        <v>0</v>
      </c>
      <c r="S162" s="101"/>
      <c r="T162" s="234"/>
      <c r="U162" s="543" t="s">
        <v>1804</v>
      </c>
      <c r="V162" s="544"/>
      <c r="W162" s="45"/>
      <c r="X162" s="553"/>
      <c r="Y162" s="40">
        <f t="shared" si="307"/>
        <v>2</v>
      </c>
      <c r="Z162" s="47">
        <f t="shared" si="308"/>
        <v>2</v>
      </c>
      <c r="AA162" s="43">
        <f t="shared" si="309"/>
        <v>1</v>
      </c>
      <c r="AB162" s="48">
        <v>7.0000000000000007E-2</v>
      </c>
      <c r="AC162" s="48">
        <v>0</v>
      </c>
      <c r="AD162" s="48">
        <v>0.08</v>
      </c>
      <c r="AE162" s="43">
        <v>0</v>
      </c>
      <c r="AF162" s="43">
        <v>0</v>
      </c>
      <c r="AG162" s="49"/>
      <c r="AH162" s="50"/>
      <c r="AI162" s="50"/>
      <c r="AJ162" s="240"/>
      <c r="AK162" s="240"/>
      <c r="AL162" s="932" t="e">
        <f t="shared" si="231"/>
        <v>#DIV/0!</v>
      </c>
      <c r="AM162" s="50"/>
      <c r="AN162" s="723"/>
      <c r="AO162" s="240"/>
      <c r="AP162" s="240"/>
      <c r="AQ162" s="1155" t="e">
        <f t="shared" si="234"/>
        <v>#DIV/0!</v>
      </c>
      <c r="AR162" s="51">
        <f t="shared" si="235"/>
        <v>0</v>
      </c>
      <c r="AS162" s="51"/>
      <c r="AT162" s="51"/>
      <c r="AU162" s="51"/>
      <c r="AV162" s="51"/>
      <c r="AW162" s="51"/>
      <c r="AX162" s="51"/>
      <c r="AY162" s="43" t="e">
        <f t="shared" si="237"/>
        <v>#DIV/0!</v>
      </c>
      <c r="AZ162" s="49">
        <f>+AG162</f>
        <v>0</v>
      </c>
      <c r="BA162" s="45">
        <f t="shared" si="301"/>
        <v>0</v>
      </c>
      <c r="BB162" s="52" t="e">
        <f t="shared" si="302"/>
        <v>#DIV/0!</v>
      </c>
      <c r="BC162" s="1170">
        <f t="shared" si="303"/>
        <v>0</v>
      </c>
      <c r="BD162" s="52" t="e">
        <f t="shared" si="304"/>
        <v>#DIV/0!</v>
      </c>
      <c r="BE162" s="50"/>
      <c r="BF162" s="50"/>
      <c r="BG162" s="50"/>
      <c r="BH162" s="53"/>
      <c r="BI162" s="689"/>
    </row>
    <row r="163" spans="1:61" ht="62.25" customHeight="1" x14ac:dyDescent="0.25">
      <c r="A163" s="39" t="s">
        <v>457</v>
      </c>
      <c r="B163" s="53" t="s">
        <v>458</v>
      </c>
      <c r="C163" s="91" t="s">
        <v>1778</v>
      </c>
      <c r="D163" s="578">
        <v>0.2</v>
      </c>
      <c r="E163" s="85">
        <v>0.8</v>
      </c>
      <c r="F163" s="85">
        <v>1</v>
      </c>
      <c r="G163" s="749">
        <v>0</v>
      </c>
      <c r="H163" s="85">
        <v>0.1</v>
      </c>
      <c r="I163" s="43">
        <v>0.8</v>
      </c>
      <c r="J163" s="43">
        <v>1</v>
      </c>
      <c r="K163" s="43" t="s">
        <v>163</v>
      </c>
      <c r="L163" s="69">
        <v>0.1</v>
      </c>
      <c r="M163" s="595"/>
      <c r="N163" s="595"/>
      <c r="O163" s="576">
        <f t="shared" si="305"/>
        <v>1</v>
      </c>
      <c r="P163" s="576">
        <f t="shared" si="305"/>
        <v>1</v>
      </c>
      <c r="Q163" s="576">
        <f t="shared" si="305"/>
        <v>1</v>
      </c>
      <c r="R163" s="44">
        <f t="shared" si="306"/>
        <v>0</v>
      </c>
      <c r="S163" s="101"/>
      <c r="T163" s="234"/>
      <c r="U163" s="543" t="s">
        <v>1804</v>
      </c>
      <c r="V163" s="40"/>
      <c r="W163" s="545"/>
      <c r="X163" s="553"/>
      <c r="Y163" s="43">
        <f t="shared" si="307"/>
        <v>2</v>
      </c>
      <c r="Z163" s="47">
        <f t="shared" si="308"/>
        <v>2</v>
      </c>
      <c r="AA163" s="43">
        <f t="shared" si="309"/>
        <v>1</v>
      </c>
      <c r="AB163" s="48">
        <v>0.22</v>
      </c>
      <c r="AC163" s="48">
        <v>0.24</v>
      </c>
      <c r="AD163" s="48">
        <v>0.22</v>
      </c>
      <c r="AE163" s="43">
        <v>0.24</v>
      </c>
      <c r="AF163" s="43">
        <v>0</v>
      </c>
      <c r="AG163" s="49"/>
      <c r="AH163" s="50"/>
      <c r="AI163" s="50"/>
      <c r="AJ163" s="240">
        <v>31933836.283053216</v>
      </c>
      <c r="AK163" s="240"/>
      <c r="AL163" s="932" t="e">
        <f t="shared" si="231"/>
        <v>#DIV/0!</v>
      </c>
      <c r="AM163" s="50"/>
      <c r="AN163" s="723"/>
      <c r="AO163" s="240">
        <v>28420044.607146796</v>
      </c>
      <c r="AP163" s="240"/>
      <c r="AQ163" s="1155" t="e">
        <f t="shared" si="234"/>
        <v>#DIV/0!</v>
      </c>
      <c r="AR163" s="51">
        <f t="shared" si="235"/>
        <v>0</v>
      </c>
      <c r="AS163" s="51"/>
      <c r="AT163" s="51"/>
      <c r="AU163" s="51"/>
      <c r="AV163" s="51"/>
      <c r="AW163" s="51">
        <f t="shared" ref="AW163:AW194" si="310">+AJ163-AO163</f>
        <v>3513791.6759064198</v>
      </c>
      <c r="AX163" s="51"/>
      <c r="AY163" s="43">
        <f t="shared" si="237"/>
        <v>0</v>
      </c>
      <c r="AZ163" s="49">
        <f>107000000+AG163</f>
        <v>107000000</v>
      </c>
      <c r="BA163" s="45">
        <f t="shared" si="301"/>
        <v>31933836.283053216</v>
      </c>
      <c r="BB163" s="52">
        <f t="shared" si="302"/>
        <v>0.29844706806591792</v>
      </c>
      <c r="BC163" s="1170">
        <f t="shared" si="303"/>
        <v>28420044.607146796</v>
      </c>
      <c r="BD163" s="52">
        <f t="shared" si="304"/>
        <v>0.2656078935247364</v>
      </c>
      <c r="BE163" s="50"/>
      <c r="BF163" s="50" t="s">
        <v>82</v>
      </c>
      <c r="BG163" s="50"/>
      <c r="BH163" s="53" t="s">
        <v>175</v>
      </c>
      <c r="BI163" s="1222" t="s">
        <v>460</v>
      </c>
    </row>
    <row r="164" spans="1:61" ht="43.5" customHeight="1" x14ac:dyDescent="0.25">
      <c r="A164" s="39" t="s">
        <v>461</v>
      </c>
      <c r="B164" s="53" t="s">
        <v>462</v>
      </c>
      <c r="C164" s="91" t="s">
        <v>1778</v>
      </c>
      <c r="D164" s="578">
        <v>0.2</v>
      </c>
      <c r="E164" s="85">
        <v>0.5</v>
      </c>
      <c r="F164" s="85">
        <v>1</v>
      </c>
      <c r="G164" s="749">
        <v>0</v>
      </c>
      <c r="H164" s="85">
        <v>0.2</v>
      </c>
      <c r="I164" s="43">
        <v>0.5</v>
      </c>
      <c r="J164" s="43">
        <v>1</v>
      </c>
      <c r="K164" s="43" t="s">
        <v>163</v>
      </c>
      <c r="L164" s="42"/>
      <c r="M164" s="593"/>
      <c r="N164" s="593"/>
      <c r="O164" s="575">
        <f t="shared" si="305"/>
        <v>1</v>
      </c>
      <c r="P164" s="575">
        <f t="shared" si="305"/>
        <v>1</v>
      </c>
      <c r="Q164" s="575">
        <f t="shared" si="305"/>
        <v>1</v>
      </c>
      <c r="R164" s="44">
        <f t="shared" si="306"/>
        <v>0</v>
      </c>
      <c r="S164" s="101"/>
      <c r="T164" s="234"/>
      <c r="U164" s="543" t="s">
        <v>1804</v>
      </c>
      <c r="V164" s="544"/>
      <c r="W164" s="45"/>
      <c r="X164" s="553"/>
      <c r="Y164" s="43">
        <f t="shared" si="307"/>
        <v>1.7</v>
      </c>
      <c r="Z164" s="47">
        <f t="shared" si="308"/>
        <v>1.7</v>
      </c>
      <c r="AA164" s="43">
        <f t="shared" si="309"/>
        <v>1</v>
      </c>
      <c r="AB164" s="48">
        <v>0.09</v>
      </c>
      <c r="AC164" s="48">
        <v>0.11</v>
      </c>
      <c r="AD164" s="48">
        <v>0.1</v>
      </c>
      <c r="AE164" s="43">
        <v>0.1</v>
      </c>
      <c r="AF164" s="43">
        <v>0</v>
      </c>
      <c r="AG164" s="49"/>
      <c r="AH164" s="50"/>
      <c r="AI164" s="50"/>
      <c r="AJ164" s="240">
        <v>25547069.026442572</v>
      </c>
      <c r="AK164" s="240"/>
      <c r="AL164" s="932" t="e">
        <f t="shared" si="231"/>
        <v>#DIV/0!</v>
      </c>
      <c r="AM164" s="50"/>
      <c r="AN164" s="723"/>
      <c r="AO164" s="240">
        <v>22736035.685717437</v>
      </c>
      <c r="AP164" s="240"/>
      <c r="AQ164" s="1155" t="e">
        <f t="shared" si="234"/>
        <v>#DIV/0!</v>
      </c>
      <c r="AR164" s="51">
        <f t="shared" si="235"/>
        <v>0</v>
      </c>
      <c r="AS164" s="51"/>
      <c r="AT164" s="51"/>
      <c r="AU164" s="51"/>
      <c r="AV164" s="51"/>
      <c r="AW164" s="51">
        <f t="shared" si="310"/>
        <v>2811033.3407251351</v>
      </c>
      <c r="AX164" s="51"/>
      <c r="AY164" s="43">
        <f t="shared" si="237"/>
        <v>0</v>
      </c>
      <c r="AZ164" s="49">
        <f>142000000+AG164</f>
        <v>142000000</v>
      </c>
      <c r="BA164" s="45">
        <f t="shared" si="301"/>
        <v>25547069.026442572</v>
      </c>
      <c r="BB164" s="52">
        <f t="shared" si="302"/>
        <v>0.17990893680593362</v>
      </c>
      <c r="BC164" s="1170">
        <f t="shared" si="303"/>
        <v>22736035.685717437</v>
      </c>
      <c r="BD164" s="52">
        <f t="shared" si="304"/>
        <v>0.16011292736420732</v>
      </c>
      <c r="BE164" s="50"/>
      <c r="BF164" s="50" t="s">
        <v>82</v>
      </c>
      <c r="BG164" s="50"/>
      <c r="BH164" s="53" t="s">
        <v>175</v>
      </c>
      <c r="BI164" s="1223"/>
    </row>
    <row r="165" spans="1:61" ht="82.5" customHeight="1" x14ac:dyDescent="0.25">
      <c r="A165" s="39" t="s">
        <v>463</v>
      </c>
      <c r="B165" s="53" t="s">
        <v>464</v>
      </c>
      <c r="C165" s="91" t="s">
        <v>1778</v>
      </c>
      <c r="D165" s="578">
        <v>1</v>
      </c>
      <c r="E165" s="85">
        <v>1</v>
      </c>
      <c r="F165" s="85">
        <v>1</v>
      </c>
      <c r="G165" s="749">
        <v>1</v>
      </c>
      <c r="H165" s="85">
        <v>1</v>
      </c>
      <c r="I165" s="43">
        <v>1</v>
      </c>
      <c r="J165" s="43">
        <v>1</v>
      </c>
      <c r="K165" s="43">
        <v>1</v>
      </c>
      <c r="L165" s="42"/>
      <c r="M165" s="593"/>
      <c r="N165" s="593"/>
      <c r="O165" s="575">
        <f t="shared" si="305"/>
        <v>1</v>
      </c>
      <c r="P165" s="575">
        <f t="shared" si="305"/>
        <v>1</v>
      </c>
      <c r="Q165" s="575">
        <f t="shared" si="305"/>
        <v>1</v>
      </c>
      <c r="R165" s="44">
        <f t="shared" si="306"/>
        <v>1</v>
      </c>
      <c r="S165" s="767" t="s">
        <v>1679</v>
      </c>
      <c r="T165" s="234"/>
      <c r="U165" s="40" t="s">
        <v>1796</v>
      </c>
      <c r="V165" s="544"/>
      <c r="W165" s="45" t="s">
        <v>1807</v>
      </c>
      <c r="X165" s="554" t="s">
        <v>1750</v>
      </c>
      <c r="Y165" s="43">
        <f t="shared" si="307"/>
        <v>4</v>
      </c>
      <c r="Z165" s="698">
        <f t="shared" si="308"/>
        <v>4</v>
      </c>
      <c r="AA165" s="43">
        <f t="shared" si="309"/>
        <v>1</v>
      </c>
      <c r="AB165" s="48">
        <v>0.19</v>
      </c>
      <c r="AC165" s="48">
        <v>0.21</v>
      </c>
      <c r="AD165" s="48">
        <v>0.19</v>
      </c>
      <c r="AE165" s="43">
        <v>0.21</v>
      </c>
      <c r="AF165" s="43">
        <v>0.25</v>
      </c>
      <c r="AG165" s="49">
        <v>100000000</v>
      </c>
      <c r="AH165" s="50"/>
      <c r="AI165" s="50"/>
      <c r="AJ165" s="240">
        <v>88919660.471148491</v>
      </c>
      <c r="AK165" s="240">
        <v>88320627.5</v>
      </c>
      <c r="AL165" s="932">
        <f t="shared" si="231"/>
        <v>0.88320627500000004</v>
      </c>
      <c r="AM165" s="50"/>
      <c r="AN165" s="723"/>
      <c r="AO165" s="240">
        <v>79135519.285651267</v>
      </c>
      <c r="AP165" s="240">
        <v>29597611.75</v>
      </c>
      <c r="AQ165" s="1155">
        <f t="shared" si="234"/>
        <v>0.29597611750000002</v>
      </c>
      <c r="AR165" s="51">
        <f t="shared" si="235"/>
        <v>58723015.75</v>
      </c>
      <c r="AS165" s="51"/>
      <c r="AT165" s="51"/>
      <c r="AU165" s="51"/>
      <c r="AV165" s="51"/>
      <c r="AW165" s="51">
        <f t="shared" si="310"/>
        <v>9784141.1854972243</v>
      </c>
      <c r="AX165" s="51"/>
      <c r="AY165" s="43">
        <f t="shared" si="237"/>
        <v>0</v>
      </c>
      <c r="AZ165" s="49">
        <f>325000000+AG165</f>
        <v>425000000</v>
      </c>
      <c r="BA165" s="45">
        <f t="shared" si="301"/>
        <v>177240287.97114849</v>
      </c>
      <c r="BB165" s="52">
        <f t="shared" si="302"/>
        <v>0.41703597169682</v>
      </c>
      <c r="BC165" s="1170">
        <f t="shared" si="303"/>
        <v>108733131.03565127</v>
      </c>
      <c r="BD165" s="52">
        <f t="shared" si="304"/>
        <v>0.25584266126035593</v>
      </c>
      <c r="BE165" s="50"/>
      <c r="BF165" s="50" t="s">
        <v>82</v>
      </c>
      <c r="BG165" s="50"/>
      <c r="BH165" s="53" t="s">
        <v>175</v>
      </c>
      <c r="BI165" s="1223"/>
    </row>
    <row r="166" spans="1:61" ht="42.75" customHeight="1" x14ac:dyDescent="0.25">
      <c r="A166" s="208" t="s">
        <v>466</v>
      </c>
      <c r="B166" s="53" t="s">
        <v>467</v>
      </c>
      <c r="C166" s="91" t="s">
        <v>1778</v>
      </c>
      <c r="D166" s="578">
        <v>0.75</v>
      </c>
      <c r="E166" s="85">
        <v>0.85</v>
      </c>
      <c r="F166" s="85">
        <v>0.95</v>
      </c>
      <c r="G166" s="749">
        <v>0.95</v>
      </c>
      <c r="H166" s="85">
        <v>0.625</v>
      </c>
      <c r="I166" s="43">
        <v>0.7</v>
      </c>
      <c r="J166" s="303">
        <v>0.83599999999999997</v>
      </c>
      <c r="K166" s="44">
        <v>0.61929999999999996</v>
      </c>
      <c r="L166" s="69"/>
      <c r="M166" s="593"/>
      <c r="N166" s="593"/>
      <c r="O166" s="576">
        <f t="shared" si="305"/>
        <v>0.83333333333333337</v>
      </c>
      <c r="P166" s="576">
        <f t="shared" si="305"/>
        <v>0.82352941176470584</v>
      </c>
      <c r="Q166" s="576">
        <f t="shared" si="305"/>
        <v>0.88</v>
      </c>
      <c r="R166" s="44">
        <f t="shared" si="306"/>
        <v>0.6518947368421053</v>
      </c>
      <c r="S166" s="767" t="s">
        <v>1703</v>
      </c>
      <c r="T166" s="234"/>
      <c r="U166" s="40" t="s">
        <v>1796</v>
      </c>
      <c r="V166" s="40"/>
      <c r="W166" s="545" t="s">
        <v>1807</v>
      </c>
      <c r="X166" s="554" t="s">
        <v>1750</v>
      </c>
      <c r="Y166" s="43">
        <f t="shared" si="307"/>
        <v>3.5</v>
      </c>
      <c r="Z166" s="697">
        <f t="shared" si="308"/>
        <v>2.7803</v>
      </c>
      <c r="AA166" s="44">
        <f t="shared" si="309"/>
        <v>0.79437142857142862</v>
      </c>
      <c r="AB166" s="48">
        <v>0.04</v>
      </c>
      <c r="AC166" s="48">
        <v>0.05</v>
      </c>
      <c r="AD166" s="48">
        <v>0.04</v>
      </c>
      <c r="AE166" s="43">
        <v>0.06</v>
      </c>
      <c r="AF166" s="43">
        <v>0.1</v>
      </c>
      <c r="AG166" s="49">
        <v>10000000</v>
      </c>
      <c r="AH166" s="50"/>
      <c r="AI166" s="50"/>
      <c r="AJ166" s="240">
        <v>12773534.513221286</v>
      </c>
      <c r="AK166" s="240">
        <v>8832062.75</v>
      </c>
      <c r="AL166" s="932">
        <f t="shared" si="231"/>
        <v>0.88320627500000004</v>
      </c>
      <c r="AM166" s="50"/>
      <c r="AN166" s="723"/>
      <c r="AO166" s="240">
        <v>11368017.842858719</v>
      </c>
      <c r="AP166" s="240">
        <v>2959761.1750000003</v>
      </c>
      <c r="AQ166" s="1155">
        <f t="shared" si="234"/>
        <v>0.29597611750000002</v>
      </c>
      <c r="AR166" s="51">
        <f t="shared" si="235"/>
        <v>5872301.5749999993</v>
      </c>
      <c r="AS166" s="51"/>
      <c r="AT166" s="51"/>
      <c r="AU166" s="51"/>
      <c r="AV166" s="51"/>
      <c r="AW166" s="51">
        <f t="shared" si="310"/>
        <v>1405516.6703625675</v>
      </c>
      <c r="AX166" s="51"/>
      <c r="AY166" s="43">
        <f t="shared" si="237"/>
        <v>0</v>
      </c>
      <c r="AZ166" s="49">
        <f>222000000+AG166</f>
        <v>232000000</v>
      </c>
      <c r="BA166" s="45">
        <f t="shared" si="301"/>
        <v>21605597.263221286</v>
      </c>
      <c r="BB166" s="52">
        <f t="shared" si="302"/>
        <v>9.3127574410436578E-2</v>
      </c>
      <c r="BC166" s="1170">
        <f t="shared" si="303"/>
        <v>14327779.017858719</v>
      </c>
      <c r="BD166" s="52">
        <f t="shared" si="304"/>
        <v>6.1757668180425516E-2</v>
      </c>
      <c r="BE166" s="50"/>
      <c r="BF166" s="50" t="s">
        <v>82</v>
      </c>
      <c r="BG166" s="50"/>
      <c r="BH166" s="57"/>
      <c r="BI166" s="1224"/>
    </row>
    <row r="167" spans="1:61" ht="39" customHeight="1" x14ac:dyDescent="0.25">
      <c r="A167" s="208" t="s">
        <v>468</v>
      </c>
      <c r="B167" s="53" t="s">
        <v>469</v>
      </c>
      <c r="C167" s="91" t="s">
        <v>1778</v>
      </c>
      <c r="D167" s="578">
        <v>1</v>
      </c>
      <c r="E167" s="85">
        <v>1</v>
      </c>
      <c r="F167" s="85">
        <v>1</v>
      </c>
      <c r="G167" s="749">
        <v>1</v>
      </c>
      <c r="H167" s="85">
        <v>1</v>
      </c>
      <c r="I167" s="43">
        <v>1</v>
      </c>
      <c r="J167" s="43">
        <v>1</v>
      </c>
      <c r="K167" s="43">
        <v>1</v>
      </c>
      <c r="L167" s="42"/>
      <c r="M167" s="593"/>
      <c r="N167" s="593"/>
      <c r="O167" s="575">
        <f t="shared" si="305"/>
        <v>1</v>
      </c>
      <c r="P167" s="575">
        <f t="shared" si="305"/>
        <v>1</v>
      </c>
      <c r="Q167" s="575">
        <f t="shared" si="305"/>
        <v>1</v>
      </c>
      <c r="R167" s="44">
        <f t="shared" si="306"/>
        <v>1</v>
      </c>
      <c r="S167" s="1121" t="s">
        <v>1856</v>
      </c>
      <c r="T167" s="234"/>
      <c r="U167" s="543" t="s">
        <v>1804</v>
      </c>
      <c r="V167" s="40"/>
      <c r="W167" s="545"/>
      <c r="X167" s="553"/>
      <c r="Y167" s="43">
        <f t="shared" si="307"/>
        <v>4</v>
      </c>
      <c r="Z167" s="698">
        <f t="shared" si="308"/>
        <v>4</v>
      </c>
      <c r="AA167" s="43">
        <f t="shared" si="309"/>
        <v>1</v>
      </c>
      <c r="AB167" s="48">
        <v>0.03</v>
      </c>
      <c r="AC167" s="48">
        <v>0.05</v>
      </c>
      <c r="AD167" s="48">
        <v>0.03</v>
      </c>
      <c r="AE167" s="43">
        <v>0.05</v>
      </c>
      <c r="AF167" s="43">
        <v>0.08</v>
      </c>
      <c r="AG167" s="49">
        <v>0</v>
      </c>
      <c r="AH167" s="50"/>
      <c r="AI167" s="50"/>
      <c r="AJ167" s="240">
        <v>12773534.513221286</v>
      </c>
      <c r="AK167" s="240"/>
      <c r="AL167" s="932" t="e">
        <f t="shared" si="231"/>
        <v>#DIV/0!</v>
      </c>
      <c r="AM167" s="50"/>
      <c r="AN167" s="723"/>
      <c r="AO167" s="240">
        <v>11368017.842858719</v>
      </c>
      <c r="AP167" s="240"/>
      <c r="AQ167" s="1155" t="e">
        <f t="shared" si="234"/>
        <v>#DIV/0!</v>
      </c>
      <c r="AR167" s="51">
        <f t="shared" si="235"/>
        <v>0</v>
      </c>
      <c r="AS167" s="51"/>
      <c r="AT167" s="51"/>
      <c r="AU167" s="51"/>
      <c r="AV167" s="51"/>
      <c r="AW167" s="51">
        <f t="shared" si="310"/>
        <v>1405516.6703625675</v>
      </c>
      <c r="AX167" s="51"/>
      <c r="AY167" s="43">
        <f t="shared" si="237"/>
        <v>0</v>
      </c>
      <c r="AZ167" s="49">
        <f>135000000+AG167</f>
        <v>135000000</v>
      </c>
      <c r="BA167" s="45">
        <f t="shared" si="301"/>
        <v>12773534.513221286</v>
      </c>
      <c r="BB167" s="52">
        <f t="shared" si="302"/>
        <v>9.4618774172009534E-2</v>
      </c>
      <c r="BC167" s="1170">
        <f t="shared" si="303"/>
        <v>11368017.842858719</v>
      </c>
      <c r="BD167" s="52">
        <f t="shared" si="304"/>
        <v>8.4207539576731244E-2</v>
      </c>
      <c r="BE167" s="50"/>
      <c r="BF167" s="50" t="s">
        <v>82</v>
      </c>
      <c r="BG167" s="50"/>
      <c r="BH167" s="57"/>
      <c r="BI167" s="1222" t="s">
        <v>470</v>
      </c>
    </row>
    <row r="168" spans="1:61" ht="44.25" customHeight="1" x14ac:dyDescent="0.25">
      <c r="A168" s="77" t="s">
        <v>471</v>
      </c>
      <c r="B168" s="53" t="s">
        <v>472</v>
      </c>
      <c r="C168" s="53" t="s">
        <v>472</v>
      </c>
      <c r="D168" s="53">
        <v>0.3</v>
      </c>
      <c r="E168" s="111">
        <v>0.7</v>
      </c>
      <c r="F168" s="111">
        <v>0</v>
      </c>
      <c r="G168" s="748">
        <v>0</v>
      </c>
      <c r="H168" s="111">
        <v>0.1</v>
      </c>
      <c r="I168" s="84">
        <v>0.7</v>
      </c>
      <c r="J168" s="613" t="s">
        <v>163</v>
      </c>
      <c r="K168" s="613" t="s">
        <v>163</v>
      </c>
      <c r="L168" s="84">
        <v>0.2</v>
      </c>
      <c r="M168" s="596"/>
      <c r="N168" s="596"/>
      <c r="O168" s="575">
        <f t="shared" si="305"/>
        <v>1</v>
      </c>
      <c r="P168" s="575">
        <f t="shared" si="305"/>
        <v>1</v>
      </c>
      <c r="Q168" s="575">
        <f t="shared" si="305"/>
        <v>0</v>
      </c>
      <c r="R168" s="44">
        <f t="shared" si="306"/>
        <v>0</v>
      </c>
      <c r="S168" s="101"/>
      <c r="T168" s="234"/>
      <c r="U168" s="543" t="s">
        <v>1804</v>
      </c>
      <c r="V168" s="544"/>
      <c r="W168" s="545"/>
      <c r="X168" s="553"/>
      <c r="Y168" s="40">
        <f t="shared" si="307"/>
        <v>1</v>
      </c>
      <c r="Z168" s="47">
        <f t="shared" si="308"/>
        <v>1</v>
      </c>
      <c r="AA168" s="716">
        <f t="shared" si="309"/>
        <v>1</v>
      </c>
      <c r="AB168" s="48">
        <v>0.02</v>
      </c>
      <c r="AC168" s="48">
        <v>0.04</v>
      </c>
      <c r="AD168" s="48">
        <v>0.02</v>
      </c>
      <c r="AE168" s="43">
        <v>0</v>
      </c>
      <c r="AF168" s="43">
        <v>0</v>
      </c>
      <c r="AG168" s="49"/>
      <c r="AH168" s="50"/>
      <c r="AI168" s="50"/>
      <c r="AJ168" s="240">
        <v>0</v>
      </c>
      <c r="AK168" s="240"/>
      <c r="AL168" s="932" t="e">
        <f t="shared" si="231"/>
        <v>#DIV/0!</v>
      </c>
      <c r="AM168" s="50"/>
      <c r="AN168" s="723"/>
      <c r="AO168" s="240">
        <v>0</v>
      </c>
      <c r="AP168" s="240"/>
      <c r="AQ168" s="1155" t="e">
        <f t="shared" si="234"/>
        <v>#DIV/0!</v>
      </c>
      <c r="AR168" s="51">
        <f t="shared" si="235"/>
        <v>0</v>
      </c>
      <c r="AS168" s="51"/>
      <c r="AT168" s="51"/>
      <c r="AU168" s="51"/>
      <c r="AV168" s="51"/>
      <c r="AW168" s="51">
        <f t="shared" si="310"/>
        <v>0</v>
      </c>
      <c r="AX168" s="51"/>
      <c r="AY168" s="43" t="e">
        <f t="shared" si="237"/>
        <v>#DIV/0!</v>
      </c>
      <c r="AZ168" s="49">
        <f>120000000+AG168</f>
        <v>120000000</v>
      </c>
      <c r="BA168" s="45">
        <f t="shared" si="301"/>
        <v>0</v>
      </c>
      <c r="BB168" s="52">
        <f t="shared" si="302"/>
        <v>0</v>
      </c>
      <c r="BC168" s="1170">
        <f t="shared" si="303"/>
        <v>0</v>
      </c>
      <c r="BD168" s="52">
        <f t="shared" si="304"/>
        <v>0</v>
      </c>
      <c r="BE168" s="50"/>
      <c r="BF168" s="50" t="s">
        <v>82</v>
      </c>
      <c r="BG168" s="50"/>
      <c r="BH168" s="53" t="s">
        <v>175</v>
      </c>
      <c r="BI168" s="1223"/>
    </row>
    <row r="169" spans="1:61" ht="51" customHeight="1" x14ac:dyDescent="0.25">
      <c r="A169" s="77" t="s">
        <v>474</v>
      </c>
      <c r="B169" s="53" t="s">
        <v>475</v>
      </c>
      <c r="C169" s="68" t="s">
        <v>1776</v>
      </c>
      <c r="D169" s="53">
        <v>0</v>
      </c>
      <c r="E169" s="76">
        <v>1</v>
      </c>
      <c r="F169" s="76">
        <v>0</v>
      </c>
      <c r="G169" s="748">
        <v>0</v>
      </c>
      <c r="H169" s="613" t="s">
        <v>163</v>
      </c>
      <c r="I169" s="84">
        <v>0</v>
      </c>
      <c r="J169" s="613" t="s">
        <v>163</v>
      </c>
      <c r="K169" s="42" t="s">
        <v>163</v>
      </c>
      <c r="L169" s="42"/>
      <c r="M169" s="700">
        <v>1</v>
      </c>
      <c r="N169" s="700"/>
      <c r="O169" s="613">
        <f t="shared" si="305"/>
        <v>0</v>
      </c>
      <c r="P169" s="613">
        <f t="shared" si="305"/>
        <v>1</v>
      </c>
      <c r="Q169" s="613">
        <f t="shared" si="305"/>
        <v>0</v>
      </c>
      <c r="R169" s="44">
        <f t="shared" si="306"/>
        <v>0</v>
      </c>
      <c r="S169" s="101"/>
      <c r="T169" s="234"/>
      <c r="U169" s="543" t="s">
        <v>1804</v>
      </c>
      <c r="V169" s="544"/>
      <c r="W169" s="545"/>
      <c r="X169" s="553"/>
      <c r="Y169" s="40">
        <f t="shared" si="307"/>
        <v>1</v>
      </c>
      <c r="Z169" s="581">
        <f t="shared" si="308"/>
        <v>1</v>
      </c>
      <c r="AA169" s="43">
        <f t="shared" si="309"/>
        <v>1</v>
      </c>
      <c r="AB169" s="48">
        <v>0.02</v>
      </c>
      <c r="AC169" s="48">
        <v>0</v>
      </c>
      <c r="AD169" s="48">
        <v>0.02</v>
      </c>
      <c r="AE169" s="43">
        <v>0</v>
      </c>
      <c r="AF169" s="43">
        <v>0</v>
      </c>
      <c r="AG169" s="49"/>
      <c r="AH169" s="50"/>
      <c r="AI169" s="50"/>
      <c r="AJ169" s="240">
        <v>0</v>
      </c>
      <c r="AK169" s="240"/>
      <c r="AL169" s="932" t="e">
        <f t="shared" si="231"/>
        <v>#DIV/0!</v>
      </c>
      <c r="AM169" s="50"/>
      <c r="AN169" s="723"/>
      <c r="AO169" s="240">
        <v>0</v>
      </c>
      <c r="AP169" s="240"/>
      <c r="AQ169" s="1155" t="e">
        <f t="shared" si="234"/>
        <v>#DIV/0!</v>
      </c>
      <c r="AR169" s="51">
        <f t="shared" si="235"/>
        <v>0</v>
      </c>
      <c r="AS169" s="51"/>
      <c r="AT169" s="51"/>
      <c r="AU169" s="51"/>
      <c r="AV169" s="51"/>
      <c r="AW169" s="51">
        <f t="shared" si="310"/>
        <v>0</v>
      </c>
      <c r="AX169" s="51"/>
      <c r="AY169" s="43" t="e">
        <f t="shared" si="237"/>
        <v>#DIV/0!</v>
      </c>
      <c r="AZ169" s="49">
        <f>30000000+AG169</f>
        <v>30000000</v>
      </c>
      <c r="BA169" s="45">
        <f t="shared" si="301"/>
        <v>0</v>
      </c>
      <c r="BB169" s="52">
        <f t="shared" si="302"/>
        <v>0</v>
      </c>
      <c r="BC169" s="1170">
        <f t="shared" si="303"/>
        <v>0</v>
      </c>
      <c r="BD169" s="52">
        <f t="shared" si="304"/>
        <v>0</v>
      </c>
      <c r="BE169" s="50"/>
      <c r="BF169" s="50" t="s">
        <v>82</v>
      </c>
      <c r="BG169" s="50"/>
      <c r="BH169" s="57"/>
      <c r="BI169" s="1223"/>
    </row>
    <row r="170" spans="1:61" ht="38.25" customHeight="1" x14ac:dyDescent="0.25">
      <c r="A170" s="77" t="s">
        <v>1701</v>
      </c>
      <c r="B170" s="53" t="s">
        <v>478</v>
      </c>
      <c r="C170" s="68" t="s">
        <v>1776</v>
      </c>
      <c r="D170" s="53">
        <v>0</v>
      </c>
      <c r="E170" s="76">
        <v>0</v>
      </c>
      <c r="F170" s="76">
        <v>0</v>
      </c>
      <c r="G170" s="748">
        <v>1</v>
      </c>
      <c r="H170" s="613" t="s">
        <v>163</v>
      </c>
      <c r="I170" s="613" t="s">
        <v>163</v>
      </c>
      <c r="J170" s="613" t="s">
        <v>163</v>
      </c>
      <c r="K170" s="1118">
        <v>0</v>
      </c>
      <c r="L170" s="42"/>
      <c r="M170" s="593"/>
      <c r="N170" s="593"/>
      <c r="O170" s="613">
        <f t="shared" si="305"/>
        <v>0</v>
      </c>
      <c r="P170" s="613">
        <f t="shared" si="305"/>
        <v>0</v>
      </c>
      <c r="Q170" s="613">
        <f t="shared" si="305"/>
        <v>0</v>
      </c>
      <c r="R170" s="67">
        <f t="shared" si="306"/>
        <v>0</v>
      </c>
      <c r="S170" s="1122" t="s">
        <v>1702</v>
      </c>
      <c r="T170" s="234"/>
      <c r="U170" s="40" t="s">
        <v>1804</v>
      </c>
      <c r="V170" s="544"/>
      <c r="W170" s="545"/>
      <c r="X170" s="554"/>
      <c r="Y170" s="40">
        <f t="shared" si="307"/>
        <v>1</v>
      </c>
      <c r="Z170" s="47">
        <f t="shared" si="308"/>
        <v>0</v>
      </c>
      <c r="AA170" s="43">
        <f t="shared" si="309"/>
        <v>0</v>
      </c>
      <c r="AB170" s="48">
        <v>0.02</v>
      </c>
      <c r="AC170" s="48">
        <v>0</v>
      </c>
      <c r="AD170" s="48">
        <v>0</v>
      </c>
      <c r="AE170" s="43">
        <v>0</v>
      </c>
      <c r="AF170" s="43">
        <v>7.0000000000000007E-2</v>
      </c>
      <c r="AG170" s="70">
        <v>20000000</v>
      </c>
      <c r="AH170" s="50"/>
      <c r="AI170" s="50"/>
      <c r="AJ170" s="240">
        <v>0</v>
      </c>
      <c r="AK170" s="240">
        <v>17664125.5</v>
      </c>
      <c r="AL170" s="932">
        <f t="shared" si="231"/>
        <v>0.88320627500000004</v>
      </c>
      <c r="AM170" s="50"/>
      <c r="AN170" s="723"/>
      <c r="AO170" s="240">
        <v>0</v>
      </c>
      <c r="AP170" s="240">
        <v>5919522.3500000006</v>
      </c>
      <c r="AQ170" s="1155">
        <f t="shared" si="234"/>
        <v>0.29597611750000002</v>
      </c>
      <c r="AR170" s="51">
        <f t="shared" si="235"/>
        <v>11744603.149999999</v>
      </c>
      <c r="AS170" s="51"/>
      <c r="AT170" s="51"/>
      <c r="AU170" s="51"/>
      <c r="AV170" s="51"/>
      <c r="AW170" s="51">
        <f t="shared" si="310"/>
        <v>0</v>
      </c>
      <c r="AX170" s="51"/>
      <c r="AY170" s="43" t="e">
        <f t="shared" si="237"/>
        <v>#DIV/0!</v>
      </c>
      <c r="AZ170" s="70">
        <f>20000000+AG170</f>
        <v>40000000</v>
      </c>
      <c r="BA170" s="45">
        <f t="shared" si="301"/>
        <v>17664125.5</v>
      </c>
      <c r="BB170" s="52">
        <f t="shared" si="302"/>
        <v>0.44160313750000002</v>
      </c>
      <c r="BC170" s="1170">
        <f t="shared" si="303"/>
        <v>5919522.3500000006</v>
      </c>
      <c r="BD170" s="52">
        <f t="shared" si="304"/>
        <v>0.14798805875000001</v>
      </c>
      <c r="BE170" s="50"/>
      <c r="BF170" s="50" t="s">
        <v>82</v>
      </c>
      <c r="BG170" s="50"/>
      <c r="BH170" s="57"/>
      <c r="BI170" s="1224"/>
    </row>
    <row r="171" spans="1:61" ht="49.5" customHeight="1" x14ac:dyDescent="0.25">
      <c r="A171" s="77" t="s">
        <v>479</v>
      </c>
      <c r="B171" s="91" t="s">
        <v>480</v>
      </c>
      <c r="C171" s="68" t="s">
        <v>1776</v>
      </c>
      <c r="D171" s="91">
        <v>0</v>
      </c>
      <c r="E171" s="111">
        <v>0</v>
      </c>
      <c r="F171" s="111">
        <v>0</v>
      </c>
      <c r="G171" s="748">
        <v>1</v>
      </c>
      <c r="H171" s="613" t="s">
        <v>163</v>
      </c>
      <c r="I171" s="613" t="s">
        <v>163</v>
      </c>
      <c r="J171" s="613" t="s">
        <v>163</v>
      </c>
      <c r="K171" s="42"/>
      <c r="L171" s="42"/>
      <c r="M171" s="593"/>
      <c r="N171" s="593"/>
      <c r="O171" s="575">
        <f t="shared" si="305"/>
        <v>0</v>
      </c>
      <c r="P171" s="575">
        <f t="shared" si="305"/>
        <v>0</v>
      </c>
      <c r="Q171" s="575">
        <f t="shared" si="305"/>
        <v>0</v>
      </c>
      <c r="R171" s="67">
        <f t="shared" si="306"/>
        <v>0</v>
      </c>
      <c r="S171" s="767" t="s">
        <v>1702</v>
      </c>
      <c r="T171" s="234"/>
      <c r="U171" s="40" t="s">
        <v>1804</v>
      </c>
      <c r="V171" s="544"/>
      <c r="W171" s="545"/>
      <c r="X171" s="554"/>
      <c r="Y171" s="40">
        <f t="shared" si="307"/>
        <v>1</v>
      </c>
      <c r="Z171" s="47">
        <f t="shared" si="308"/>
        <v>0</v>
      </c>
      <c r="AA171" s="43">
        <f t="shared" si="309"/>
        <v>0</v>
      </c>
      <c r="AB171" s="48">
        <v>0.01</v>
      </c>
      <c r="AC171" s="48">
        <v>0</v>
      </c>
      <c r="AD171" s="48">
        <v>0</v>
      </c>
      <c r="AE171" s="43">
        <v>0</v>
      </c>
      <c r="AF171" s="43">
        <v>0.05</v>
      </c>
      <c r="AG171" s="70">
        <v>20000000</v>
      </c>
      <c r="AH171" s="50"/>
      <c r="AI171" s="50"/>
      <c r="AJ171" s="240">
        <v>0</v>
      </c>
      <c r="AK171" s="240">
        <v>17664125.5</v>
      </c>
      <c r="AL171" s="932">
        <f t="shared" si="231"/>
        <v>0.88320627500000004</v>
      </c>
      <c r="AM171" s="50"/>
      <c r="AN171" s="723"/>
      <c r="AO171" s="240">
        <v>0</v>
      </c>
      <c r="AP171" s="240">
        <v>5919522.3500000006</v>
      </c>
      <c r="AQ171" s="1155">
        <f t="shared" si="234"/>
        <v>0.29597611750000002</v>
      </c>
      <c r="AR171" s="51">
        <f t="shared" si="235"/>
        <v>11744603.149999999</v>
      </c>
      <c r="AS171" s="51"/>
      <c r="AT171" s="51"/>
      <c r="AU171" s="51"/>
      <c r="AV171" s="51"/>
      <c r="AW171" s="51">
        <f t="shared" si="310"/>
        <v>0</v>
      </c>
      <c r="AX171" s="51"/>
      <c r="AY171" s="43" t="e">
        <f t="shared" si="237"/>
        <v>#DIV/0!</v>
      </c>
      <c r="AZ171" s="70">
        <f>100000000+AG171</f>
        <v>120000000</v>
      </c>
      <c r="BA171" s="45">
        <f t="shared" si="301"/>
        <v>17664125.5</v>
      </c>
      <c r="BB171" s="52">
        <f t="shared" si="302"/>
        <v>0.14720104583333332</v>
      </c>
      <c r="BC171" s="1170">
        <f t="shared" si="303"/>
        <v>5919522.3500000006</v>
      </c>
      <c r="BD171" s="52">
        <f t="shared" si="304"/>
        <v>4.9329352916666673E-2</v>
      </c>
      <c r="BE171" s="50"/>
      <c r="BF171" s="50" t="s">
        <v>82</v>
      </c>
      <c r="BG171" s="50"/>
      <c r="BH171" s="57"/>
      <c r="BI171" s="567"/>
    </row>
    <row r="172" spans="1:61" ht="115.5" customHeight="1" x14ac:dyDescent="0.25">
      <c r="A172" s="112" t="s">
        <v>482</v>
      </c>
      <c r="B172" s="91" t="s">
        <v>483</v>
      </c>
      <c r="C172" s="91" t="s">
        <v>1778</v>
      </c>
      <c r="D172" s="577">
        <v>0.1</v>
      </c>
      <c r="E172" s="113">
        <v>0.5</v>
      </c>
      <c r="F172" s="113">
        <v>0.2</v>
      </c>
      <c r="G172" s="749">
        <v>0.2</v>
      </c>
      <c r="H172" s="113">
        <v>0.1</v>
      </c>
      <c r="I172" s="43">
        <v>0.45</v>
      </c>
      <c r="J172" s="43">
        <v>0.2</v>
      </c>
      <c r="K172" s="43">
        <v>0.2</v>
      </c>
      <c r="L172" s="42"/>
      <c r="M172" s="594"/>
      <c r="N172" s="594"/>
      <c r="O172" s="687">
        <f t="shared" si="305"/>
        <v>1</v>
      </c>
      <c r="P172" s="687">
        <f t="shared" si="305"/>
        <v>0.9</v>
      </c>
      <c r="Q172" s="687">
        <f t="shared" si="305"/>
        <v>1</v>
      </c>
      <c r="R172" s="44">
        <f t="shared" si="306"/>
        <v>1</v>
      </c>
      <c r="S172" s="101" t="s">
        <v>1644</v>
      </c>
      <c r="T172" s="234"/>
      <c r="U172" s="40" t="s">
        <v>1796</v>
      </c>
      <c r="V172" s="40"/>
      <c r="W172" s="545" t="s">
        <v>1807</v>
      </c>
      <c r="X172" s="554" t="s">
        <v>1750</v>
      </c>
      <c r="Y172" s="43">
        <f t="shared" si="307"/>
        <v>1</v>
      </c>
      <c r="Z172" s="698">
        <f t="shared" si="308"/>
        <v>0.95</v>
      </c>
      <c r="AA172" s="43">
        <f t="shared" si="309"/>
        <v>0.95</v>
      </c>
      <c r="AB172" s="48">
        <v>0.05</v>
      </c>
      <c r="AC172" s="48">
        <v>7.0000000000000007E-2</v>
      </c>
      <c r="AD172" s="48">
        <v>0.05</v>
      </c>
      <c r="AE172" s="43">
        <v>7.0000000000000007E-2</v>
      </c>
      <c r="AF172" s="43">
        <v>0.1</v>
      </c>
      <c r="AG172" s="70">
        <v>80000000</v>
      </c>
      <c r="AH172" s="50"/>
      <c r="AI172" s="50"/>
      <c r="AJ172" s="240">
        <v>76641207.079327703</v>
      </c>
      <c r="AK172" s="240">
        <v>70656502</v>
      </c>
      <c r="AL172" s="932">
        <f t="shared" si="231"/>
        <v>0.88320627500000004</v>
      </c>
      <c r="AM172" s="50"/>
      <c r="AN172" s="723"/>
      <c r="AO172" s="240">
        <v>68208107.057152301</v>
      </c>
      <c r="AP172" s="240">
        <v>23678089.400000002</v>
      </c>
      <c r="AQ172" s="1155">
        <f t="shared" si="234"/>
        <v>0.29597611750000002</v>
      </c>
      <c r="AR172" s="51">
        <f t="shared" si="235"/>
        <v>46978412.599999994</v>
      </c>
      <c r="AS172" s="51"/>
      <c r="AT172" s="51"/>
      <c r="AU172" s="51"/>
      <c r="AV172" s="51"/>
      <c r="AW172" s="51">
        <f t="shared" si="310"/>
        <v>8433100.0221754014</v>
      </c>
      <c r="AX172" s="51"/>
      <c r="AY172" s="43">
        <f t="shared" si="237"/>
        <v>0</v>
      </c>
      <c r="AZ172" s="70">
        <f>+AG172</f>
        <v>80000000</v>
      </c>
      <c r="BA172" s="45">
        <f t="shared" si="301"/>
        <v>147297709.0793277</v>
      </c>
      <c r="BB172" s="52">
        <f t="shared" si="302"/>
        <v>1.8412213634915964</v>
      </c>
      <c r="BC172" s="1170">
        <f t="shared" si="303"/>
        <v>91886196.457152307</v>
      </c>
      <c r="BD172" s="52">
        <f t="shared" si="304"/>
        <v>1.1485774557144037</v>
      </c>
      <c r="BE172" s="50"/>
      <c r="BF172" s="50" t="s">
        <v>82</v>
      </c>
      <c r="BG172" s="50"/>
      <c r="BH172" s="53" t="s">
        <v>175</v>
      </c>
      <c r="BI172" s="1252" t="s">
        <v>484</v>
      </c>
    </row>
    <row r="173" spans="1:61" ht="108" customHeight="1" x14ac:dyDescent="0.25">
      <c r="A173" s="79" t="s">
        <v>485</v>
      </c>
      <c r="B173" s="91" t="s">
        <v>486</v>
      </c>
      <c r="C173" s="91" t="s">
        <v>1778</v>
      </c>
      <c r="D173" s="577">
        <v>0</v>
      </c>
      <c r="E173" s="113">
        <v>0.1</v>
      </c>
      <c r="F173" s="113">
        <v>0.6</v>
      </c>
      <c r="G173" s="749">
        <v>1</v>
      </c>
      <c r="H173" s="113" t="s">
        <v>163</v>
      </c>
      <c r="I173" s="43">
        <v>0.05</v>
      </c>
      <c r="J173" s="43">
        <v>0</v>
      </c>
      <c r="K173" s="43">
        <v>0.6</v>
      </c>
      <c r="L173" s="42"/>
      <c r="M173" s="594"/>
      <c r="N173" s="594"/>
      <c r="O173" s="687">
        <f t="shared" si="305"/>
        <v>0</v>
      </c>
      <c r="P173" s="687">
        <f t="shared" si="305"/>
        <v>0.5</v>
      </c>
      <c r="Q173" s="687">
        <f t="shared" si="305"/>
        <v>0</v>
      </c>
      <c r="R173" s="44">
        <f t="shared" si="306"/>
        <v>0.6</v>
      </c>
      <c r="S173" s="101" t="s">
        <v>1645</v>
      </c>
      <c r="T173" s="234"/>
      <c r="U173" s="40" t="s">
        <v>1796</v>
      </c>
      <c r="V173" s="40"/>
      <c r="W173" s="545" t="s">
        <v>1807</v>
      </c>
      <c r="X173" s="554" t="s">
        <v>1750</v>
      </c>
      <c r="Y173" s="43">
        <f t="shared" si="307"/>
        <v>1.7</v>
      </c>
      <c r="Z173" s="698">
        <f t="shared" si="308"/>
        <v>0.65</v>
      </c>
      <c r="AA173" s="43">
        <f t="shared" si="309"/>
        <v>0.38235294117647062</v>
      </c>
      <c r="AB173" s="48">
        <v>0.04</v>
      </c>
      <c r="AC173" s="48">
        <v>0</v>
      </c>
      <c r="AD173" s="48">
        <v>0.05</v>
      </c>
      <c r="AE173" s="43">
        <v>0.05</v>
      </c>
      <c r="AF173" s="43">
        <v>0.09</v>
      </c>
      <c r="AG173" s="49">
        <v>20000000</v>
      </c>
      <c r="AH173" s="50"/>
      <c r="AI173" s="50"/>
      <c r="AJ173" s="240">
        <v>31933836.283053216</v>
      </c>
      <c r="AK173" s="240">
        <v>17664125.5</v>
      </c>
      <c r="AL173" s="932">
        <f t="shared" si="231"/>
        <v>0.88320627500000004</v>
      </c>
      <c r="AM173" s="50"/>
      <c r="AN173" s="723"/>
      <c r="AO173" s="240">
        <v>28420044.607146796</v>
      </c>
      <c r="AP173" s="240">
        <v>5919522.3500000006</v>
      </c>
      <c r="AQ173" s="1155">
        <f t="shared" si="234"/>
        <v>0.29597611750000002</v>
      </c>
      <c r="AR173" s="51">
        <f t="shared" si="235"/>
        <v>11744603.149999999</v>
      </c>
      <c r="AS173" s="51"/>
      <c r="AT173" s="51"/>
      <c r="AU173" s="51"/>
      <c r="AV173" s="51"/>
      <c r="AW173" s="51">
        <f t="shared" si="310"/>
        <v>3513791.6759064198</v>
      </c>
      <c r="AX173" s="51"/>
      <c r="AY173" s="43">
        <f t="shared" si="237"/>
        <v>0</v>
      </c>
      <c r="AZ173" s="49">
        <f>580000000+AG173</f>
        <v>600000000</v>
      </c>
      <c r="BA173" s="45">
        <f t="shared" si="301"/>
        <v>49597961.783053219</v>
      </c>
      <c r="BB173" s="52">
        <f t="shared" si="302"/>
        <v>8.2663269638422035E-2</v>
      </c>
      <c r="BC173" s="1170">
        <f t="shared" si="303"/>
        <v>34339566.957146794</v>
      </c>
      <c r="BD173" s="52">
        <f t="shared" si="304"/>
        <v>5.7232611595244655E-2</v>
      </c>
      <c r="BE173" s="50"/>
      <c r="BF173" s="50" t="s">
        <v>82</v>
      </c>
      <c r="BG173" s="50"/>
      <c r="BH173" s="57"/>
      <c r="BI173" s="1253"/>
    </row>
    <row r="174" spans="1:61" ht="37.5" customHeight="1" x14ac:dyDescent="0.25">
      <c r="A174" s="32" t="s">
        <v>487</v>
      </c>
      <c r="B174" s="33"/>
      <c r="C174" s="33"/>
      <c r="D174" s="33"/>
      <c r="E174" s="34"/>
      <c r="F174" s="34"/>
      <c r="G174" s="745"/>
      <c r="H174" s="34"/>
      <c r="I174" s="34"/>
      <c r="J174" s="34"/>
      <c r="K174" s="34"/>
      <c r="L174" s="34"/>
      <c r="M174" s="34"/>
      <c r="N174" s="34"/>
      <c r="O174" s="607">
        <f>+SUMPRODUCT(O175:O184,AC175:AC184)</f>
        <v>0.87200000000000011</v>
      </c>
      <c r="P174" s="607">
        <f>+SUMPRODUCT(P175:P184,AD175:AD184)</f>
        <v>0.97658333333333325</v>
      </c>
      <c r="Q174" s="607">
        <f>+SUMPRODUCT(Q175:Q184,AE175:AE184)</f>
        <v>0.9546</v>
      </c>
      <c r="R174" s="607">
        <f>+SUMPRODUCT(R175:R184,AF175:AF184)</f>
        <v>0.80933333333333335</v>
      </c>
      <c r="S174" s="32"/>
      <c r="T174" s="32"/>
      <c r="U174" s="33"/>
      <c r="V174" s="33"/>
      <c r="W174" s="33"/>
      <c r="X174" s="32"/>
      <c r="Y174" s="11"/>
      <c r="Z174" s="36"/>
      <c r="AA174" s="12">
        <f>+SUMPRODUCT(AA175:AA184,AB175:AB184)</f>
        <v>0.89359558823529428</v>
      </c>
      <c r="AB174" s="35">
        <v>0.2</v>
      </c>
      <c r="AC174" s="35">
        <v>0.2</v>
      </c>
      <c r="AD174" s="35">
        <v>0.2</v>
      </c>
      <c r="AE174" s="35">
        <v>0.2</v>
      </c>
      <c r="AF174" s="35">
        <v>0.2</v>
      </c>
      <c r="AG174" s="33">
        <f>SUM(AG175:AG184)</f>
        <v>400000000</v>
      </c>
      <c r="AH174" s="33">
        <v>717484797.5</v>
      </c>
      <c r="AI174" s="33">
        <v>620480252.70000005</v>
      </c>
      <c r="AJ174" s="33">
        <f t="shared" ref="AJ174:AK174" si="311">SUM(AJ175:AJ184)</f>
        <v>989426387</v>
      </c>
      <c r="AK174" s="33">
        <f t="shared" si="311"/>
        <v>323886100</v>
      </c>
      <c r="AL174" s="1138">
        <f t="shared" si="231"/>
        <v>0.80971525</v>
      </c>
      <c r="AM174" s="733">
        <v>717484797.5</v>
      </c>
      <c r="AN174" s="725">
        <v>554054640.70000005</v>
      </c>
      <c r="AO174" s="242">
        <f t="shared" ref="AO174" si="312">SUM(AO175:AO184)</f>
        <v>930493772</v>
      </c>
      <c r="AP174" s="242">
        <f t="shared" ref="AP174" si="313">SUM(AP175:AP184)</f>
        <v>115022599</v>
      </c>
      <c r="AQ174" s="1158">
        <f t="shared" si="234"/>
        <v>0.28755649750000001</v>
      </c>
      <c r="AR174" s="37">
        <f t="shared" si="235"/>
        <v>208863501</v>
      </c>
      <c r="AS174" s="37">
        <v>36260000</v>
      </c>
      <c r="AT174" s="37">
        <v>36260000</v>
      </c>
      <c r="AU174" s="530">
        <f>+AI174-AN174</f>
        <v>66425612</v>
      </c>
      <c r="AV174" s="674">
        <v>0</v>
      </c>
      <c r="AW174" s="37">
        <f t="shared" si="310"/>
        <v>58932615</v>
      </c>
      <c r="AX174" s="37">
        <f t="shared" ref="AX174" si="314">SUM(AX175:AX184)</f>
        <v>0</v>
      </c>
      <c r="AY174" s="35">
        <f t="shared" si="237"/>
        <v>0</v>
      </c>
      <c r="AZ174" s="33">
        <f>SUM(AZ175:AZ184)-800000000</f>
        <v>3034082340</v>
      </c>
      <c r="BA174" s="33">
        <f t="shared" si="301"/>
        <v>2651277537.1999998</v>
      </c>
      <c r="BB174" s="35">
        <f t="shared" si="302"/>
        <v>0.87383176858674172</v>
      </c>
      <c r="BC174" s="1172">
        <f t="shared" si="303"/>
        <v>2353315809.1999998</v>
      </c>
      <c r="BD174" s="35">
        <f t="shared" si="304"/>
        <v>0.7756268767577349</v>
      </c>
      <c r="BE174" s="33"/>
      <c r="BF174" s="33" t="s">
        <v>82</v>
      </c>
      <c r="BG174" s="33"/>
      <c r="BH174" s="33"/>
      <c r="BI174" s="618"/>
    </row>
    <row r="175" spans="1:61" ht="48" customHeight="1" x14ac:dyDescent="0.25">
      <c r="A175" s="55" t="s">
        <v>488</v>
      </c>
      <c r="B175" s="91" t="s">
        <v>489</v>
      </c>
      <c r="C175" s="91" t="s">
        <v>1778</v>
      </c>
      <c r="D175" s="85">
        <v>0.3</v>
      </c>
      <c r="E175" s="85">
        <v>1</v>
      </c>
      <c r="F175" s="85">
        <v>0</v>
      </c>
      <c r="G175" s="749">
        <v>0</v>
      </c>
      <c r="H175" s="85">
        <v>0.3</v>
      </c>
      <c r="I175" s="43">
        <v>1</v>
      </c>
      <c r="J175" s="43" t="s">
        <v>163</v>
      </c>
      <c r="K175" s="43" t="s">
        <v>163</v>
      </c>
      <c r="L175" s="42"/>
      <c r="M175" s="593"/>
      <c r="N175" s="593"/>
      <c r="O175" s="575">
        <f t="shared" ref="O175:Q184" si="315">+IFERROR(IF((H175+L175)/D175&gt;=100%,100%,(H175+L175)/D175),0)</f>
        <v>1</v>
      </c>
      <c r="P175" s="575">
        <f t="shared" si="315"/>
        <v>1</v>
      </c>
      <c r="Q175" s="575">
        <f t="shared" si="315"/>
        <v>0</v>
      </c>
      <c r="R175" s="44">
        <f t="shared" ref="R175:R184" si="316">+IFERROR(IF(K175/G175&gt;=100%,100%,K175/G175),0)</f>
        <v>0</v>
      </c>
      <c r="S175" s="296"/>
      <c r="T175" s="103"/>
      <c r="U175" s="40" t="s">
        <v>1804</v>
      </c>
      <c r="V175" s="40"/>
      <c r="W175" s="45"/>
      <c r="X175" s="103"/>
      <c r="Y175" s="43">
        <f t="shared" ref="Y175:Y184" si="317">SUM(D175:G175)</f>
        <v>1.3</v>
      </c>
      <c r="Z175" s="43">
        <f t="shared" ref="Z175:Z184" si="318">SUM(H175:N175)</f>
        <v>1.3</v>
      </c>
      <c r="AA175" s="43">
        <f t="shared" ref="AA175:AA184" si="319">IF(Z175/Y175&gt;=100%,100%,Z175/Y175)</f>
        <v>1</v>
      </c>
      <c r="AB175" s="48">
        <v>0.05</v>
      </c>
      <c r="AC175" s="48">
        <v>0.05</v>
      </c>
      <c r="AD175" s="48">
        <v>0.05</v>
      </c>
      <c r="AE175" s="43">
        <v>0</v>
      </c>
      <c r="AF175" s="43">
        <v>0</v>
      </c>
      <c r="AG175" s="49"/>
      <c r="AH175" s="45"/>
      <c r="AI175" s="45"/>
      <c r="AJ175" s="240"/>
      <c r="AK175" s="240"/>
      <c r="AL175" s="932" t="e">
        <f t="shared" si="231"/>
        <v>#DIV/0!</v>
      </c>
      <c r="AM175" s="45"/>
      <c r="AN175" s="723"/>
      <c r="AO175" s="240"/>
      <c r="AP175" s="240"/>
      <c r="AQ175" s="1155" t="e">
        <f t="shared" si="234"/>
        <v>#DIV/0!</v>
      </c>
      <c r="AR175" s="114">
        <f t="shared" si="235"/>
        <v>0</v>
      </c>
      <c r="AS175" s="114"/>
      <c r="AT175" s="114"/>
      <c r="AU175" s="114"/>
      <c r="AV175" s="114"/>
      <c r="AW175" s="114">
        <f t="shared" si="310"/>
        <v>0</v>
      </c>
      <c r="AX175" s="114"/>
      <c r="AY175" s="43" t="e">
        <f t="shared" si="237"/>
        <v>#DIV/0!</v>
      </c>
      <c r="AZ175" s="49">
        <f>122000000+AG175</f>
        <v>122000000</v>
      </c>
      <c r="BA175" s="45">
        <f t="shared" si="301"/>
        <v>0</v>
      </c>
      <c r="BB175" s="43">
        <f t="shared" si="302"/>
        <v>0</v>
      </c>
      <c r="BC175" s="591">
        <f t="shared" si="303"/>
        <v>0</v>
      </c>
      <c r="BD175" s="43">
        <f t="shared" si="304"/>
        <v>0</v>
      </c>
      <c r="BE175" s="45"/>
      <c r="BF175" s="45" t="s">
        <v>82</v>
      </c>
      <c r="BG175" s="45"/>
      <c r="BH175" s="53" t="s">
        <v>175</v>
      </c>
      <c r="BI175" s="1225" t="s">
        <v>470</v>
      </c>
    </row>
    <row r="176" spans="1:61" ht="60.75" customHeight="1" x14ac:dyDescent="0.25">
      <c r="A176" s="55" t="s">
        <v>490</v>
      </c>
      <c r="B176" s="91" t="s">
        <v>491</v>
      </c>
      <c r="C176" s="91" t="s">
        <v>1776</v>
      </c>
      <c r="D176" s="91">
        <v>1</v>
      </c>
      <c r="E176" s="76">
        <v>1</v>
      </c>
      <c r="F176" s="76">
        <v>1</v>
      </c>
      <c r="G176" s="748">
        <v>1</v>
      </c>
      <c r="H176" s="76">
        <v>1</v>
      </c>
      <c r="I176" s="42">
        <v>1</v>
      </c>
      <c r="J176" s="42">
        <v>1</v>
      </c>
      <c r="K176" s="42">
        <v>1</v>
      </c>
      <c r="L176" s="42"/>
      <c r="M176" s="593"/>
      <c r="N176" s="593"/>
      <c r="O176" s="575">
        <f t="shared" si="315"/>
        <v>1</v>
      </c>
      <c r="P176" s="575">
        <f t="shared" si="315"/>
        <v>1</v>
      </c>
      <c r="Q176" s="575">
        <f t="shared" si="315"/>
        <v>1</v>
      </c>
      <c r="R176" s="44">
        <f t="shared" si="316"/>
        <v>1</v>
      </c>
      <c r="S176" s="101" t="s">
        <v>1624</v>
      </c>
      <c r="T176" s="234"/>
      <c r="U176" s="40" t="s">
        <v>1796</v>
      </c>
      <c r="V176" s="40"/>
      <c r="W176" s="545" t="s">
        <v>1807</v>
      </c>
      <c r="X176" s="554" t="s">
        <v>1751</v>
      </c>
      <c r="Y176" s="40">
        <f t="shared" si="317"/>
        <v>4</v>
      </c>
      <c r="Z176" s="42">
        <f t="shared" si="318"/>
        <v>4</v>
      </c>
      <c r="AA176" s="43">
        <f t="shared" si="319"/>
        <v>1</v>
      </c>
      <c r="AB176" s="48">
        <v>0.14000000000000001</v>
      </c>
      <c r="AC176" s="48">
        <v>0.14000000000000001</v>
      </c>
      <c r="AD176" s="48">
        <v>0.14000000000000001</v>
      </c>
      <c r="AE176" s="48">
        <v>0.15</v>
      </c>
      <c r="AF176" s="43">
        <v>0.22</v>
      </c>
      <c r="AG176" s="49">
        <v>200000000</v>
      </c>
      <c r="AH176" s="45"/>
      <c r="AI176" s="45"/>
      <c r="AJ176" s="240">
        <v>400000000</v>
      </c>
      <c r="AK176" s="240">
        <v>161943050</v>
      </c>
      <c r="AL176" s="932">
        <f t="shared" si="231"/>
        <v>0.80971525</v>
      </c>
      <c r="AM176" s="45"/>
      <c r="AN176" s="723"/>
      <c r="AO176" s="240">
        <v>400000000</v>
      </c>
      <c r="AP176" s="240">
        <v>57511299.5</v>
      </c>
      <c r="AQ176" s="1155">
        <f t="shared" si="234"/>
        <v>0.28755649750000001</v>
      </c>
      <c r="AR176" s="114">
        <f t="shared" si="235"/>
        <v>104431750.5</v>
      </c>
      <c r="AS176" s="114"/>
      <c r="AT176" s="114"/>
      <c r="AU176" s="114"/>
      <c r="AV176" s="114"/>
      <c r="AW176" s="114">
        <f t="shared" si="310"/>
        <v>0</v>
      </c>
      <c r="AX176" s="114"/>
      <c r="AY176" s="43" t="e">
        <f t="shared" si="237"/>
        <v>#DIV/0!</v>
      </c>
      <c r="AZ176" s="49">
        <f>360000000+AG176</f>
        <v>560000000</v>
      </c>
      <c r="BA176" s="45">
        <f t="shared" si="301"/>
        <v>561943050</v>
      </c>
      <c r="BB176" s="43">
        <f t="shared" si="302"/>
        <v>1.0034697321428572</v>
      </c>
      <c r="BC176" s="591">
        <f t="shared" si="303"/>
        <v>457511299.5</v>
      </c>
      <c r="BD176" s="43">
        <f t="shared" si="304"/>
        <v>0.81698446339285713</v>
      </c>
      <c r="BE176" s="45"/>
      <c r="BF176" s="45" t="s">
        <v>82</v>
      </c>
      <c r="BG176" s="45"/>
      <c r="BH176" s="115" t="s">
        <v>175</v>
      </c>
      <c r="BI176" s="1224"/>
    </row>
    <row r="177" spans="1:61" ht="66.75" customHeight="1" x14ac:dyDescent="0.25">
      <c r="A177" s="89" t="s">
        <v>492</v>
      </c>
      <c r="B177" s="91" t="s">
        <v>493</v>
      </c>
      <c r="C177" s="91" t="s">
        <v>1776</v>
      </c>
      <c r="D177" s="91">
        <v>1</v>
      </c>
      <c r="E177" s="76">
        <v>1</v>
      </c>
      <c r="F177" s="76">
        <v>1</v>
      </c>
      <c r="G177" s="748">
        <v>1</v>
      </c>
      <c r="H177" s="76">
        <v>1</v>
      </c>
      <c r="I177" s="42">
        <v>1</v>
      </c>
      <c r="J177" s="42">
        <v>1</v>
      </c>
      <c r="K177" s="42">
        <v>1</v>
      </c>
      <c r="L177" s="42"/>
      <c r="M177" s="593"/>
      <c r="N177" s="593"/>
      <c r="O177" s="575">
        <f t="shared" si="315"/>
        <v>1</v>
      </c>
      <c r="P177" s="575">
        <f t="shared" si="315"/>
        <v>1</v>
      </c>
      <c r="Q177" s="575">
        <f t="shared" si="315"/>
        <v>1</v>
      </c>
      <c r="R177" s="44">
        <f t="shared" si="316"/>
        <v>1</v>
      </c>
      <c r="S177" s="101" t="s">
        <v>1457</v>
      </c>
      <c r="T177" s="234"/>
      <c r="U177" s="40" t="s">
        <v>1796</v>
      </c>
      <c r="V177" s="544"/>
      <c r="W177" s="45" t="s">
        <v>1807</v>
      </c>
      <c r="X177" s="554" t="s">
        <v>1751</v>
      </c>
      <c r="Y177" s="40">
        <f t="shared" si="317"/>
        <v>4</v>
      </c>
      <c r="Z177" s="42">
        <f t="shared" si="318"/>
        <v>4</v>
      </c>
      <c r="AA177" s="43">
        <f t="shared" si="319"/>
        <v>1</v>
      </c>
      <c r="AB177" s="48">
        <v>0.19</v>
      </c>
      <c r="AC177" s="48">
        <v>0.19</v>
      </c>
      <c r="AD177" s="48">
        <v>0.19</v>
      </c>
      <c r="AE177" s="48">
        <v>0.2</v>
      </c>
      <c r="AF177" s="43">
        <v>0.26</v>
      </c>
      <c r="AG177" s="49">
        <v>100000000</v>
      </c>
      <c r="AH177" s="45"/>
      <c r="AI177" s="45"/>
      <c r="AJ177" s="240">
        <v>172190904.36983547</v>
      </c>
      <c r="AK177" s="240">
        <v>80971525</v>
      </c>
      <c r="AL177" s="932">
        <f t="shared" si="231"/>
        <v>0.80971525</v>
      </c>
      <c r="AM177" s="45"/>
      <c r="AN177" s="723"/>
      <c r="AO177" s="240">
        <v>161934800.01780009</v>
      </c>
      <c r="AP177" s="240">
        <v>28755649.75</v>
      </c>
      <c r="AQ177" s="1155">
        <f t="shared" si="234"/>
        <v>0.28755649750000001</v>
      </c>
      <c r="AR177" s="114">
        <f t="shared" si="235"/>
        <v>52215875.25</v>
      </c>
      <c r="AS177" s="114"/>
      <c r="AT177" s="114"/>
      <c r="AU177" s="114"/>
      <c r="AV177" s="114"/>
      <c r="AW177" s="114">
        <f t="shared" si="310"/>
        <v>10256104.352035373</v>
      </c>
      <c r="AX177" s="114"/>
      <c r="AY177" s="43">
        <f t="shared" si="237"/>
        <v>0</v>
      </c>
      <c r="AZ177" s="49">
        <f>650000000+AG177</f>
        <v>750000000</v>
      </c>
      <c r="BA177" s="45">
        <f t="shared" si="301"/>
        <v>253162429.36983547</v>
      </c>
      <c r="BB177" s="43">
        <f t="shared" si="302"/>
        <v>0.33754990582644728</v>
      </c>
      <c r="BC177" s="591">
        <f t="shared" si="303"/>
        <v>190690449.76780009</v>
      </c>
      <c r="BD177" s="43">
        <f t="shared" si="304"/>
        <v>0.25425393302373345</v>
      </c>
      <c r="BE177" s="45"/>
      <c r="BF177" s="45" t="s">
        <v>82</v>
      </c>
      <c r="BG177" s="45"/>
      <c r="BH177" s="116"/>
      <c r="BI177" s="621" t="s">
        <v>470</v>
      </c>
    </row>
    <row r="178" spans="1:61" ht="43.5" customHeight="1" x14ac:dyDescent="0.25">
      <c r="A178" s="55" t="s">
        <v>495</v>
      </c>
      <c r="B178" s="91" t="s">
        <v>496</v>
      </c>
      <c r="C178" s="91" t="s">
        <v>1776</v>
      </c>
      <c r="D178" s="91">
        <v>1</v>
      </c>
      <c r="E178" s="76">
        <v>1</v>
      </c>
      <c r="F178" s="76">
        <v>1</v>
      </c>
      <c r="G178" s="748">
        <v>0</v>
      </c>
      <c r="H178" s="76">
        <v>1</v>
      </c>
      <c r="I178" s="42">
        <v>1</v>
      </c>
      <c r="J178" s="42">
        <v>1</v>
      </c>
      <c r="K178" s="42" t="s">
        <v>163</v>
      </c>
      <c r="L178" s="42"/>
      <c r="M178" s="593"/>
      <c r="N178" s="593"/>
      <c r="O178" s="575">
        <f t="shared" si="315"/>
        <v>1</v>
      </c>
      <c r="P178" s="575">
        <f t="shared" si="315"/>
        <v>1</v>
      </c>
      <c r="Q178" s="575">
        <f t="shared" si="315"/>
        <v>1</v>
      </c>
      <c r="R178" s="44">
        <f t="shared" si="316"/>
        <v>0</v>
      </c>
      <c r="S178" s="101"/>
      <c r="T178" s="234"/>
      <c r="U178" s="40" t="s">
        <v>1804</v>
      </c>
      <c r="V178" s="40"/>
      <c r="W178" s="545"/>
      <c r="X178" s="553"/>
      <c r="Y178" s="40">
        <f t="shared" si="317"/>
        <v>3</v>
      </c>
      <c r="Z178" s="42">
        <f t="shared" si="318"/>
        <v>3</v>
      </c>
      <c r="AA178" s="43">
        <f t="shared" si="319"/>
        <v>1</v>
      </c>
      <c r="AB178" s="73">
        <v>0.1</v>
      </c>
      <c r="AC178" s="73">
        <v>0.1</v>
      </c>
      <c r="AD178" s="73">
        <v>0.1</v>
      </c>
      <c r="AE178" s="73">
        <v>0.11</v>
      </c>
      <c r="AF178" s="43">
        <v>0</v>
      </c>
      <c r="AG178" s="49"/>
      <c r="AH178" s="45"/>
      <c r="AI178" s="45"/>
      <c r="AJ178" s="240">
        <v>75165692.380164534</v>
      </c>
      <c r="AK178" s="240"/>
      <c r="AL178" s="932" t="e">
        <f t="shared" si="231"/>
        <v>#DIV/0!</v>
      </c>
      <c r="AM178" s="45"/>
      <c r="AN178" s="723"/>
      <c r="AO178" s="240">
        <v>70688642.982199907</v>
      </c>
      <c r="AP178" s="240"/>
      <c r="AQ178" s="1155" t="e">
        <f t="shared" si="234"/>
        <v>#DIV/0!</v>
      </c>
      <c r="AR178" s="114">
        <f t="shared" si="235"/>
        <v>0</v>
      </c>
      <c r="AS178" s="114"/>
      <c r="AT178" s="114"/>
      <c r="AU178" s="114"/>
      <c r="AV178" s="114"/>
      <c r="AW178" s="114">
        <f t="shared" si="310"/>
        <v>4477049.3979646266</v>
      </c>
      <c r="AX178" s="114"/>
      <c r="AY178" s="43">
        <f t="shared" si="237"/>
        <v>0</v>
      </c>
      <c r="AZ178" s="49">
        <f>229000000+AG178+734082340</f>
        <v>963082340</v>
      </c>
      <c r="BA178" s="45">
        <f t="shared" si="301"/>
        <v>75165692.380164534</v>
      </c>
      <c r="BB178" s="43">
        <f t="shared" si="302"/>
        <v>7.8047005181472368E-2</v>
      </c>
      <c r="BC178" s="591">
        <f t="shared" si="303"/>
        <v>70688642.982199907</v>
      </c>
      <c r="BD178" s="43">
        <f t="shared" si="304"/>
        <v>7.3398337864029273E-2</v>
      </c>
      <c r="BE178" s="45"/>
      <c r="BF178" s="45" t="s">
        <v>82</v>
      </c>
      <c r="BG178" s="45"/>
      <c r="BH178" s="116"/>
      <c r="BI178" s="1254" t="s">
        <v>460</v>
      </c>
    </row>
    <row r="179" spans="1:61" ht="58.5" customHeight="1" x14ac:dyDescent="0.25">
      <c r="A179" s="55" t="s">
        <v>497</v>
      </c>
      <c r="B179" s="91" t="s">
        <v>498</v>
      </c>
      <c r="C179" s="91" t="s">
        <v>1776</v>
      </c>
      <c r="D179" s="91">
        <v>2</v>
      </c>
      <c r="E179" s="76">
        <v>1</v>
      </c>
      <c r="F179" s="76">
        <v>1</v>
      </c>
      <c r="G179" s="748">
        <v>0</v>
      </c>
      <c r="H179" s="76">
        <v>0</v>
      </c>
      <c r="I179" s="42">
        <v>1</v>
      </c>
      <c r="J179" s="42">
        <v>1</v>
      </c>
      <c r="K179" s="42" t="s">
        <v>163</v>
      </c>
      <c r="L179" s="593"/>
      <c r="O179" s="575">
        <f t="shared" si="315"/>
        <v>0</v>
      </c>
      <c r="P179" s="575">
        <f t="shared" si="315"/>
        <v>1</v>
      </c>
      <c r="Q179" s="575">
        <f t="shared" si="315"/>
        <v>1</v>
      </c>
      <c r="R179" s="44">
        <f t="shared" si="316"/>
        <v>0</v>
      </c>
      <c r="S179" s="101"/>
      <c r="T179" s="234"/>
      <c r="U179" s="40" t="s">
        <v>1804</v>
      </c>
      <c r="V179" s="40"/>
      <c r="W179" s="545"/>
      <c r="X179" s="553"/>
      <c r="Y179" s="40">
        <f t="shared" si="317"/>
        <v>4</v>
      </c>
      <c r="Z179" s="42">
        <f t="shared" si="318"/>
        <v>2</v>
      </c>
      <c r="AA179" s="43">
        <f t="shared" si="319"/>
        <v>0.5</v>
      </c>
      <c r="AB179" s="73">
        <v>0.1</v>
      </c>
      <c r="AC179" s="73">
        <v>0.1</v>
      </c>
      <c r="AD179" s="73">
        <v>0.1</v>
      </c>
      <c r="AE179" s="73">
        <v>0.11</v>
      </c>
      <c r="AF179" s="43">
        <v>0</v>
      </c>
      <c r="AG179" s="49"/>
      <c r="AH179" s="45"/>
      <c r="AI179" s="45"/>
      <c r="AJ179" s="240">
        <v>30919574.59375</v>
      </c>
      <c r="AK179" s="240"/>
      <c r="AL179" s="932" t="e">
        <f t="shared" si="231"/>
        <v>#DIV/0!</v>
      </c>
      <c r="AM179" s="45"/>
      <c r="AN179" s="723"/>
      <c r="AO179" s="240">
        <v>29077930.375</v>
      </c>
      <c r="AP179" s="240"/>
      <c r="AQ179" s="1155" t="e">
        <f t="shared" si="234"/>
        <v>#DIV/0!</v>
      </c>
      <c r="AR179" s="114">
        <f t="shared" si="235"/>
        <v>0</v>
      </c>
      <c r="AS179" s="114"/>
      <c r="AT179" s="114"/>
      <c r="AU179" s="114"/>
      <c r="AV179" s="114"/>
      <c r="AW179" s="114">
        <f t="shared" si="310"/>
        <v>1841644.21875</v>
      </c>
      <c r="AX179" s="114"/>
      <c r="AY179" s="43">
        <f t="shared" si="237"/>
        <v>0</v>
      </c>
      <c r="AZ179" s="49">
        <f>144000000+AG179</f>
        <v>144000000</v>
      </c>
      <c r="BA179" s="45">
        <f t="shared" si="301"/>
        <v>30919574.59375</v>
      </c>
      <c r="BB179" s="43">
        <f t="shared" si="302"/>
        <v>0.21471926801215277</v>
      </c>
      <c r="BC179" s="591">
        <f t="shared" si="303"/>
        <v>29077930.375</v>
      </c>
      <c r="BD179" s="43">
        <f t="shared" si="304"/>
        <v>0.2019300720486111</v>
      </c>
      <c r="BE179" s="45"/>
      <c r="BF179" s="45" t="s">
        <v>82</v>
      </c>
      <c r="BG179" s="45"/>
      <c r="BH179" s="116"/>
      <c r="BI179" s="1223"/>
    </row>
    <row r="180" spans="1:61" ht="217.5" x14ac:dyDescent="0.25">
      <c r="A180" s="39" t="s">
        <v>499</v>
      </c>
      <c r="B180" s="91" t="s">
        <v>500</v>
      </c>
      <c r="C180" s="91" t="s">
        <v>1778</v>
      </c>
      <c r="D180" s="579">
        <v>1</v>
      </c>
      <c r="E180" s="579">
        <v>1</v>
      </c>
      <c r="F180" s="579">
        <v>1</v>
      </c>
      <c r="G180" s="750">
        <v>1</v>
      </c>
      <c r="H180" s="579">
        <v>1</v>
      </c>
      <c r="I180" s="43">
        <v>0.94</v>
      </c>
      <c r="J180" s="575">
        <v>0.81</v>
      </c>
      <c r="K180" s="698">
        <f>8/60</f>
        <v>0.13333333333333333</v>
      </c>
      <c r="L180" s="42"/>
      <c r="O180" s="687">
        <f t="shared" si="315"/>
        <v>1</v>
      </c>
      <c r="P180" s="687">
        <f t="shared" si="315"/>
        <v>0.94</v>
      </c>
      <c r="Q180" s="687">
        <f t="shared" si="315"/>
        <v>0.81</v>
      </c>
      <c r="R180" s="43">
        <f t="shared" si="316"/>
        <v>0.13333333333333333</v>
      </c>
      <c r="S180" s="767" t="s">
        <v>1680</v>
      </c>
      <c r="T180" s="234"/>
      <c r="U180" s="40" t="s">
        <v>1796</v>
      </c>
      <c r="V180" s="40"/>
      <c r="W180" s="573" t="s">
        <v>1807</v>
      </c>
      <c r="X180" s="554" t="s">
        <v>1751</v>
      </c>
      <c r="Y180" s="43">
        <f t="shared" si="317"/>
        <v>4</v>
      </c>
      <c r="Z180" s="698">
        <f t="shared" si="318"/>
        <v>2.8833333333333333</v>
      </c>
      <c r="AA180" s="92">
        <f t="shared" si="319"/>
        <v>0.72083333333333333</v>
      </c>
      <c r="AB180" s="48">
        <v>0.15</v>
      </c>
      <c r="AC180" s="48">
        <v>0.15</v>
      </c>
      <c r="AD180" s="48">
        <v>0.15</v>
      </c>
      <c r="AE180" s="48">
        <v>0.16</v>
      </c>
      <c r="AF180" s="43">
        <v>0.22</v>
      </c>
      <c r="AG180" s="49">
        <v>50000000</v>
      </c>
      <c r="AH180" s="45"/>
      <c r="AI180" s="45"/>
      <c r="AJ180" s="240">
        <v>61839149.1875</v>
      </c>
      <c r="AK180" s="240">
        <v>40485762.5</v>
      </c>
      <c r="AL180" s="932">
        <f t="shared" si="231"/>
        <v>0.80971525</v>
      </c>
      <c r="AM180" s="45"/>
      <c r="AN180" s="723"/>
      <c r="AO180" s="240">
        <v>58155860.75</v>
      </c>
      <c r="AP180" s="240">
        <v>14377824.875</v>
      </c>
      <c r="AQ180" s="1155">
        <f t="shared" si="234"/>
        <v>0.28755649750000001</v>
      </c>
      <c r="AR180" s="114">
        <f t="shared" si="235"/>
        <v>26107937.625</v>
      </c>
      <c r="AS180" s="114"/>
      <c r="AT180" s="114"/>
      <c r="AU180" s="114"/>
      <c r="AV180" s="114"/>
      <c r="AW180" s="114">
        <f t="shared" si="310"/>
        <v>3683288.4375</v>
      </c>
      <c r="AX180" s="114"/>
      <c r="AY180" s="43">
        <f t="shared" si="237"/>
        <v>0</v>
      </c>
      <c r="AZ180" s="49">
        <f>290000000+AG180</f>
        <v>340000000</v>
      </c>
      <c r="BA180" s="45">
        <f t="shared" si="301"/>
        <v>102324911.6875</v>
      </c>
      <c r="BB180" s="43">
        <f t="shared" si="302"/>
        <v>0.30095562261029413</v>
      </c>
      <c r="BC180" s="591">
        <f t="shared" si="303"/>
        <v>72533685.625</v>
      </c>
      <c r="BD180" s="43">
        <f t="shared" si="304"/>
        <v>0.21333436948529411</v>
      </c>
      <c r="BE180" s="45"/>
      <c r="BF180" s="45" t="s">
        <v>82</v>
      </c>
      <c r="BG180" s="45"/>
      <c r="BH180" s="53" t="s">
        <v>175</v>
      </c>
      <c r="BI180" s="1223"/>
    </row>
    <row r="181" spans="1:61" ht="78" customHeight="1" x14ac:dyDescent="0.25">
      <c r="A181" s="55" t="s">
        <v>501</v>
      </c>
      <c r="B181" s="91" t="s">
        <v>502</v>
      </c>
      <c r="C181" s="91" t="s">
        <v>1778</v>
      </c>
      <c r="D181" s="577">
        <v>1</v>
      </c>
      <c r="E181" s="579">
        <v>1</v>
      </c>
      <c r="F181" s="579">
        <v>1</v>
      </c>
      <c r="G181" s="750">
        <v>1</v>
      </c>
      <c r="H181" s="579">
        <v>1</v>
      </c>
      <c r="I181" s="43">
        <v>1</v>
      </c>
      <c r="J181" s="575">
        <v>1</v>
      </c>
      <c r="K181" s="575">
        <v>1</v>
      </c>
      <c r="L181" s="42"/>
      <c r="M181" s="593"/>
      <c r="N181" s="593"/>
      <c r="O181" s="575">
        <f t="shared" si="315"/>
        <v>1</v>
      </c>
      <c r="P181" s="575">
        <f t="shared" si="315"/>
        <v>1</v>
      </c>
      <c r="Q181" s="575">
        <f t="shared" si="315"/>
        <v>1</v>
      </c>
      <c r="R181" s="44">
        <f t="shared" si="316"/>
        <v>1</v>
      </c>
      <c r="S181" s="101" t="s">
        <v>1458</v>
      </c>
      <c r="T181" s="234"/>
      <c r="U181" s="40" t="s">
        <v>1796</v>
      </c>
      <c r="V181" s="544"/>
      <c r="W181" s="545" t="s">
        <v>1807</v>
      </c>
      <c r="X181" s="554" t="s">
        <v>1751</v>
      </c>
      <c r="Y181" s="43">
        <f t="shared" si="317"/>
        <v>4</v>
      </c>
      <c r="Z181" s="43">
        <f t="shared" si="318"/>
        <v>4</v>
      </c>
      <c r="AA181" s="43">
        <f t="shared" si="319"/>
        <v>1</v>
      </c>
      <c r="AB181" s="48">
        <v>0.11</v>
      </c>
      <c r="AC181" s="48">
        <v>0.11</v>
      </c>
      <c r="AD181" s="48">
        <v>0.11</v>
      </c>
      <c r="AE181" s="48">
        <v>0.11</v>
      </c>
      <c r="AF181" s="43">
        <v>0.18</v>
      </c>
      <c r="AG181" s="49"/>
      <c r="AH181" s="45"/>
      <c r="AI181" s="45"/>
      <c r="AJ181" s="240">
        <v>61839149.1875</v>
      </c>
      <c r="AK181" s="240"/>
      <c r="AL181" s="932" t="e">
        <f t="shared" si="231"/>
        <v>#DIV/0!</v>
      </c>
      <c r="AM181" s="45"/>
      <c r="AN181" s="723"/>
      <c r="AO181" s="240">
        <v>58155860.75</v>
      </c>
      <c r="AP181" s="240"/>
      <c r="AQ181" s="1155" t="e">
        <f t="shared" si="234"/>
        <v>#DIV/0!</v>
      </c>
      <c r="AR181" s="114">
        <f t="shared" si="235"/>
        <v>0</v>
      </c>
      <c r="AS181" s="114"/>
      <c r="AT181" s="114"/>
      <c r="AU181" s="114"/>
      <c r="AV181" s="114"/>
      <c r="AW181" s="114">
        <f t="shared" si="310"/>
        <v>3683288.4375</v>
      </c>
      <c r="AX181" s="114"/>
      <c r="AY181" s="43">
        <f t="shared" si="237"/>
        <v>0</v>
      </c>
      <c r="AZ181" s="49">
        <f>525000000+AG181</f>
        <v>525000000</v>
      </c>
      <c r="BA181" s="45">
        <f t="shared" si="301"/>
        <v>61839149.1875</v>
      </c>
      <c r="BB181" s="43">
        <f t="shared" si="302"/>
        <v>0.11778885559523809</v>
      </c>
      <c r="BC181" s="591">
        <f t="shared" si="303"/>
        <v>58155860.75</v>
      </c>
      <c r="BD181" s="43">
        <f t="shared" si="304"/>
        <v>0.1107730680952381</v>
      </c>
      <c r="BE181" s="45"/>
      <c r="BF181" s="45" t="s">
        <v>82</v>
      </c>
      <c r="BG181" s="45"/>
      <c r="BH181" s="53" t="s">
        <v>175</v>
      </c>
      <c r="BI181" s="1224"/>
    </row>
    <row r="182" spans="1:61" ht="38.25" customHeight="1" x14ac:dyDescent="0.25">
      <c r="A182" s="77" t="s">
        <v>504</v>
      </c>
      <c r="B182" s="91" t="s">
        <v>505</v>
      </c>
      <c r="C182" s="91" t="s">
        <v>1778</v>
      </c>
      <c r="D182" s="577">
        <v>0.1</v>
      </c>
      <c r="E182" s="85">
        <v>0.6</v>
      </c>
      <c r="F182" s="579">
        <v>1</v>
      </c>
      <c r="G182" s="750">
        <v>0</v>
      </c>
      <c r="H182" s="579">
        <v>0.06</v>
      </c>
      <c r="I182" s="43">
        <v>0.53</v>
      </c>
      <c r="J182" s="576">
        <v>1</v>
      </c>
      <c r="K182" s="56" t="s">
        <v>163</v>
      </c>
      <c r="L182" s="223"/>
      <c r="M182" s="594"/>
      <c r="N182" s="594"/>
      <c r="O182" s="687">
        <f t="shared" si="315"/>
        <v>0.6</v>
      </c>
      <c r="P182" s="687">
        <f t="shared" si="315"/>
        <v>0.88333333333333341</v>
      </c>
      <c r="Q182" s="687">
        <f t="shared" si="315"/>
        <v>1</v>
      </c>
      <c r="R182" s="44">
        <f t="shared" si="316"/>
        <v>0</v>
      </c>
      <c r="S182" s="101"/>
      <c r="T182" s="234"/>
      <c r="U182" s="544" t="s">
        <v>1804</v>
      </c>
      <c r="V182" s="544"/>
      <c r="W182" s="45"/>
      <c r="X182" s="553"/>
      <c r="Y182" s="43">
        <f t="shared" si="317"/>
        <v>1.7</v>
      </c>
      <c r="Z182" s="43">
        <f t="shared" si="318"/>
        <v>1.59</v>
      </c>
      <c r="AA182" s="43">
        <f t="shared" si="319"/>
        <v>0.93529411764705894</v>
      </c>
      <c r="AB182" s="48">
        <v>7.0000000000000007E-2</v>
      </c>
      <c r="AC182" s="48">
        <v>7.0000000000000007E-2</v>
      </c>
      <c r="AD182" s="48">
        <v>7.0000000000000007E-2</v>
      </c>
      <c r="AE182" s="48">
        <v>7.0000000000000007E-2</v>
      </c>
      <c r="AF182" s="43">
        <v>0</v>
      </c>
      <c r="AG182" s="49"/>
      <c r="AH182" s="45"/>
      <c r="AI182" s="45"/>
      <c r="AJ182" s="240">
        <v>49471319.350000001</v>
      </c>
      <c r="AK182" s="240"/>
      <c r="AL182" s="932" t="e">
        <f t="shared" si="231"/>
        <v>#DIV/0!</v>
      </c>
      <c r="AM182" s="45"/>
      <c r="AN182" s="723"/>
      <c r="AO182" s="240">
        <v>46524688.600000001</v>
      </c>
      <c r="AP182" s="240"/>
      <c r="AQ182" s="1155" t="e">
        <f t="shared" si="234"/>
        <v>#DIV/0!</v>
      </c>
      <c r="AR182" s="114">
        <f t="shared" si="235"/>
        <v>0</v>
      </c>
      <c r="AS182" s="114"/>
      <c r="AT182" s="114"/>
      <c r="AU182" s="114"/>
      <c r="AV182" s="114"/>
      <c r="AW182" s="114">
        <f t="shared" si="310"/>
        <v>2946630.75</v>
      </c>
      <c r="AX182" s="114"/>
      <c r="AY182" s="43">
        <f t="shared" si="237"/>
        <v>0</v>
      </c>
      <c r="AZ182" s="49">
        <f>118000000+AG182</f>
        <v>118000000</v>
      </c>
      <c r="BA182" s="45">
        <f t="shared" si="301"/>
        <v>49471319.350000001</v>
      </c>
      <c r="BB182" s="43">
        <f t="shared" si="302"/>
        <v>0.41924846906779661</v>
      </c>
      <c r="BC182" s="591">
        <f t="shared" si="303"/>
        <v>46524688.600000001</v>
      </c>
      <c r="BD182" s="43">
        <f t="shared" si="304"/>
        <v>0.39427702203389831</v>
      </c>
      <c r="BE182" s="45"/>
      <c r="BF182" s="45" t="s">
        <v>82</v>
      </c>
      <c r="BG182" s="45"/>
      <c r="BH182" s="53" t="s">
        <v>175</v>
      </c>
      <c r="BI182" s="625"/>
    </row>
    <row r="183" spans="1:61" ht="164.25" customHeight="1" x14ac:dyDescent="0.25">
      <c r="A183" s="39" t="s">
        <v>506</v>
      </c>
      <c r="B183" s="91" t="s">
        <v>507</v>
      </c>
      <c r="C183" s="91" t="s">
        <v>1778</v>
      </c>
      <c r="D183" s="577">
        <v>0.2</v>
      </c>
      <c r="E183" s="85">
        <v>0.8</v>
      </c>
      <c r="F183" s="579">
        <v>1</v>
      </c>
      <c r="G183" s="750">
        <v>0</v>
      </c>
      <c r="H183" s="579">
        <v>0.2</v>
      </c>
      <c r="I183" s="43">
        <v>0.7</v>
      </c>
      <c r="J183" s="576">
        <v>0.7</v>
      </c>
      <c r="K183" s="56" t="s">
        <v>163</v>
      </c>
      <c r="L183" s="42"/>
      <c r="M183" s="594"/>
      <c r="N183" s="594"/>
      <c r="O183" s="687">
        <f t="shared" si="315"/>
        <v>1</v>
      </c>
      <c r="P183" s="687">
        <f t="shared" si="315"/>
        <v>0.87499999999999989</v>
      </c>
      <c r="Q183" s="687">
        <f t="shared" si="315"/>
        <v>0.7</v>
      </c>
      <c r="R183" s="67">
        <f t="shared" si="316"/>
        <v>0</v>
      </c>
      <c r="S183" s="1123" t="s">
        <v>1620</v>
      </c>
      <c r="T183" s="234"/>
      <c r="U183" s="40" t="s">
        <v>1804</v>
      </c>
      <c r="V183" s="40"/>
      <c r="W183" s="545"/>
      <c r="X183" s="554"/>
      <c r="Y183" s="43">
        <f t="shared" si="317"/>
        <v>2</v>
      </c>
      <c r="Z183" s="43">
        <f t="shared" si="318"/>
        <v>1.5999999999999999</v>
      </c>
      <c r="AA183" s="43">
        <f t="shared" si="319"/>
        <v>0.79999999999999993</v>
      </c>
      <c r="AB183" s="48">
        <v>0.05</v>
      </c>
      <c r="AC183" s="48">
        <v>0.05</v>
      </c>
      <c r="AD183" s="48">
        <v>0.05</v>
      </c>
      <c r="AE183" s="48">
        <v>0.05</v>
      </c>
      <c r="AF183" s="43">
        <v>0</v>
      </c>
      <c r="AG183" s="49"/>
      <c r="AH183" s="45"/>
      <c r="AI183" s="45"/>
      <c r="AJ183" s="240">
        <v>61839149.1875</v>
      </c>
      <c r="AK183" s="240"/>
      <c r="AL183" s="932" t="e">
        <f t="shared" si="231"/>
        <v>#DIV/0!</v>
      </c>
      <c r="AM183" s="45"/>
      <c r="AN183" s="723"/>
      <c r="AO183" s="240">
        <v>58155860.75</v>
      </c>
      <c r="AP183" s="240"/>
      <c r="AQ183" s="1155" t="e">
        <f t="shared" si="234"/>
        <v>#DIV/0!</v>
      </c>
      <c r="AR183" s="114">
        <f t="shared" si="235"/>
        <v>0</v>
      </c>
      <c r="AS183" s="114"/>
      <c r="AT183" s="114"/>
      <c r="AU183" s="114"/>
      <c r="AV183" s="114"/>
      <c r="AW183" s="114">
        <f t="shared" si="310"/>
        <v>3683288.4375</v>
      </c>
      <c r="AX183" s="114"/>
      <c r="AY183" s="43">
        <f t="shared" si="237"/>
        <v>0</v>
      </c>
      <c r="AZ183" s="49">
        <f>100000000+AG183</f>
        <v>100000000</v>
      </c>
      <c r="BA183" s="45">
        <f t="shared" si="301"/>
        <v>61839149.1875</v>
      </c>
      <c r="BB183" s="43">
        <f t="shared" si="302"/>
        <v>0.61839149187499998</v>
      </c>
      <c r="BC183" s="591">
        <f t="shared" si="303"/>
        <v>58155860.75</v>
      </c>
      <c r="BD183" s="43">
        <f t="shared" si="304"/>
        <v>0.58155860749999999</v>
      </c>
      <c r="BE183" s="45"/>
      <c r="BF183" s="45" t="s">
        <v>82</v>
      </c>
      <c r="BG183" s="45"/>
      <c r="BH183" s="57"/>
      <c r="BI183" s="625" t="s">
        <v>508</v>
      </c>
    </row>
    <row r="184" spans="1:61" ht="65.25" customHeight="1" x14ac:dyDescent="0.25">
      <c r="A184" s="89" t="s">
        <v>509</v>
      </c>
      <c r="B184" s="91" t="s">
        <v>510</v>
      </c>
      <c r="C184" s="91" t="s">
        <v>1778</v>
      </c>
      <c r="D184" s="577">
        <v>0.1</v>
      </c>
      <c r="E184" s="85">
        <v>0.2</v>
      </c>
      <c r="F184" s="579">
        <v>0.5</v>
      </c>
      <c r="G184" s="750">
        <v>0.8</v>
      </c>
      <c r="H184" s="579">
        <v>0.1</v>
      </c>
      <c r="I184" s="43">
        <v>0</v>
      </c>
      <c r="J184" s="576">
        <v>0.5</v>
      </c>
      <c r="K184" s="576">
        <v>0.8</v>
      </c>
      <c r="L184" s="42"/>
      <c r="M184" s="85">
        <v>0.2</v>
      </c>
      <c r="N184" s="85"/>
      <c r="O184" s="687">
        <f t="shared" si="315"/>
        <v>1</v>
      </c>
      <c r="P184" s="687">
        <f t="shared" si="315"/>
        <v>1</v>
      </c>
      <c r="Q184" s="687">
        <f t="shared" si="315"/>
        <v>1</v>
      </c>
      <c r="R184" s="44">
        <f t="shared" si="316"/>
        <v>1</v>
      </c>
      <c r="S184" s="1124" t="s">
        <v>1855</v>
      </c>
      <c r="T184" s="234"/>
      <c r="U184" s="40" t="s">
        <v>1796</v>
      </c>
      <c r="V184" s="40"/>
      <c r="W184" s="545" t="s">
        <v>1807</v>
      </c>
      <c r="X184" s="554" t="s">
        <v>1862</v>
      </c>
      <c r="Y184" s="43">
        <f t="shared" si="317"/>
        <v>1.6</v>
      </c>
      <c r="Z184" s="43">
        <f t="shared" si="318"/>
        <v>1.5999999999999999</v>
      </c>
      <c r="AA184" s="92">
        <f t="shared" si="319"/>
        <v>1</v>
      </c>
      <c r="AB184" s="48">
        <v>0.04</v>
      </c>
      <c r="AC184" s="48">
        <v>0.04</v>
      </c>
      <c r="AD184" s="48">
        <v>0.04</v>
      </c>
      <c r="AE184" s="48">
        <v>0.04</v>
      </c>
      <c r="AF184" s="43">
        <v>0.12</v>
      </c>
      <c r="AG184" s="49">
        <v>50000000</v>
      </c>
      <c r="AH184" s="45"/>
      <c r="AI184" s="45"/>
      <c r="AJ184" s="240">
        <v>76161448.743750006</v>
      </c>
      <c r="AK184" s="240">
        <v>40485762.5</v>
      </c>
      <c r="AL184" s="932">
        <f t="shared" si="231"/>
        <v>0.80971525</v>
      </c>
      <c r="AM184" s="45"/>
      <c r="AN184" s="723"/>
      <c r="AO184" s="240">
        <v>47800127.774999999</v>
      </c>
      <c r="AP184" s="240">
        <v>14377824.875</v>
      </c>
      <c r="AQ184" s="1155">
        <f t="shared" si="234"/>
        <v>0.28755649750000001</v>
      </c>
      <c r="AR184" s="114">
        <f t="shared" si="235"/>
        <v>26107937.625</v>
      </c>
      <c r="AS184" s="114"/>
      <c r="AT184" s="114"/>
      <c r="AU184" s="114"/>
      <c r="AV184" s="114"/>
      <c r="AW184" s="114">
        <f t="shared" si="310"/>
        <v>28361320.968750007</v>
      </c>
      <c r="AX184" s="114"/>
      <c r="AY184" s="43">
        <f t="shared" si="237"/>
        <v>0</v>
      </c>
      <c r="AZ184" s="49">
        <f>162000000+AG184</f>
        <v>212000000</v>
      </c>
      <c r="BA184" s="45">
        <f t="shared" si="301"/>
        <v>116647211.24375001</v>
      </c>
      <c r="BB184" s="43">
        <f t="shared" si="302"/>
        <v>0.5502226945459906</v>
      </c>
      <c r="BC184" s="591">
        <f t="shared" si="303"/>
        <v>62177952.649999999</v>
      </c>
      <c r="BD184" s="43">
        <f t="shared" si="304"/>
        <v>0.29329222948113209</v>
      </c>
      <c r="BE184" s="45"/>
      <c r="BF184" s="45" t="s">
        <v>82</v>
      </c>
      <c r="BG184" s="45"/>
      <c r="BH184" s="57"/>
      <c r="BI184" s="625" t="s">
        <v>460</v>
      </c>
    </row>
    <row r="185" spans="1:61" ht="73.5" customHeight="1" x14ac:dyDescent="0.25">
      <c r="A185" s="32" t="s">
        <v>512</v>
      </c>
      <c r="B185" s="33"/>
      <c r="C185" s="33"/>
      <c r="D185" s="33"/>
      <c r="E185" s="34"/>
      <c r="F185" s="34"/>
      <c r="G185" s="745"/>
      <c r="H185" s="34"/>
      <c r="I185" s="34"/>
      <c r="J185" s="34"/>
      <c r="K185" s="34"/>
      <c r="L185" s="34"/>
      <c r="M185" s="34"/>
      <c r="N185" s="34"/>
      <c r="O185" s="607">
        <f>+SUMPRODUCT(O186:O192,AC186:AC192)</f>
        <v>1</v>
      </c>
      <c r="P185" s="607">
        <f>+SUMPRODUCT(P186:P192,AD186:AD192)</f>
        <v>0.71000000000000008</v>
      </c>
      <c r="Q185" s="607">
        <f>+SUMPRODUCT(Q186:Q192,AE186:AE192)</f>
        <v>1</v>
      </c>
      <c r="R185" s="607">
        <f>+SUMPRODUCT(R186:R192,AF186:AF192)</f>
        <v>0.877</v>
      </c>
      <c r="S185" s="32"/>
      <c r="T185" s="32"/>
      <c r="U185" s="33"/>
      <c r="V185" s="33"/>
      <c r="W185" s="33"/>
      <c r="X185" s="32"/>
      <c r="Y185" s="11"/>
      <c r="Z185" s="36"/>
      <c r="AA185" s="607">
        <f>+SUMPRODUCT(AA186:AA192,AB186:AB192)</f>
        <v>0.91500000000000004</v>
      </c>
      <c r="AB185" s="35">
        <v>0.2</v>
      </c>
      <c r="AC185" s="35">
        <v>0.2</v>
      </c>
      <c r="AD185" s="35">
        <v>0.2</v>
      </c>
      <c r="AE185" s="35">
        <v>0.2</v>
      </c>
      <c r="AF185" s="35">
        <v>0.2</v>
      </c>
      <c r="AG185" s="33">
        <f>SUM(AG186:AG192)</f>
        <v>2161000000</v>
      </c>
      <c r="AH185" s="33">
        <v>2103150383</v>
      </c>
      <c r="AI185" s="33">
        <v>2390651828.3299999</v>
      </c>
      <c r="AJ185" s="33">
        <f t="shared" ref="AJ185:AK185" si="320">SUM(AJ186:AJ192)</f>
        <v>3513116913.000001</v>
      </c>
      <c r="AK185" s="33">
        <f t="shared" si="320"/>
        <v>1864212530</v>
      </c>
      <c r="AL185" s="1138">
        <f t="shared" si="231"/>
        <v>0.86266197593706617</v>
      </c>
      <c r="AM185" s="733">
        <v>2103150383</v>
      </c>
      <c r="AN185" s="725">
        <v>2260887180.3299999</v>
      </c>
      <c r="AO185" s="242">
        <f t="shared" ref="AO185" si="321">SUM(AO186:AO192)</f>
        <v>3324844186</v>
      </c>
      <c r="AP185" s="242">
        <f>SUM(AP186:AP192)</f>
        <v>563308867</v>
      </c>
      <c r="AQ185" s="1158">
        <f t="shared" si="234"/>
        <v>0.26067046136048128</v>
      </c>
      <c r="AR185" s="37">
        <f t="shared" si="235"/>
        <v>1300903663</v>
      </c>
      <c r="AS185" s="37">
        <v>59979571</v>
      </c>
      <c r="AT185" s="37">
        <v>59979571</v>
      </c>
      <c r="AU185" s="530">
        <f>+AI185-AN185</f>
        <v>129764648</v>
      </c>
      <c r="AV185" s="674">
        <v>942667</v>
      </c>
      <c r="AW185" s="37">
        <f t="shared" si="310"/>
        <v>188272727.00000095</v>
      </c>
      <c r="AX185" s="37">
        <f>SUM(AX186:AX192)</f>
        <v>0</v>
      </c>
      <c r="AY185" s="35">
        <f t="shared" si="237"/>
        <v>0</v>
      </c>
      <c r="AZ185" s="33">
        <f>SUM(AZ186:AZ192)-3149542877</f>
        <v>10884104810</v>
      </c>
      <c r="BA185" s="33">
        <f t="shared" si="301"/>
        <v>9871131654.3300018</v>
      </c>
      <c r="BB185" s="35">
        <f t="shared" si="302"/>
        <v>0.90693096277984131</v>
      </c>
      <c r="BC185" s="1172">
        <f t="shared" si="303"/>
        <v>8313112854.3299999</v>
      </c>
      <c r="BD185" s="35">
        <f t="shared" si="304"/>
        <v>0.76378471169187501</v>
      </c>
      <c r="BE185" s="33"/>
      <c r="BF185" s="33" t="s">
        <v>82</v>
      </c>
      <c r="BG185" s="33"/>
      <c r="BH185" s="33"/>
      <c r="BI185" s="618"/>
    </row>
    <row r="186" spans="1:61" ht="96.75" customHeight="1" x14ac:dyDescent="0.25">
      <c r="A186" s="39" t="s">
        <v>513</v>
      </c>
      <c r="B186" s="53" t="s">
        <v>514</v>
      </c>
      <c r="C186" s="91" t="s">
        <v>1776</v>
      </c>
      <c r="D186" s="53">
        <v>1</v>
      </c>
      <c r="E186" s="76">
        <v>1</v>
      </c>
      <c r="F186" s="76">
        <v>1</v>
      </c>
      <c r="G186" s="748">
        <v>1</v>
      </c>
      <c r="H186" s="76">
        <v>1</v>
      </c>
      <c r="I186" s="42">
        <v>1</v>
      </c>
      <c r="J186" s="56">
        <v>1</v>
      </c>
      <c r="K186" s="56">
        <v>1</v>
      </c>
      <c r="L186" s="42"/>
      <c r="M186" s="593"/>
      <c r="N186" s="593"/>
      <c r="O186" s="575">
        <f t="shared" ref="O186:Q192" si="322">+IFERROR(IF((H186+L186)/D186&gt;=100%,100%,(H186+L186)/D186),0)</f>
        <v>1</v>
      </c>
      <c r="P186" s="575">
        <f t="shared" si="322"/>
        <v>1</v>
      </c>
      <c r="Q186" s="575">
        <f t="shared" si="322"/>
        <v>1</v>
      </c>
      <c r="R186" s="44">
        <f t="shared" ref="R186:R192" si="323">+IFERROR(IF(K186/G186&gt;=100%,100%,K186/G186),0)</f>
        <v>1</v>
      </c>
      <c r="S186" s="101" t="s">
        <v>1646</v>
      </c>
      <c r="T186" s="234"/>
      <c r="U186" s="40" t="s">
        <v>1796</v>
      </c>
      <c r="V186" s="40"/>
      <c r="W186" s="545" t="s">
        <v>1807</v>
      </c>
      <c r="X186" s="554" t="s">
        <v>1752</v>
      </c>
      <c r="Y186" s="40">
        <f t="shared" ref="Y186:Y192" si="324">SUM(D186:G186)</f>
        <v>4</v>
      </c>
      <c r="Z186" s="40">
        <f t="shared" ref="Z186:Z192" si="325">SUM(H186:N186)</f>
        <v>4</v>
      </c>
      <c r="AA186" s="92">
        <f t="shared" ref="AA186:AA192" si="326">IF(Z186/Y186&gt;=100%,100%,Z186/Y186)</f>
        <v>1</v>
      </c>
      <c r="AB186" s="48">
        <v>0.3</v>
      </c>
      <c r="AC186" s="48">
        <v>0.3</v>
      </c>
      <c r="AD186" s="48">
        <v>0.3</v>
      </c>
      <c r="AE186" s="43">
        <v>0.3</v>
      </c>
      <c r="AF186" s="43">
        <v>0.31</v>
      </c>
      <c r="AG186" s="49">
        <v>500000000</v>
      </c>
      <c r="AH186" s="50"/>
      <c r="AI186" s="50"/>
      <c r="AJ186" s="240">
        <v>750895218.04580164</v>
      </c>
      <c r="AK186" s="240">
        <v>431330987.9685331</v>
      </c>
      <c r="AL186" s="932">
        <f t="shared" si="231"/>
        <v>0.86266197593706617</v>
      </c>
      <c r="AM186" s="50"/>
      <c r="AN186" s="723"/>
      <c r="AO186" s="240">
        <v>710653719.14503813</v>
      </c>
      <c r="AP186" s="240">
        <v>130335230.68024063</v>
      </c>
      <c r="AQ186" s="1155">
        <f t="shared" si="234"/>
        <v>0.26067046136048128</v>
      </c>
      <c r="AR186" s="51">
        <f t="shared" si="235"/>
        <v>300995757.28829247</v>
      </c>
      <c r="AS186" s="51"/>
      <c r="AT186" s="51"/>
      <c r="AU186" s="51"/>
      <c r="AV186" s="51"/>
      <c r="AW186" s="51">
        <f t="shared" si="310"/>
        <v>40241498.900763512</v>
      </c>
      <c r="AX186" s="51"/>
      <c r="AY186" s="43">
        <f t="shared" si="237"/>
        <v>0</v>
      </c>
      <c r="AZ186" s="49">
        <f>1754000000+AG186</f>
        <v>2254000000</v>
      </c>
      <c r="BA186" s="45">
        <f t="shared" si="301"/>
        <v>1182226206.0143347</v>
      </c>
      <c r="BB186" s="52">
        <f t="shared" si="302"/>
        <v>0.52450142236660813</v>
      </c>
      <c r="BC186" s="1170">
        <f t="shared" si="303"/>
        <v>840988949.82527876</v>
      </c>
      <c r="BD186" s="52">
        <f t="shared" si="304"/>
        <v>0.37310956070331802</v>
      </c>
      <c r="BE186" s="50"/>
      <c r="BF186" s="50" t="s">
        <v>82</v>
      </c>
      <c r="BG186" s="50" t="s">
        <v>96</v>
      </c>
      <c r="BH186" s="53" t="s">
        <v>175</v>
      </c>
      <c r="BI186" s="1251" t="s">
        <v>516</v>
      </c>
    </row>
    <row r="187" spans="1:61" ht="409.5" x14ac:dyDescent="0.25">
      <c r="A187" s="39" t="s">
        <v>517</v>
      </c>
      <c r="B187" s="53" t="s">
        <v>518</v>
      </c>
      <c r="C187" s="53" t="s">
        <v>1778</v>
      </c>
      <c r="D187" s="578">
        <v>0.5</v>
      </c>
      <c r="E187" s="85">
        <v>1</v>
      </c>
      <c r="F187" s="85">
        <v>1</v>
      </c>
      <c r="G187" s="749">
        <v>1</v>
      </c>
      <c r="H187" s="85">
        <v>1</v>
      </c>
      <c r="I187" s="69">
        <v>1</v>
      </c>
      <c r="J187" s="576">
        <v>1</v>
      </c>
      <c r="K187" s="56">
        <v>100</v>
      </c>
      <c r="L187" s="42"/>
      <c r="M187" s="593"/>
      <c r="N187" s="593"/>
      <c r="O187" s="575">
        <f t="shared" si="322"/>
        <v>1</v>
      </c>
      <c r="P187" s="575">
        <f t="shared" si="322"/>
        <v>1</v>
      </c>
      <c r="Q187" s="575">
        <f t="shared" si="322"/>
        <v>1</v>
      </c>
      <c r="R187" s="44">
        <f t="shared" si="323"/>
        <v>1</v>
      </c>
      <c r="S187" s="101" t="s">
        <v>1672</v>
      </c>
      <c r="T187" s="234"/>
      <c r="U187" s="40" t="s">
        <v>1796</v>
      </c>
      <c r="V187" s="544"/>
      <c r="W187" s="45" t="s">
        <v>1807</v>
      </c>
      <c r="X187" s="554" t="s">
        <v>1752</v>
      </c>
      <c r="Y187" s="43">
        <f t="shared" si="324"/>
        <v>3.5</v>
      </c>
      <c r="Z187" s="698">
        <f t="shared" si="325"/>
        <v>103</v>
      </c>
      <c r="AA187" s="43">
        <f t="shared" si="326"/>
        <v>1</v>
      </c>
      <c r="AB187" s="48">
        <v>0.2</v>
      </c>
      <c r="AC187" s="48">
        <v>0.2</v>
      </c>
      <c r="AD187" s="48">
        <v>0.2</v>
      </c>
      <c r="AE187" s="43">
        <v>0.2</v>
      </c>
      <c r="AF187" s="43">
        <v>0.21</v>
      </c>
      <c r="AG187" s="49">
        <v>1000000000</v>
      </c>
      <c r="AH187" s="50"/>
      <c r="AI187" s="50"/>
      <c r="AJ187" s="240">
        <v>1287248945.2213743</v>
      </c>
      <c r="AK187" s="240">
        <v>862661975.9370662</v>
      </c>
      <c r="AL187" s="932">
        <f t="shared" si="231"/>
        <v>0.86266197593706617</v>
      </c>
      <c r="AM187" s="50"/>
      <c r="AN187" s="723"/>
      <c r="AO187" s="240">
        <v>1218263518.5343511</v>
      </c>
      <c r="AP187" s="240">
        <v>260670461.36048126</v>
      </c>
      <c r="AQ187" s="1155">
        <f t="shared" si="234"/>
        <v>0.26067046136048128</v>
      </c>
      <c r="AR187" s="51">
        <f t="shared" si="235"/>
        <v>601991514.57658494</v>
      </c>
      <c r="AS187" s="51"/>
      <c r="AT187" s="51"/>
      <c r="AU187" s="51"/>
      <c r="AV187" s="51"/>
      <c r="AW187" s="51">
        <f t="shared" si="310"/>
        <v>68985426.687023163</v>
      </c>
      <c r="AX187" s="51"/>
      <c r="AY187" s="43">
        <f t="shared" si="237"/>
        <v>0</v>
      </c>
      <c r="AZ187" s="49">
        <f>2300000000+AG187+3595319379</f>
        <v>6895319379</v>
      </c>
      <c r="BA187" s="45">
        <f t="shared" si="301"/>
        <v>2149910921.1584406</v>
      </c>
      <c r="BB187" s="52">
        <f t="shared" si="302"/>
        <v>0.31179279783705005</v>
      </c>
      <c r="BC187" s="1170">
        <f t="shared" si="303"/>
        <v>1478933979.8948324</v>
      </c>
      <c r="BD187" s="52">
        <f t="shared" si="304"/>
        <v>0.21448375319626109</v>
      </c>
      <c r="BE187" s="50"/>
      <c r="BF187" s="50" t="s">
        <v>82</v>
      </c>
      <c r="BG187" s="50"/>
      <c r="BH187" s="53" t="s">
        <v>175</v>
      </c>
      <c r="BI187" s="1223"/>
    </row>
    <row r="188" spans="1:61" ht="105" customHeight="1" x14ac:dyDescent="0.25">
      <c r="A188" s="39" t="s">
        <v>519</v>
      </c>
      <c r="B188" s="53" t="s">
        <v>520</v>
      </c>
      <c r="C188" s="53" t="s">
        <v>1778</v>
      </c>
      <c r="D188" s="578">
        <v>0.5</v>
      </c>
      <c r="E188" s="85">
        <v>1</v>
      </c>
      <c r="F188" s="85">
        <v>1</v>
      </c>
      <c r="G188" s="749">
        <v>1</v>
      </c>
      <c r="H188" s="85">
        <v>1</v>
      </c>
      <c r="I188" s="69">
        <v>1</v>
      </c>
      <c r="J188" s="576">
        <v>1</v>
      </c>
      <c r="K188" s="576">
        <v>0.53</v>
      </c>
      <c r="L188" s="42"/>
      <c r="M188" s="593"/>
      <c r="N188" s="593"/>
      <c r="O188" s="575">
        <f t="shared" si="322"/>
        <v>1</v>
      </c>
      <c r="P188" s="575">
        <f t="shared" si="322"/>
        <v>1</v>
      </c>
      <c r="Q188" s="575">
        <f t="shared" si="322"/>
        <v>1</v>
      </c>
      <c r="R188" s="44">
        <f t="shared" si="323"/>
        <v>0.53</v>
      </c>
      <c r="S188" s="423" t="s">
        <v>1647</v>
      </c>
      <c r="T188" s="234"/>
      <c r="U188" s="40" t="s">
        <v>1796</v>
      </c>
      <c r="V188" s="544"/>
      <c r="W188" s="45"/>
      <c r="X188" s="554" t="s">
        <v>1752</v>
      </c>
      <c r="Y188" s="43">
        <f t="shared" si="324"/>
        <v>3.5</v>
      </c>
      <c r="Z188" s="698">
        <f t="shared" si="325"/>
        <v>3.5300000000000002</v>
      </c>
      <c r="AA188" s="43">
        <f t="shared" si="326"/>
        <v>1</v>
      </c>
      <c r="AB188" s="48">
        <v>0.15</v>
      </c>
      <c r="AC188" s="48">
        <v>0.15</v>
      </c>
      <c r="AD188" s="48">
        <v>0.16</v>
      </c>
      <c r="AE188" s="43">
        <v>0.15</v>
      </c>
      <c r="AF188" s="43">
        <v>0.15</v>
      </c>
      <c r="AG188" s="49">
        <v>400000000</v>
      </c>
      <c r="AH188" s="50"/>
      <c r="AI188" s="50"/>
      <c r="AJ188" s="240">
        <v>750895218.04580164</v>
      </c>
      <c r="AK188" s="240">
        <v>345064790.37482649</v>
      </c>
      <c r="AL188" s="932">
        <f t="shared" si="231"/>
        <v>0.86266197593706617</v>
      </c>
      <c r="AM188" s="50"/>
      <c r="AN188" s="723"/>
      <c r="AO188" s="240">
        <v>710653719.14503813</v>
      </c>
      <c r="AP188" s="240">
        <v>104268184.54419251</v>
      </c>
      <c r="AQ188" s="1155">
        <f t="shared" si="234"/>
        <v>0.26067046136048128</v>
      </c>
      <c r="AR188" s="51">
        <f t="shared" si="235"/>
        <v>240796605.830634</v>
      </c>
      <c r="AS188" s="51"/>
      <c r="AT188" s="51"/>
      <c r="AU188" s="51"/>
      <c r="AV188" s="51"/>
      <c r="AW188" s="51">
        <f t="shared" si="310"/>
        <v>40241498.900763512</v>
      </c>
      <c r="AX188" s="51"/>
      <c r="AY188" s="43">
        <f t="shared" si="237"/>
        <v>0</v>
      </c>
      <c r="AZ188" s="49">
        <v>2296538000</v>
      </c>
      <c r="BA188" s="45">
        <f t="shared" si="301"/>
        <v>1095960008.4206281</v>
      </c>
      <c r="BB188" s="52">
        <f t="shared" si="302"/>
        <v>0.4772226753577028</v>
      </c>
      <c r="BC188" s="1170">
        <f t="shared" si="303"/>
        <v>814921903.68923068</v>
      </c>
      <c r="BD188" s="52">
        <f t="shared" si="304"/>
        <v>0.35484799454188465</v>
      </c>
      <c r="BE188" s="50"/>
      <c r="BF188" s="50" t="s">
        <v>82</v>
      </c>
      <c r="BG188" s="45" t="s">
        <v>97</v>
      </c>
      <c r="BH188" s="53" t="s">
        <v>175</v>
      </c>
      <c r="BI188" s="1223"/>
    </row>
    <row r="189" spans="1:61" ht="217.5" x14ac:dyDescent="0.25">
      <c r="A189" s="39" t="s">
        <v>521</v>
      </c>
      <c r="B189" s="53" t="s">
        <v>522</v>
      </c>
      <c r="C189" s="53" t="s">
        <v>1778</v>
      </c>
      <c r="D189" s="578">
        <v>1</v>
      </c>
      <c r="E189" s="85">
        <v>1</v>
      </c>
      <c r="F189" s="85">
        <v>1</v>
      </c>
      <c r="G189" s="749">
        <v>1</v>
      </c>
      <c r="H189" s="85">
        <v>1</v>
      </c>
      <c r="I189" s="43">
        <v>0.1</v>
      </c>
      <c r="J189" s="69">
        <v>1</v>
      </c>
      <c r="K189" s="576">
        <v>0.75</v>
      </c>
      <c r="L189" s="594"/>
      <c r="M189" s="594"/>
      <c r="N189" s="594"/>
      <c r="O189" s="687">
        <f t="shared" si="322"/>
        <v>1</v>
      </c>
      <c r="P189" s="687">
        <f t="shared" si="322"/>
        <v>0.1</v>
      </c>
      <c r="Q189" s="687">
        <f t="shared" si="322"/>
        <v>1</v>
      </c>
      <c r="R189" s="67">
        <f t="shared" si="323"/>
        <v>0.75</v>
      </c>
      <c r="S189" s="112" t="s">
        <v>1648</v>
      </c>
      <c r="T189" s="234"/>
      <c r="U189" s="40" t="s">
        <v>1796</v>
      </c>
      <c r="V189" s="544"/>
      <c r="W189" s="45"/>
      <c r="X189" s="554" t="s">
        <v>1752</v>
      </c>
      <c r="Y189" s="43">
        <f t="shared" si="324"/>
        <v>4</v>
      </c>
      <c r="Z189" s="697">
        <f t="shared" si="325"/>
        <v>2.85</v>
      </c>
      <c r="AA189" s="44">
        <f t="shared" si="326"/>
        <v>0.71250000000000002</v>
      </c>
      <c r="AB189" s="48">
        <v>0.2</v>
      </c>
      <c r="AC189" s="48">
        <v>0.2</v>
      </c>
      <c r="AD189" s="48">
        <v>0.2</v>
      </c>
      <c r="AE189" s="43">
        <v>0.2</v>
      </c>
      <c r="AF189" s="43">
        <v>0.21</v>
      </c>
      <c r="AG189" s="49">
        <v>161000000</v>
      </c>
      <c r="AH189" s="50"/>
      <c r="AI189" s="50"/>
      <c r="AJ189" s="240">
        <v>321812236.30534357</v>
      </c>
      <c r="AK189" s="240">
        <v>138888578.12586766</v>
      </c>
      <c r="AL189" s="932">
        <f t="shared" si="231"/>
        <v>0.86266197593706628</v>
      </c>
      <c r="AM189" s="50"/>
      <c r="AN189" s="723"/>
      <c r="AO189" s="240">
        <v>304565879.63358778</v>
      </c>
      <c r="AP189" s="240">
        <v>41967944.279037483</v>
      </c>
      <c r="AQ189" s="1155">
        <f t="shared" si="234"/>
        <v>0.26067046136048128</v>
      </c>
      <c r="AR189" s="51">
        <f t="shared" si="235"/>
        <v>96920633.846830189</v>
      </c>
      <c r="AS189" s="51"/>
      <c r="AT189" s="51"/>
      <c r="AU189" s="51"/>
      <c r="AV189" s="51"/>
      <c r="AW189" s="51">
        <f t="shared" si="310"/>
        <v>17246356.671755791</v>
      </c>
      <c r="AX189" s="51"/>
      <c r="AY189" s="43">
        <f t="shared" si="237"/>
        <v>0</v>
      </c>
      <c r="AZ189" s="49">
        <f>1712534461+AG189</f>
        <v>1873534461</v>
      </c>
      <c r="BA189" s="45">
        <f t="shared" si="301"/>
        <v>460700814.43121123</v>
      </c>
      <c r="BB189" s="52">
        <f t="shared" si="302"/>
        <v>0.24589930103837637</v>
      </c>
      <c r="BC189" s="1170">
        <f t="shared" si="303"/>
        <v>346533823.91262525</v>
      </c>
      <c r="BD189" s="52">
        <f t="shared" si="304"/>
        <v>0.18496261004329892</v>
      </c>
      <c r="BE189" s="50"/>
      <c r="BF189" s="50" t="s">
        <v>82</v>
      </c>
      <c r="BG189" s="50"/>
      <c r="BH189" s="53" t="s">
        <v>175</v>
      </c>
      <c r="BI189" s="1223"/>
    </row>
    <row r="190" spans="1:61" ht="77.25" customHeight="1" x14ac:dyDescent="0.25">
      <c r="A190" s="209" t="s">
        <v>523</v>
      </c>
      <c r="B190" s="53" t="s">
        <v>524</v>
      </c>
      <c r="C190" s="91" t="s">
        <v>1776</v>
      </c>
      <c r="D190" s="580">
        <v>1</v>
      </c>
      <c r="E190" s="76">
        <v>0</v>
      </c>
      <c r="F190" s="76">
        <v>1</v>
      </c>
      <c r="G190" s="748">
        <v>0</v>
      </c>
      <c r="H190" s="76">
        <v>1</v>
      </c>
      <c r="I190" s="42" t="s">
        <v>163</v>
      </c>
      <c r="J190" s="56">
        <v>1</v>
      </c>
      <c r="K190" s="56" t="s">
        <v>163</v>
      </c>
      <c r="L190" s="594"/>
      <c r="M190" s="593"/>
      <c r="N190" s="593"/>
      <c r="O190" s="575">
        <f t="shared" si="322"/>
        <v>1</v>
      </c>
      <c r="P190" s="575">
        <f t="shared" si="322"/>
        <v>0</v>
      </c>
      <c r="Q190" s="575">
        <f t="shared" si="322"/>
        <v>1</v>
      </c>
      <c r="R190" s="67">
        <f t="shared" si="323"/>
        <v>0</v>
      </c>
      <c r="S190" s="101"/>
      <c r="T190" s="234"/>
      <c r="U190" s="46"/>
      <c r="V190" s="40"/>
      <c r="W190" s="545"/>
      <c r="X190" s="553"/>
      <c r="Y190" s="40">
        <f t="shared" si="324"/>
        <v>2</v>
      </c>
      <c r="Z190" s="47">
        <f t="shared" si="325"/>
        <v>2</v>
      </c>
      <c r="AA190" s="43">
        <f t="shared" si="326"/>
        <v>1</v>
      </c>
      <c r="AB190" s="48">
        <v>0.02</v>
      </c>
      <c r="AC190" s="48">
        <v>0.03</v>
      </c>
      <c r="AD190" s="48">
        <v>0</v>
      </c>
      <c r="AE190" s="43">
        <v>0.03</v>
      </c>
      <c r="AF190" s="43">
        <v>0</v>
      </c>
      <c r="AG190" s="70"/>
      <c r="AH190" s="50"/>
      <c r="AI190" s="50"/>
      <c r="AJ190" s="240">
        <v>80453059.076335892</v>
      </c>
      <c r="AK190" s="240"/>
      <c r="AL190" s="932" t="e">
        <f t="shared" si="231"/>
        <v>#DIV/0!</v>
      </c>
      <c r="AM190" s="50"/>
      <c r="AN190" s="723"/>
      <c r="AO190" s="240">
        <v>76141469.908396944</v>
      </c>
      <c r="AP190" s="240"/>
      <c r="AQ190" s="1155" t="e">
        <f t="shared" si="234"/>
        <v>#DIV/0!</v>
      </c>
      <c r="AR190" s="51">
        <f t="shared" si="235"/>
        <v>0</v>
      </c>
      <c r="AS190" s="51"/>
      <c r="AT190" s="51"/>
      <c r="AU190" s="51"/>
      <c r="AV190" s="51"/>
      <c r="AW190" s="51">
        <f t="shared" si="310"/>
        <v>4311589.1679389477</v>
      </c>
      <c r="AX190" s="51"/>
      <c r="AY190" s="43">
        <f t="shared" si="237"/>
        <v>0</v>
      </c>
      <c r="AZ190" s="70">
        <f>304712970+AG190</f>
        <v>304712970</v>
      </c>
      <c r="BA190" s="45">
        <f t="shared" si="301"/>
        <v>80453059.076335892</v>
      </c>
      <c r="BB190" s="52">
        <f t="shared" si="302"/>
        <v>0.26402899448729045</v>
      </c>
      <c r="BC190" s="1170">
        <f t="shared" si="303"/>
        <v>76141469.908396944</v>
      </c>
      <c r="BD190" s="52">
        <f t="shared" si="304"/>
        <v>0.24987932055664366</v>
      </c>
      <c r="BE190" s="50"/>
      <c r="BF190" s="50" t="s">
        <v>82</v>
      </c>
      <c r="BG190" s="50"/>
      <c r="BH190" s="53" t="s">
        <v>175</v>
      </c>
      <c r="BI190" s="1223"/>
    </row>
    <row r="191" spans="1:61" ht="65.25" customHeight="1" x14ac:dyDescent="0.25">
      <c r="A191" s="39" t="s">
        <v>525</v>
      </c>
      <c r="B191" s="53" t="s">
        <v>526</v>
      </c>
      <c r="C191" s="91" t="s">
        <v>1776</v>
      </c>
      <c r="D191" s="53">
        <v>1</v>
      </c>
      <c r="E191" s="76">
        <v>1</v>
      </c>
      <c r="F191" s="76">
        <v>1</v>
      </c>
      <c r="G191" s="748">
        <v>1</v>
      </c>
      <c r="H191" s="76">
        <v>1</v>
      </c>
      <c r="I191" s="42">
        <v>0</v>
      </c>
      <c r="J191" s="56">
        <v>1</v>
      </c>
      <c r="K191" s="56">
        <v>1</v>
      </c>
      <c r="L191" s="594"/>
      <c r="M191" s="594"/>
      <c r="N191" s="594"/>
      <c r="O191" s="687">
        <f t="shared" si="322"/>
        <v>1</v>
      </c>
      <c r="P191" s="687">
        <f t="shared" si="322"/>
        <v>0</v>
      </c>
      <c r="Q191" s="687">
        <f t="shared" si="322"/>
        <v>1</v>
      </c>
      <c r="R191" s="67">
        <f t="shared" si="323"/>
        <v>1</v>
      </c>
      <c r="S191" s="101" t="s">
        <v>1649</v>
      </c>
      <c r="T191" s="234"/>
      <c r="U191" s="40" t="s">
        <v>1796</v>
      </c>
      <c r="V191" s="544"/>
      <c r="W191" s="45" t="s">
        <v>1807</v>
      </c>
      <c r="X191" s="554" t="s">
        <v>1752</v>
      </c>
      <c r="Y191" s="40">
        <f t="shared" si="324"/>
        <v>4</v>
      </c>
      <c r="Z191" s="42">
        <f t="shared" si="325"/>
        <v>3</v>
      </c>
      <c r="AA191" s="43">
        <f t="shared" si="326"/>
        <v>0.75</v>
      </c>
      <c r="AB191" s="48">
        <v>0.11</v>
      </c>
      <c r="AC191" s="48">
        <v>0.12</v>
      </c>
      <c r="AD191" s="48">
        <v>0.11</v>
      </c>
      <c r="AE191" s="43">
        <v>0.12</v>
      </c>
      <c r="AF191" s="43">
        <v>0.12</v>
      </c>
      <c r="AG191" s="49">
        <v>100000000</v>
      </c>
      <c r="AH191" s="50"/>
      <c r="AI191" s="50"/>
      <c r="AJ191" s="240">
        <v>321812236.30534357</v>
      </c>
      <c r="AK191" s="240">
        <v>86266197.593706623</v>
      </c>
      <c r="AL191" s="932">
        <f t="shared" si="231"/>
        <v>0.86266197593706617</v>
      </c>
      <c r="AM191" s="50"/>
      <c r="AN191" s="723"/>
      <c r="AO191" s="240">
        <v>304565879.63358778</v>
      </c>
      <c r="AP191" s="240">
        <v>26067046.136048127</v>
      </c>
      <c r="AQ191" s="1155">
        <f t="shared" si="234"/>
        <v>0.26067046136048128</v>
      </c>
      <c r="AR191" s="51">
        <f t="shared" si="235"/>
        <v>60199151.457658499</v>
      </c>
      <c r="AS191" s="51"/>
      <c r="AT191" s="51"/>
      <c r="AU191" s="51"/>
      <c r="AV191" s="51"/>
      <c r="AW191" s="51">
        <f t="shared" si="310"/>
        <v>17246356.671755791</v>
      </c>
      <c r="AX191" s="51"/>
      <c r="AY191" s="43">
        <f t="shared" si="237"/>
        <v>0</v>
      </c>
      <c r="AZ191" s="49">
        <f>269542877+AG191</f>
        <v>369542877</v>
      </c>
      <c r="BA191" s="45">
        <f t="shared" si="301"/>
        <v>408078433.89905018</v>
      </c>
      <c r="BB191" s="52">
        <f t="shared" si="302"/>
        <v>1.1042789870877423</v>
      </c>
      <c r="BC191" s="1170">
        <f t="shared" si="303"/>
        <v>330632925.76963592</v>
      </c>
      <c r="BD191" s="52">
        <f t="shared" si="304"/>
        <v>0.89470788465403406</v>
      </c>
      <c r="BE191" s="50"/>
      <c r="BF191" s="50" t="s">
        <v>82</v>
      </c>
      <c r="BG191" s="50"/>
      <c r="BH191" s="53" t="s">
        <v>175</v>
      </c>
      <c r="BI191" s="1224"/>
    </row>
    <row r="192" spans="1:61" ht="27" customHeight="1" x14ac:dyDescent="0.25">
      <c r="A192" s="72" t="s">
        <v>527</v>
      </c>
      <c r="B192" s="53" t="s">
        <v>528</v>
      </c>
      <c r="C192" s="91" t="s">
        <v>1776</v>
      </c>
      <c r="D192" s="53">
        <v>0</v>
      </c>
      <c r="E192" s="76">
        <v>1</v>
      </c>
      <c r="F192" s="76">
        <v>0</v>
      </c>
      <c r="G192" s="748">
        <v>0</v>
      </c>
      <c r="H192" s="42" t="s">
        <v>163</v>
      </c>
      <c r="I192" s="42">
        <v>0</v>
      </c>
      <c r="J192" s="42" t="s">
        <v>163</v>
      </c>
      <c r="K192" s="102" t="s">
        <v>163</v>
      </c>
      <c r="L192" s="42"/>
      <c r="M192" s="291">
        <v>1</v>
      </c>
      <c r="N192" s="291"/>
      <c r="O192" s="687">
        <f t="shared" si="322"/>
        <v>0</v>
      </c>
      <c r="P192" s="687">
        <f t="shared" si="322"/>
        <v>1</v>
      </c>
      <c r="Q192" s="687">
        <f t="shared" si="322"/>
        <v>0</v>
      </c>
      <c r="R192" s="67">
        <f t="shared" si="323"/>
        <v>0</v>
      </c>
      <c r="S192" s="427"/>
      <c r="T192" s="103"/>
      <c r="U192" s="46"/>
      <c r="V192" s="40"/>
      <c r="W192" s="45"/>
      <c r="X192" s="103"/>
      <c r="Y192" s="40">
        <f t="shared" si="324"/>
        <v>1</v>
      </c>
      <c r="Z192" s="47">
        <f t="shared" si="325"/>
        <v>1</v>
      </c>
      <c r="AA192" s="43">
        <f t="shared" si="326"/>
        <v>1</v>
      </c>
      <c r="AB192" s="48">
        <v>0.02</v>
      </c>
      <c r="AC192" s="48">
        <v>0</v>
      </c>
      <c r="AD192" s="48">
        <v>0.03</v>
      </c>
      <c r="AE192" s="43">
        <v>0</v>
      </c>
      <c r="AF192" s="43">
        <v>0</v>
      </c>
      <c r="AG192" s="49"/>
      <c r="AH192" s="50"/>
      <c r="AI192" s="50"/>
      <c r="AJ192" s="240"/>
      <c r="AK192" s="240"/>
      <c r="AL192" s="932" t="e">
        <f t="shared" si="231"/>
        <v>#DIV/0!</v>
      </c>
      <c r="AM192" s="50"/>
      <c r="AN192" s="723"/>
      <c r="AO192" s="240"/>
      <c r="AP192" s="240"/>
      <c r="AQ192" s="1155" t="e">
        <f t="shared" si="234"/>
        <v>#DIV/0!</v>
      </c>
      <c r="AR192" s="51">
        <f t="shared" si="235"/>
        <v>0</v>
      </c>
      <c r="AS192" s="51"/>
      <c r="AT192" s="51"/>
      <c r="AU192" s="51"/>
      <c r="AV192" s="51"/>
      <c r="AW192" s="51">
        <f t="shared" si="310"/>
        <v>0</v>
      </c>
      <c r="AX192" s="51"/>
      <c r="AY192" s="43" t="e">
        <f t="shared" si="237"/>
        <v>#DIV/0!</v>
      </c>
      <c r="AZ192" s="49">
        <f>40000000+AG192</f>
        <v>40000000</v>
      </c>
      <c r="BA192" s="45">
        <f t="shared" si="301"/>
        <v>0</v>
      </c>
      <c r="BB192" s="52">
        <f t="shared" si="302"/>
        <v>0</v>
      </c>
      <c r="BC192" s="1170">
        <f t="shared" si="303"/>
        <v>0</v>
      </c>
      <c r="BD192" s="52">
        <f t="shared" si="304"/>
        <v>0</v>
      </c>
      <c r="BE192" s="50"/>
      <c r="BF192" s="50" t="s">
        <v>82</v>
      </c>
      <c r="BG192" s="50" t="s">
        <v>98</v>
      </c>
      <c r="BH192" s="53" t="s">
        <v>175</v>
      </c>
      <c r="BI192" s="625" t="s">
        <v>529</v>
      </c>
    </row>
    <row r="193" spans="1:61" ht="64.5" customHeight="1" x14ac:dyDescent="0.25">
      <c r="A193" s="32" t="s">
        <v>530</v>
      </c>
      <c r="B193" s="33"/>
      <c r="C193" s="33"/>
      <c r="D193" s="33"/>
      <c r="E193" s="34"/>
      <c r="F193" s="34"/>
      <c r="G193" s="745"/>
      <c r="H193" s="34"/>
      <c r="I193" s="34"/>
      <c r="J193" s="34"/>
      <c r="K193" s="34"/>
      <c r="L193" s="34"/>
      <c r="M193" s="34"/>
      <c r="N193" s="34"/>
      <c r="O193" s="607">
        <f>+SUMPRODUCT(O194:O200,AC194:AC200)</f>
        <v>1</v>
      </c>
      <c r="P193" s="607">
        <f>+SUMPRODUCT(P194:P200,AD194:AD200)</f>
        <v>1</v>
      </c>
      <c r="Q193" s="607">
        <f>+SUMPRODUCT(Q194:Q200,AE194:AE200)</f>
        <v>0.66000000000000014</v>
      </c>
      <c r="R193" s="607">
        <f>+SUMPRODUCT(R194:R200,AF194:AF200)</f>
        <v>0.33974285714285718</v>
      </c>
      <c r="S193" s="11"/>
      <c r="T193" s="32"/>
      <c r="U193" s="33"/>
      <c r="V193" s="33"/>
      <c r="W193" s="33"/>
      <c r="X193" s="32"/>
      <c r="Y193" s="11"/>
      <c r="Z193" s="36"/>
      <c r="AA193" s="607">
        <f>+SUMPRODUCT(AA194:AA200,AB194:AB200)</f>
        <v>0.72523859649122813</v>
      </c>
      <c r="AB193" s="35">
        <v>0.15</v>
      </c>
      <c r="AC193" s="35">
        <v>0.15</v>
      </c>
      <c r="AD193" s="35">
        <v>0.15</v>
      </c>
      <c r="AE193" s="35">
        <v>0.15</v>
      </c>
      <c r="AF193" s="35">
        <v>0.15</v>
      </c>
      <c r="AG193" s="33">
        <f>SUM(AG194:AG200)</f>
        <v>400000000</v>
      </c>
      <c r="AH193" s="33">
        <v>81713362</v>
      </c>
      <c r="AI193" s="33">
        <v>281305829.51999998</v>
      </c>
      <c r="AJ193" s="33">
        <f t="shared" ref="AJ193:AK193" si="327">SUM(AJ194:AJ200)</f>
        <v>222843884</v>
      </c>
      <c r="AK193" s="33">
        <f t="shared" si="327"/>
        <v>163479070</v>
      </c>
      <c r="AL193" s="1138">
        <f t="shared" si="231"/>
        <v>0.40869767499999998</v>
      </c>
      <c r="AM193" s="733">
        <v>81713362</v>
      </c>
      <c r="AN193" s="725">
        <v>242405829.51999998</v>
      </c>
      <c r="AO193" s="242">
        <f t="shared" ref="AO193" si="328">SUM(AO194:AO200)</f>
        <v>51174922</v>
      </c>
      <c r="AP193" s="242">
        <f>SUM(AP194:AP200)</f>
        <v>16330190</v>
      </c>
      <c r="AQ193" s="1162">
        <f t="shared" si="234"/>
        <v>4.0825475E-2</v>
      </c>
      <c r="AR193" s="673">
        <f t="shared" si="235"/>
        <v>147148880</v>
      </c>
      <c r="AS193" s="673">
        <v>0</v>
      </c>
      <c r="AT193" s="37">
        <v>0</v>
      </c>
      <c r="AU193" s="530">
        <f>+AI193-AN193</f>
        <v>38900000</v>
      </c>
      <c r="AV193" s="681">
        <v>34400000</v>
      </c>
      <c r="AW193" s="37">
        <f t="shared" si="310"/>
        <v>171668962</v>
      </c>
      <c r="AX193" s="37">
        <f>SUM(AX194:AX200)</f>
        <v>0</v>
      </c>
      <c r="AY193" s="35">
        <f t="shared" si="237"/>
        <v>0</v>
      </c>
      <c r="AZ193" s="33">
        <f>SUM(AZ194:AZ200)-600000000</f>
        <v>1500000000</v>
      </c>
      <c r="BA193" s="33">
        <f t="shared" si="301"/>
        <v>749342145.51999998</v>
      </c>
      <c r="BB193" s="35">
        <f t="shared" si="302"/>
        <v>0.49956143034666667</v>
      </c>
      <c r="BC193" s="1172">
        <f t="shared" si="303"/>
        <v>426024303.51999998</v>
      </c>
      <c r="BD193" s="35">
        <f t="shared" si="304"/>
        <v>0.28401620234666664</v>
      </c>
      <c r="BE193" s="33"/>
      <c r="BF193" s="33" t="s">
        <v>82</v>
      </c>
      <c r="BG193" s="33"/>
      <c r="BH193" s="33"/>
      <c r="BI193" s="618"/>
    </row>
    <row r="194" spans="1:61" ht="70.5" customHeight="1" x14ac:dyDescent="0.25">
      <c r="A194" s="39" t="s">
        <v>531</v>
      </c>
      <c r="B194" s="53" t="s">
        <v>532</v>
      </c>
      <c r="C194" s="53" t="s">
        <v>1032</v>
      </c>
      <c r="D194" s="53">
        <v>0</v>
      </c>
      <c r="E194" s="66">
        <v>2</v>
      </c>
      <c r="F194" s="76">
        <v>1</v>
      </c>
      <c r="G194" s="748">
        <v>1</v>
      </c>
      <c r="H194" s="76" t="s">
        <v>163</v>
      </c>
      <c r="I194" s="42">
        <v>2</v>
      </c>
      <c r="J194" s="42">
        <v>2</v>
      </c>
      <c r="K194" s="1118">
        <v>0.1</v>
      </c>
      <c r="L194" s="42"/>
      <c r="M194" s="593"/>
      <c r="N194" s="593"/>
      <c r="O194" s="579">
        <f t="shared" ref="O194:Q209" si="329">+IFERROR(IF((H194+L194)/D194&gt;=100%,100%,(H194+L194)/D194),0)</f>
        <v>0</v>
      </c>
      <c r="P194" s="579">
        <f t="shared" si="329"/>
        <v>1</v>
      </c>
      <c r="Q194" s="579">
        <f t="shared" si="329"/>
        <v>1</v>
      </c>
      <c r="R194" s="44">
        <f t="shared" ref="R194:R200" si="330">+IFERROR(IF(K194/G194&gt;=100%,100%,K194/G194),0)</f>
        <v>0.1</v>
      </c>
      <c r="S194" s="1123" t="s">
        <v>1665</v>
      </c>
      <c r="T194" s="234"/>
      <c r="U194" s="40" t="s">
        <v>1796</v>
      </c>
      <c r="V194" s="544"/>
      <c r="W194" s="45" t="s">
        <v>1807</v>
      </c>
      <c r="X194" s="40" t="s">
        <v>1753</v>
      </c>
      <c r="Y194" s="40">
        <f t="shared" ref="Y194:Y200" si="331">SUM(D194:G194)</f>
        <v>4</v>
      </c>
      <c r="Z194" s="47">
        <f t="shared" ref="Z194:Z200" si="332">SUM(H194:N194)</f>
        <v>4.0999999999999996</v>
      </c>
      <c r="AA194" s="43">
        <f t="shared" ref="AA194:AA200" si="333">IF(Z194/Y194&gt;=100%,100%,Z194/Y194)</f>
        <v>1</v>
      </c>
      <c r="AB194" s="48">
        <v>0.06</v>
      </c>
      <c r="AC194" s="48">
        <v>0</v>
      </c>
      <c r="AD194" s="48">
        <v>0.06</v>
      </c>
      <c r="AE194" s="43">
        <v>0.08</v>
      </c>
      <c r="AF194" s="43">
        <v>0.1</v>
      </c>
      <c r="AG194" s="49">
        <v>100000000</v>
      </c>
      <c r="AH194" s="50"/>
      <c r="AI194" s="50"/>
      <c r="AJ194" s="240">
        <v>44568776.799999997</v>
      </c>
      <c r="AK194" s="240">
        <v>40869767.5</v>
      </c>
      <c r="AL194" s="932">
        <f t="shared" si="231"/>
        <v>0.40869767499999998</v>
      </c>
      <c r="AM194" s="50"/>
      <c r="AN194" s="723"/>
      <c r="AO194" s="240">
        <v>10234984.4</v>
      </c>
      <c r="AP194" s="240">
        <v>4082547.5</v>
      </c>
      <c r="AQ194" s="1157">
        <f t="shared" si="234"/>
        <v>4.0825475E-2</v>
      </c>
      <c r="AR194" s="51">
        <f t="shared" si="235"/>
        <v>36787220</v>
      </c>
      <c r="AS194" s="51"/>
      <c r="AT194" s="51"/>
      <c r="AU194" s="51"/>
      <c r="AV194" s="51"/>
      <c r="AW194" s="51">
        <f t="shared" si="310"/>
        <v>34333792.399999999</v>
      </c>
      <c r="AX194" s="51"/>
      <c r="AY194" s="43">
        <f t="shared" si="237"/>
        <v>0</v>
      </c>
      <c r="AZ194" s="49">
        <f>290000000+AG194</f>
        <v>390000000</v>
      </c>
      <c r="BA194" s="45">
        <f t="shared" si="301"/>
        <v>85438544.299999997</v>
      </c>
      <c r="BB194" s="52">
        <f t="shared" si="302"/>
        <v>0.21907319051282051</v>
      </c>
      <c r="BC194" s="1170">
        <f t="shared" si="303"/>
        <v>14317531.9</v>
      </c>
      <c r="BD194" s="52">
        <f t="shared" si="304"/>
        <v>3.6711620256410255E-2</v>
      </c>
      <c r="BE194" s="50"/>
      <c r="BF194" s="50" t="s">
        <v>82</v>
      </c>
      <c r="BG194" s="50"/>
      <c r="BH194" s="53" t="s">
        <v>175</v>
      </c>
      <c r="BI194" s="1254" t="s">
        <v>533</v>
      </c>
    </row>
    <row r="195" spans="1:61" ht="47.25" customHeight="1" x14ac:dyDescent="0.25">
      <c r="A195" s="39" t="s">
        <v>534</v>
      </c>
      <c r="B195" s="53" t="s">
        <v>535</v>
      </c>
      <c r="C195" s="91" t="s">
        <v>1776</v>
      </c>
      <c r="D195" s="53">
        <v>0</v>
      </c>
      <c r="E195" s="76">
        <v>2</v>
      </c>
      <c r="F195" s="76">
        <v>0</v>
      </c>
      <c r="G195" s="748">
        <v>0</v>
      </c>
      <c r="H195" s="76" t="s">
        <v>163</v>
      </c>
      <c r="I195" s="42">
        <v>2</v>
      </c>
      <c r="J195" s="42" t="s">
        <v>163</v>
      </c>
      <c r="K195" s="42" t="s">
        <v>163</v>
      </c>
      <c r="L195" s="42"/>
      <c r="M195" s="593"/>
      <c r="N195" s="593"/>
      <c r="O195" s="579">
        <f t="shared" si="329"/>
        <v>0</v>
      </c>
      <c r="P195" s="579">
        <f t="shared" si="329"/>
        <v>1</v>
      </c>
      <c r="Q195" s="579">
        <f t="shared" si="329"/>
        <v>0</v>
      </c>
      <c r="R195" s="44">
        <f t="shared" si="330"/>
        <v>0</v>
      </c>
      <c r="S195" s="101"/>
      <c r="T195" s="234"/>
      <c r="U195" s="543" t="s">
        <v>1804</v>
      </c>
      <c r="V195" s="544"/>
      <c r="W195" s="545"/>
      <c r="X195" s="553"/>
      <c r="Y195" s="40">
        <f t="shared" si="331"/>
        <v>2</v>
      </c>
      <c r="Z195" s="47">
        <f t="shared" si="332"/>
        <v>2</v>
      </c>
      <c r="AA195" s="43">
        <f t="shared" si="333"/>
        <v>1</v>
      </c>
      <c r="AB195" s="48">
        <v>0.02</v>
      </c>
      <c r="AC195" s="48">
        <v>0</v>
      </c>
      <c r="AD195" s="48">
        <v>0.02</v>
      </c>
      <c r="AE195" s="43">
        <v>0</v>
      </c>
      <c r="AF195" s="43">
        <v>0</v>
      </c>
      <c r="AG195" s="49"/>
      <c r="AH195" s="50"/>
      <c r="AI195" s="50"/>
      <c r="AJ195" s="240">
        <v>0</v>
      </c>
      <c r="AK195" s="240"/>
      <c r="AL195" s="932" t="e">
        <f t="shared" si="231"/>
        <v>#DIV/0!</v>
      </c>
      <c r="AM195" s="50"/>
      <c r="AN195" s="723"/>
      <c r="AO195" s="240">
        <v>0</v>
      </c>
      <c r="AP195" s="240"/>
      <c r="AQ195" s="1157" t="e">
        <f t="shared" si="234"/>
        <v>#DIV/0!</v>
      </c>
      <c r="AR195" s="51">
        <f t="shared" si="235"/>
        <v>0</v>
      </c>
      <c r="AS195" s="51"/>
      <c r="AT195" s="51"/>
      <c r="AU195" s="51"/>
      <c r="AV195" s="51"/>
      <c r="AW195" s="51">
        <f t="shared" ref="AW195:AW222" si="334">+AJ195-AO195</f>
        <v>0</v>
      </c>
      <c r="AX195" s="51"/>
      <c r="AY195" s="43" t="e">
        <f t="shared" si="237"/>
        <v>#DIV/0!</v>
      </c>
      <c r="AZ195" s="49">
        <f>10000000+AG195</f>
        <v>10000000</v>
      </c>
      <c r="BA195" s="45">
        <f t="shared" si="301"/>
        <v>0</v>
      </c>
      <c r="BB195" s="52">
        <f t="shared" si="302"/>
        <v>0</v>
      </c>
      <c r="BC195" s="1170">
        <f t="shared" si="303"/>
        <v>0</v>
      </c>
      <c r="BD195" s="52">
        <f t="shared" si="304"/>
        <v>0</v>
      </c>
      <c r="BE195" s="50"/>
      <c r="BF195" s="50" t="s">
        <v>82</v>
      </c>
      <c r="BG195" s="50"/>
      <c r="BH195" s="57"/>
      <c r="BI195" s="1223"/>
    </row>
    <row r="196" spans="1:61" ht="78" customHeight="1" x14ac:dyDescent="0.25">
      <c r="A196" s="39" t="s">
        <v>536</v>
      </c>
      <c r="B196" s="53" t="s">
        <v>537</v>
      </c>
      <c r="C196" s="91" t="s">
        <v>1776</v>
      </c>
      <c r="D196" s="53">
        <v>0</v>
      </c>
      <c r="E196" s="76">
        <v>1</v>
      </c>
      <c r="F196" s="76">
        <v>1</v>
      </c>
      <c r="G196" s="748">
        <v>1</v>
      </c>
      <c r="H196" s="76" t="s">
        <v>163</v>
      </c>
      <c r="I196" s="42">
        <v>1</v>
      </c>
      <c r="J196" s="42">
        <v>0</v>
      </c>
      <c r="K196" s="84">
        <v>0</v>
      </c>
      <c r="L196" s="42"/>
      <c r="M196" s="42"/>
      <c r="N196" s="42"/>
      <c r="O196" s="579">
        <f t="shared" si="329"/>
        <v>0</v>
      </c>
      <c r="P196" s="579">
        <f t="shared" si="329"/>
        <v>1</v>
      </c>
      <c r="Q196" s="579">
        <f t="shared" si="329"/>
        <v>0</v>
      </c>
      <c r="R196" s="44">
        <f t="shared" si="330"/>
        <v>0</v>
      </c>
      <c r="S196" s="101" t="s">
        <v>1651</v>
      </c>
      <c r="T196" s="234"/>
      <c r="U196" s="40" t="s">
        <v>1804</v>
      </c>
      <c r="V196" s="544"/>
      <c r="W196" s="573"/>
      <c r="X196" s="40"/>
      <c r="Y196" s="40">
        <f t="shared" si="331"/>
        <v>3</v>
      </c>
      <c r="Z196" s="47">
        <f t="shared" si="332"/>
        <v>1</v>
      </c>
      <c r="AA196" s="44">
        <f t="shared" si="333"/>
        <v>0.33333333333333331</v>
      </c>
      <c r="AB196" s="48">
        <v>0.19</v>
      </c>
      <c r="AC196" s="48">
        <v>0</v>
      </c>
      <c r="AD196" s="48">
        <v>0.19</v>
      </c>
      <c r="AE196" s="43">
        <v>0.2</v>
      </c>
      <c r="AF196" s="43">
        <v>0.23</v>
      </c>
      <c r="AG196" s="49">
        <v>100000000</v>
      </c>
      <c r="AH196" s="50"/>
      <c r="AI196" s="50"/>
      <c r="AJ196" s="240">
        <v>44568776.799999997</v>
      </c>
      <c r="AK196" s="240">
        <v>40869767.5</v>
      </c>
      <c r="AL196" s="932">
        <f t="shared" si="231"/>
        <v>0.40869767499999998</v>
      </c>
      <c r="AM196" s="50"/>
      <c r="AN196" s="723"/>
      <c r="AO196" s="240">
        <v>10234984.4</v>
      </c>
      <c r="AP196" s="240">
        <v>4082547.5</v>
      </c>
      <c r="AQ196" s="1157">
        <f t="shared" si="234"/>
        <v>4.0825475E-2</v>
      </c>
      <c r="AR196" s="51">
        <f t="shared" si="235"/>
        <v>36787220</v>
      </c>
      <c r="AS196" s="51"/>
      <c r="AT196" s="51"/>
      <c r="AU196" s="51"/>
      <c r="AV196" s="51"/>
      <c r="AW196" s="51">
        <f t="shared" si="334"/>
        <v>34333792.399999999</v>
      </c>
      <c r="AX196" s="51"/>
      <c r="AY196" s="43">
        <f t="shared" si="237"/>
        <v>0</v>
      </c>
      <c r="AZ196" s="49">
        <f>140000000+AG196</f>
        <v>240000000</v>
      </c>
      <c r="BA196" s="45">
        <f t="shared" si="301"/>
        <v>85438544.299999997</v>
      </c>
      <c r="BB196" s="52">
        <f t="shared" si="302"/>
        <v>0.35599393458333334</v>
      </c>
      <c r="BC196" s="1170">
        <f t="shared" si="303"/>
        <v>14317531.9</v>
      </c>
      <c r="BD196" s="52">
        <f t="shared" si="304"/>
        <v>5.9656382916666667E-2</v>
      </c>
      <c r="BE196" s="50"/>
      <c r="BF196" s="50" t="s">
        <v>82</v>
      </c>
      <c r="BG196" s="50"/>
      <c r="BH196" s="57"/>
      <c r="BI196" s="1223"/>
    </row>
    <row r="197" spans="1:61" ht="50.25" customHeight="1" x14ac:dyDescent="0.25">
      <c r="A197" s="39" t="s">
        <v>538</v>
      </c>
      <c r="B197" s="53" t="s">
        <v>539</v>
      </c>
      <c r="C197" s="91" t="s">
        <v>1776</v>
      </c>
      <c r="D197" s="53">
        <v>0</v>
      </c>
      <c r="E197" s="76">
        <v>1</v>
      </c>
      <c r="F197" s="76">
        <v>0</v>
      </c>
      <c r="G197" s="748">
        <v>0</v>
      </c>
      <c r="H197" s="76" t="s">
        <v>163</v>
      </c>
      <c r="I197" s="42">
        <v>0</v>
      </c>
      <c r="J197" s="42" t="s">
        <v>163</v>
      </c>
      <c r="K197" s="42" t="s">
        <v>163</v>
      </c>
      <c r="L197" s="42"/>
      <c r="M197" s="291">
        <v>1</v>
      </c>
      <c r="N197" s="291"/>
      <c r="O197" s="579">
        <f t="shared" si="329"/>
        <v>0</v>
      </c>
      <c r="P197" s="579">
        <f t="shared" si="329"/>
        <v>1</v>
      </c>
      <c r="Q197" s="579">
        <f t="shared" si="329"/>
        <v>0</v>
      </c>
      <c r="R197" s="44">
        <f t="shared" si="330"/>
        <v>0</v>
      </c>
      <c r="S197" s="767"/>
      <c r="T197" s="234"/>
      <c r="U197" s="543" t="s">
        <v>1804</v>
      </c>
      <c r="V197" s="544"/>
      <c r="W197" s="545"/>
      <c r="X197" s="544"/>
      <c r="Y197" s="40">
        <f t="shared" si="331"/>
        <v>1</v>
      </c>
      <c r="Z197" s="47">
        <f t="shared" si="332"/>
        <v>1</v>
      </c>
      <c r="AA197" s="43">
        <f t="shared" si="333"/>
        <v>1</v>
      </c>
      <c r="AB197" s="48">
        <v>0.05</v>
      </c>
      <c r="AC197" s="48">
        <v>0</v>
      </c>
      <c r="AD197" s="48">
        <v>0.05</v>
      </c>
      <c r="AE197" s="43">
        <v>0</v>
      </c>
      <c r="AF197" s="43">
        <v>0</v>
      </c>
      <c r="AG197" s="49"/>
      <c r="AH197" s="50"/>
      <c r="AI197" s="50"/>
      <c r="AJ197" s="240">
        <v>0</v>
      </c>
      <c r="AK197" s="240"/>
      <c r="AL197" s="932" t="e">
        <f t="shared" si="231"/>
        <v>#DIV/0!</v>
      </c>
      <c r="AM197" s="50"/>
      <c r="AN197" s="723"/>
      <c r="AO197" s="240">
        <v>0</v>
      </c>
      <c r="AP197" s="240"/>
      <c r="AQ197" s="1157" t="e">
        <f t="shared" si="234"/>
        <v>#DIV/0!</v>
      </c>
      <c r="AR197" s="51">
        <f t="shared" si="235"/>
        <v>0</v>
      </c>
      <c r="AS197" s="51"/>
      <c r="AT197" s="51"/>
      <c r="AU197" s="51"/>
      <c r="AV197" s="51"/>
      <c r="AW197" s="51">
        <f t="shared" si="334"/>
        <v>0</v>
      </c>
      <c r="AX197" s="51"/>
      <c r="AY197" s="43" t="e">
        <f t="shared" si="237"/>
        <v>#DIV/0!</v>
      </c>
      <c r="AZ197" s="49">
        <f>10000000+AG197</f>
        <v>10000000</v>
      </c>
      <c r="BA197" s="45">
        <f t="shared" si="301"/>
        <v>0</v>
      </c>
      <c r="BB197" s="52">
        <f t="shared" si="302"/>
        <v>0</v>
      </c>
      <c r="BC197" s="1170">
        <f t="shared" si="303"/>
        <v>0</v>
      </c>
      <c r="BD197" s="52">
        <f t="shared" si="304"/>
        <v>0</v>
      </c>
      <c r="BE197" s="50"/>
      <c r="BF197" s="50" t="s">
        <v>82</v>
      </c>
      <c r="BG197" s="50"/>
      <c r="BH197" s="57"/>
      <c r="BI197" s="1223"/>
    </row>
    <row r="198" spans="1:61" ht="117" customHeight="1" x14ac:dyDescent="0.25">
      <c r="A198" s="39" t="s">
        <v>540</v>
      </c>
      <c r="B198" s="53" t="s">
        <v>541</v>
      </c>
      <c r="C198" s="53" t="s">
        <v>1778</v>
      </c>
      <c r="D198" s="578">
        <v>0.1</v>
      </c>
      <c r="E198" s="85">
        <v>0.2</v>
      </c>
      <c r="F198" s="85">
        <v>0.3</v>
      </c>
      <c r="G198" s="749">
        <v>0.35</v>
      </c>
      <c r="H198" s="85">
        <v>0.1</v>
      </c>
      <c r="I198" s="43">
        <v>0.1</v>
      </c>
      <c r="J198" s="197">
        <v>0.2</v>
      </c>
      <c r="K198" s="197">
        <v>0.2</v>
      </c>
      <c r="L198" s="42"/>
      <c r="M198" s="698">
        <v>0.1</v>
      </c>
      <c r="N198" s="698"/>
      <c r="O198" s="687">
        <f t="shared" si="329"/>
        <v>1</v>
      </c>
      <c r="P198" s="687">
        <f t="shared" si="329"/>
        <v>1</v>
      </c>
      <c r="Q198" s="687">
        <f t="shared" si="329"/>
        <v>0.66666666666666674</v>
      </c>
      <c r="R198" s="44">
        <f t="shared" si="330"/>
        <v>0.57142857142857151</v>
      </c>
      <c r="S198" s="101" t="s">
        <v>1650</v>
      </c>
      <c r="T198" s="234"/>
      <c r="U198" s="40" t="s">
        <v>1796</v>
      </c>
      <c r="V198" s="544"/>
      <c r="W198" s="573" t="s">
        <v>1807</v>
      </c>
      <c r="X198" s="40" t="s">
        <v>1753</v>
      </c>
      <c r="Y198" s="43">
        <f t="shared" si="331"/>
        <v>0.95000000000000007</v>
      </c>
      <c r="Z198" s="698">
        <f t="shared" si="332"/>
        <v>0.70000000000000007</v>
      </c>
      <c r="AA198" s="43">
        <f t="shared" si="333"/>
        <v>0.73684210526315796</v>
      </c>
      <c r="AB198" s="48">
        <v>0.41</v>
      </c>
      <c r="AC198" s="48">
        <v>1</v>
      </c>
      <c r="AD198" s="48">
        <v>0.41</v>
      </c>
      <c r="AE198" s="43">
        <v>0.42</v>
      </c>
      <c r="AF198" s="43">
        <v>0.45</v>
      </c>
      <c r="AG198" s="49">
        <v>50000000</v>
      </c>
      <c r="AH198" s="50"/>
      <c r="AI198" s="50"/>
      <c r="AJ198" s="240">
        <v>44568776.799999997</v>
      </c>
      <c r="AK198" s="240">
        <v>20434883.75</v>
      </c>
      <c r="AL198" s="932">
        <f t="shared" si="231"/>
        <v>0.40869767499999998</v>
      </c>
      <c r="AM198" s="50"/>
      <c r="AN198" s="723"/>
      <c r="AO198" s="240">
        <v>10234984.4</v>
      </c>
      <c r="AP198" s="240">
        <v>2041273.75</v>
      </c>
      <c r="AQ198" s="1157">
        <f t="shared" si="234"/>
        <v>4.0825475E-2</v>
      </c>
      <c r="AR198" s="51">
        <f t="shared" si="235"/>
        <v>18393610</v>
      </c>
      <c r="AS198" s="51"/>
      <c r="AT198" s="51"/>
      <c r="AU198" s="51"/>
      <c r="AV198" s="51"/>
      <c r="AW198" s="51">
        <f t="shared" si="334"/>
        <v>34333792.399999999</v>
      </c>
      <c r="AX198" s="51"/>
      <c r="AY198" s="43">
        <f t="shared" si="237"/>
        <v>0</v>
      </c>
      <c r="AZ198" s="49">
        <f>520000000+AG198</f>
        <v>570000000</v>
      </c>
      <c r="BA198" s="45">
        <f t="shared" si="301"/>
        <v>65003660.549999997</v>
      </c>
      <c r="BB198" s="52">
        <f t="shared" si="302"/>
        <v>0.1140415097368421</v>
      </c>
      <c r="BC198" s="1170">
        <f t="shared" si="303"/>
        <v>12276258.15</v>
      </c>
      <c r="BD198" s="52">
        <f t="shared" si="304"/>
        <v>2.1537295000000001E-2</v>
      </c>
      <c r="BE198" s="50"/>
      <c r="BF198" s="50" t="s">
        <v>82</v>
      </c>
      <c r="BG198" s="50"/>
      <c r="BH198" s="53" t="s">
        <v>345</v>
      </c>
      <c r="BI198" s="1223"/>
    </row>
    <row r="199" spans="1:61" ht="45.75" customHeight="1" x14ac:dyDescent="0.25">
      <c r="A199" s="209" t="s">
        <v>542</v>
      </c>
      <c r="B199" s="53" t="s">
        <v>543</v>
      </c>
      <c r="C199" s="91" t="s">
        <v>1776</v>
      </c>
      <c r="D199" s="53">
        <v>0</v>
      </c>
      <c r="E199" s="76">
        <v>1</v>
      </c>
      <c r="F199" s="76">
        <v>1</v>
      </c>
      <c r="G199" s="748">
        <v>0</v>
      </c>
      <c r="H199" s="76" t="s">
        <v>163</v>
      </c>
      <c r="I199" s="42">
        <v>1</v>
      </c>
      <c r="J199" s="198">
        <v>1</v>
      </c>
      <c r="K199" s="198" t="s">
        <v>163</v>
      </c>
      <c r="L199" s="42"/>
      <c r="M199" s="593"/>
      <c r="N199" s="593"/>
      <c r="O199" s="575">
        <f t="shared" si="329"/>
        <v>0</v>
      </c>
      <c r="P199" s="575">
        <f t="shared" si="329"/>
        <v>1</v>
      </c>
      <c r="Q199" s="575">
        <f t="shared" si="329"/>
        <v>1</v>
      </c>
      <c r="R199" s="44">
        <f t="shared" si="330"/>
        <v>0</v>
      </c>
      <c r="S199" s="427"/>
      <c r="T199" s="234"/>
      <c r="U199" s="543" t="s">
        <v>1804</v>
      </c>
      <c r="V199" s="544"/>
      <c r="W199" s="45"/>
      <c r="X199" s="544"/>
      <c r="Y199" s="40">
        <f t="shared" si="331"/>
        <v>2</v>
      </c>
      <c r="Z199" s="47">
        <f t="shared" si="332"/>
        <v>2</v>
      </c>
      <c r="AA199" s="43">
        <f t="shared" si="333"/>
        <v>1</v>
      </c>
      <c r="AB199" s="48">
        <v>0.09</v>
      </c>
      <c r="AC199" s="48">
        <v>0</v>
      </c>
      <c r="AD199" s="48">
        <v>0.09</v>
      </c>
      <c r="AE199" s="43">
        <v>0.1</v>
      </c>
      <c r="AF199" s="43">
        <v>0</v>
      </c>
      <c r="AG199" s="49"/>
      <c r="AH199" s="50"/>
      <c r="AI199" s="50"/>
      <c r="AJ199" s="240">
        <v>44568776.799999997</v>
      </c>
      <c r="AK199" s="240"/>
      <c r="AL199" s="932" t="e">
        <f t="shared" si="231"/>
        <v>#DIV/0!</v>
      </c>
      <c r="AM199" s="50"/>
      <c r="AN199" s="723"/>
      <c r="AO199" s="240">
        <v>10234984.4</v>
      </c>
      <c r="AP199" s="240"/>
      <c r="AQ199" s="1157" t="e">
        <f t="shared" si="234"/>
        <v>#DIV/0!</v>
      </c>
      <c r="AR199" s="51">
        <f t="shared" si="235"/>
        <v>0</v>
      </c>
      <c r="AS199" s="51"/>
      <c r="AT199" s="51"/>
      <c r="AU199" s="51"/>
      <c r="AV199" s="51"/>
      <c r="AW199" s="51">
        <f t="shared" si="334"/>
        <v>34333792.399999999</v>
      </c>
      <c r="AX199" s="51"/>
      <c r="AY199" s="43">
        <f t="shared" si="237"/>
        <v>0</v>
      </c>
      <c r="AZ199" s="49">
        <f>30000000+AG199</f>
        <v>30000000</v>
      </c>
      <c r="BA199" s="45">
        <f t="shared" si="301"/>
        <v>44568776.799999997</v>
      </c>
      <c r="BB199" s="52">
        <f t="shared" si="302"/>
        <v>1.4856258933333333</v>
      </c>
      <c r="BC199" s="1170">
        <f t="shared" si="303"/>
        <v>10234984.4</v>
      </c>
      <c r="BD199" s="52">
        <f t="shared" si="304"/>
        <v>0.34116614666666667</v>
      </c>
      <c r="BE199" s="50"/>
      <c r="BF199" s="50" t="s">
        <v>82</v>
      </c>
      <c r="BG199" s="50"/>
      <c r="BH199" s="53" t="s">
        <v>544</v>
      </c>
      <c r="BI199" s="1223"/>
    </row>
    <row r="200" spans="1:61" ht="120.75" customHeight="1" x14ac:dyDescent="0.25">
      <c r="A200" s="209" t="s">
        <v>545</v>
      </c>
      <c r="B200" s="53" t="s">
        <v>546</v>
      </c>
      <c r="C200" s="91" t="s">
        <v>1776</v>
      </c>
      <c r="D200" s="53">
        <v>0</v>
      </c>
      <c r="E200" s="76">
        <v>1</v>
      </c>
      <c r="F200" s="76">
        <v>1</v>
      </c>
      <c r="G200" s="748">
        <v>1</v>
      </c>
      <c r="H200" s="76" t="s">
        <v>163</v>
      </c>
      <c r="I200" s="42">
        <v>0</v>
      </c>
      <c r="J200" s="198">
        <v>1</v>
      </c>
      <c r="K200" s="1125">
        <v>0.33</v>
      </c>
      <c r="L200" s="42"/>
      <c r="M200" s="42">
        <v>1</v>
      </c>
      <c r="N200" s="42"/>
      <c r="O200" s="687">
        <f t="shared" si="329"/>
        <v>0</v>
      </c>
      <c r="P200" s="687">
        <f t="shared" si="329"/>
        <v>1</v>
      </c>
      <c r="Q200" s="687">
        <f t="shared" si="329"/>
        <v>1</v>
      </c>
      <c r="R200" s="44">
        <f t="shared" si="330"/>
        <v>0.33</v>
      </c>
      <c r="S200" s="101" t="s">
        <v>1650</v>
      </c>
      <c r="T200" s="234"/>
      <c r="U200" s="40" t="s">
        <v>1796</v>
      </c>
      <c r="V200" s="40"/>
      <c r="W200" s="545"/>
      <c r="X200" s="40" t="s">
        <v>1753</v>
      </c>
      <c r="Y200" s="40">
        <f t="shared" si="331"/>
        <v>3</v>
      </c>
      <c r="Z200" s="47">
        <f t="shared" si="332"/>
        <v>2.33</v>
      </c>
      <c r="AA200" s="44">
        <f t="shared" si="333"/>
        <v>0.77666666666666673</v>
      </c>
      <c r="AB200" s="48">
        <v>0.18</v>
      </c>
      <c r="AC200" s="48">
        <v>0</v>
      </c>
      <c r="AD200" s="48">
        <v>0.18</v>
      </c>
      <c r="AE200" s="43">
        <v>0.2</v>
      </c>
      <c r="AF200" s="43">
        <v>0.22</v>
      </c>
      <c r="AG200" s="49">
        <v>150000000</v>
      </c>
      <c r="AH200" s="50"/>
      <c r="AI200" s="50"/>
      <c r="AJ200" s="240">
        <v>44568776.799999997</v>
      </c>
      <c r="AK200" s="240">
        <v>61304651.25</v>
      </c>
      <c r="AL200" s="932">
        <f t="shared" ref="AL200:AL223" si="335">+AK200/AG200</f>
        <v>0.40869767499999998</v>
      </c>
      <c r="AM200" s="50"/>
      <c r="AN200" s="723"/>
      <c r="AO200" s="240">
        <v>10234984.4</v>
      </c>
      <c r="AP200" s="240">
        <v>6123821.25</v>
      </c>
      <c r="AQ200" s="1157">
        <f t="shared" ref="AQ200:AQ223" si="336">+AP200/AG200</f>
        <v>4.0825475E-2</v>
      </c>
      <c r="AR200" s="51">
        <f t="shared" ref="AR200:AR222" si="337">+AK200-AP200</f>
        <v>55180830</v>
      </c>
      <c r="AS200" s="51"/>
      <c r="AT200" s="51"/>
      <c r="AU200" s="51"/>
      <c r="AV200" s="51"/>
      <c r="AW200" s="51">
        <f t="shared" si="334"/>
        <v>34333792.399999999</v>
      </c>
      <c r="AX200" s="51"/>
      <c r="AY200" s="43">
        <f t="shared" ref="AY200:AY223" si="338">+AX200/AW200</f>
        <v>0</v>
      </c>
      <c r="AZ200" s="49">
        <f>700000000+AG200</f>
        <v>850000000</v>
      </c>
      <c r="BA200" s="45">
        <f t="shared" si="301"/>
        <v>105873428.05</v>
      </c>
      <c r="BB200" s="52">
        <f t="shared" si="302"/>
        <v>0.12455697417647059</v>
      </c>
      <c r="BC200" s="1170">
        <f t="shared" si="303"/>
        <v>16358805.65</v>
      </c>
      <c r="BD200" s="52">
        <f t="shared" si="304"/>
        <v>1.9245653705882354E-2</v>
      </c>
      <c r="BE200" s="50"/>
      <c r="BF200" s="50" t="s">
        <v>82</v>
      </c>
      <c r="BG200" s="50"/>
      <c r="BH200" s="53" t="s">
        <v>547</v>
      </c>
      <c r="BI200" s="1224"/>
    </row>
    <row r="201" spans="1:61" ht="54.75" customHeight="1" x14ac:dyDescent="0.25">
      <c r="A201" s="32" t="s">
        <v>548</v>
      </c>
      <c r="B201" s="33"/>
      <c r="C201" s="33"/>
      <c r="D201" s="33"/>
      <c r="E201" s="34"/>
      <c r="F201" s="34"/>
      <c r="G201" s="745"/>
      <c r="H201" s="34"/>
      <c r="I201" s="34"/>
      <c r="J201" s="34"/>
      <c r="K201" s="34"/>
      <c r="L201" s="34"/>
      <c r="M201" s="34"/>
      <c r="N201" s="34"/>
      <c r="O201" s="607">
        <f>+SUMPRODUCT(O202:O204,AC202:AC204)</f>
        <v>1</v>
      </c>
      <c r="P201" s="607">
        <f>+SUMPRODUCT(P202:P204,AD202:AD204)</f>
        <v>1</v>
      </c>
      <c r="Q201" s="607">
        <f>+SUMPRODUCT(Q202:Q204,AE202:AE204)</f>
        <v>0.44</v>
      </c>
      <c r="R201" s="607">
        <f>+SUMPRODUCT(R202:R204,AF202:AF204)</f>
        <v>0.44</v>
      </c>
      <c r="S201" s="32"/>
      <c r="T201" s="32"/>
      <c r="U201" s="33"/>
      <c r="V201" s="33"/>
      <c r="W201" s="33"/>
      <c r="X201" s="32"/>
      <c r="Y201" s="11"/>
      <c r="Z201" s="36"/>
      <c r="AA201" s="35">
        <f>+SUMPRODUCT(AA202:AA204,AB202:AB204)</f>
        <v>0.77</v>
      </c>
      <c r="AB201" s="35">
        <v>0.15</v>
      </c>
      <c r="AC201" s="35">
        <v>0.15</v>
      </c>
      <c r="AD201" s="35">
        <v>0.15</v>
      </c>
      <c r="AE201" s="35">
        <v>0.15</v>
      </c>
      <c r="AF201" s="35">
        <v>0.15</v>
      </c>
      <c r="AG201" s="33">
        <f>SUM(AG202:AG204)</f>
        <v>400000000</v>
      </c>
      <c r="AH201" s="33">
        <v>61321400</v>
      </c>
      <c r="AI201" s="33">
        <v>108965500</v>
      </c>
      <c r="AJ201" s="33">
        <f t="shared" ref="AJ201:AK201" si="339">SUM(AJ202:AJ204)</f>
        <v>22415920</v>
      </c>
      <c r="AK201" s="33">
        <f t="shared" si="339"/>
        <v>80086260</v>
      </c>
      <c r="AL201" s="1138">
        <f t="shared" si="335"/>
        <v>0.20021565</v>
      </c>
      <c r="AM201" s="733">
        <v>61321400</v>
      </c>
      <c r="AN201" s="725">
        <v>8965500</v>
      </c>
      <c r="AO201" s="242">
        <f t="shared" ref="AO201" si="340">SUM(AO202:AO204)</f>
        <v>22415920</v>
      </c>
      <c r="AP201" s="242">
        <f>SUM(AP202:AP204)</f>
        <v>13575993</v>
      </c>
      <c r="AQ201" s="1158">
        <f t="shared" si="336"/>
        <v>3.39399825E-2</v>
      </c>
      <c r="AR201" s="37">
        <f t="shared" si="337"/>
        <v>66510267</v>
      </c>
      <c r="AS201" s="37">
        <v>60000000</v>
      </c>
      <c r="AT201" s="37">
        <v>60000000</v>
      </c>
      <c r="AU201" s="530">
        <f>+AI201-AN201</f>
        <v>100000000</v>
      </c>
      <c r="AV201" s="679">
        <v>100000000</v>
      </c>
      <c r="AW201" s="37">
        <f t="shared" si="334"/>
        <v>0</v>
      </c>
      <c r="AX201" s="37">
        <f>SUM(AX202:AX204)</f>
        <v>0</v>
      </c>
      <c r="AY201" s="35" t="e">
        <f t="shared" si="338"/>
        <v>#DIV/0!</v>
      </c>
      <c r="AZ201" s="33">
        <f>SUM(AZ202:AZ204)-400000000</f>
        <v>1635808000</v>
      </c>
      <c r="BA201" s="33">
        <f t="shared" si="301"/>
        <v>272789080</v>
      </c>
      <c r="BB201" s="35">
        <f t="shared" si="302"/>
        <v>0.16676106242297384</v>
      </c>
      <c r="BC201" s="1172">
        <f t="shared" si="303"/>
        <v>266278813</v>
      </c>
      <c r="BD201" s="35">
        <f t="shared" si="304"/>
        <v>0.1627812145435161</v>
      </c>
      <c r="BE201" s="33"/>
      <c r="BF201" s="33" t="s">
        <v>82</v>
      </c>
      <c r="BG201" s="33"/>
      <c r="BH201" s="33"/>
      <c r="BI201" s="618"/>
    </row>
    <row r="202" spans="1:61" ht="52.5" customHeight="1" x14ac:dyDescent="0.25">
      <c r="A202" s="39" t="s">
        <v>549</v>
      </c>
      <c r="B202" s="53" t="s">
        <v>550</v>
      </c>
      <c r="C202" s="91" t="s">
        <v>1776</v>
      </c>
      <c r="D202" s="53">
        <v>1</v>
      </c>
      <c r="E202" s="76">
        <v>3</v>
      </c>
      <c r="F202" s="76">
        <v>0</v>
      </c>
      <c r="G202" s="748">
        <v>0</v>
      </c>
      <c r="H202" s="76">
        <v>1</v>
      </c>
      <c r="I202" s="42">
        <v>3</v>
      </c>
      <c r="J202" s="42" t="s">
        <v>163</v>
      </c>
      <c r="K202" s="42" t="s">
        <v>163</v>
      </c>
      <c r="L202" s="42"/>
      <c r="M202" s="593"/>
      <c r="N202" s="593"/>
      <c r="O202" s="575">
        <f t="shared" si="329"/>
        <v>1</v>
      </c>
      <c r="P202" s="575">
        <f t="shared" si="329"/>
        <v>1</v>
      </c>
      <c r="Q202" s="575">
        <f t="shared" si="329"/>
        <v>0</v>
      </c>
      <c r="R202" s="44">
        <f t="shared" ref="R202:R204" si="341">+IFERROR(IF(K202/G202&gt;=100%,100%,K202/G202),0)</f>
        <v>0</v>
      </c>
      <c r="S202" s="296"/>
      <c r="T202" s="103"/>
      <c r="U202" s="46" t="s">
        <v>1804</v>
      </c>
      <c r="V202" s="40"/>
      <c r="W202" s="45"/>
      <c r="X202" s="103"/>
      <c r="Y202" s="40">
        <f t="shared" ref="Y202:Y204" si="342">SUM(D202:G202)</f>
        <v>4</v>
      </c>
      <c r="Z202" s="47">
        <f t="shared" ref="Z202:Z204" si="343">SUM(H202:N202)</f>
        <v>4</v>
      </c>
      <c r="AA202" s="43">
        <f t="shared" ref="AA202:AA204" si="344">IF(Z202/Y202&gt;=100%,100%,Z202/Y202)</f>
        <v>1</v>
      </c>
      <c r="AB202" s="48">
        <v>0.2</v>
      </c>
      <c r="AC202" s="48">
        <v>0.37</v>
      </c>
      <c r="AD202" s="48">
        <v>0.2</v>
      </c>
      <c r="AE202" s="43">
        <v>0</v>
      </c>
      <c r="AF202" s="43">
        <v>0</v>
      </c>
      <c r="AG202" s="49"/>
      <c r="AH202" s="50"/>
      <c r="AI202" s="50"/>
      <c r="AJ202" s="240"/>
      <c r="AK202" s="240"/>
      <c r="AL202" s="932" t="e">
        <f t="shared" si="335"/>
        <v>#DIV/0!</v>
      </c>
      <c r="AM202" s="50"/>
      <c r="AN202" s="723"/>
      <c r="AO202" s="240"/>
      <c r="AP202" s="240"/>
      <c r="AQ202" s="1155" t="e">
        <f t="shared" si="336"/>
        <v>#DIV/0!</v>
      </c>
      <c r="AR202" s="51">
        <f t="shared" si="337"/>
        <v>0</v>
      </c>
      <c r="AS202" s="51"/>
      <c r="AT202" s="51"/>
      <c r="AU202" s="51"/>
      <c r="AV202" s="51"/>
      <c r="AW202" s="51">
        <f t="shared" si="334"/>
        <v>0</v>
      </c>
      <c r="AX202" s="51"/>
      <c r="AY202" s="43" t="e">
        <f t="shared" si="338"/>
        <v>#DIV/0!</v>
      </c>
      <c r="AZ202" s="49">
        <f>170000000+AG202</f>
        <v>170000000</v>
      </c>
      <c r="BA202" s="45">
        <f t="shared" si="301"/>
        <v>0</v>
      </c>
      <c r="BB202" s="52">
        <f t="shared" si="302"/>
        <v>0</v>
      </c>
      <c r="BC202" s="1170">
        <f t="shared" si="303"/>
        <v>0</v>
      </c>
      <c r="BD202" s="52">
        <f t="shared" si="304"/>
        <v>0</v>
      </c>
      <c r="BE202" s="50"/>
      <c r="BF202" s="50" t="s">
        <v>82</v>
      </c>
      <c r="BG202" s="50"/>
      <c r="BH202" s="53" t="s">
        <v>175</v>
      </c>
      <c r="BI202" s="1251" t="s">
        <v>551</v>
      </c>
    </row>
    <row r="203" spans="1:61" ht="154.5" customHeight="1" x14ac:dyDescent="0.25">
      <c r="A203" s="39" t="s">
        <v>552</v>
      </c>
      <c r="B203" s="53" t="s">
        <v>553</v>
      </c>
      <c r="C203" s="91" t="s">
        <v>1776</v>
      </c>
      <c r="D203" s="53">
        <v>1</v>
      </c>
      <c r="E203" s="76">
        <v>1</v>
      </c>
      <c r="F203" s="76">
        <v>1</v>
      </c>
      <c r="G203" s="748">
        <v>1</v>
      </c>
      <c r="H203" s="76">
        <v>0.5</v>
      </c>
      <c r="I203" s="84">
        <v>1</v>
      </c>
      <c r="J203" s="42">
        <v>0</v>
      </c>
      <c r="K203" s="42">
        <v>0</v>
      </c>
      <c r="L203" s="84">
        <v>0.5</v>
      </c>
      <c r="M203" s="596"/>
      <c r="N203" s="596"/>
      <c r="O203" s="575">
        <f t="shared" si="329"/>
        <v>1</v>
      </c>
      <c r="P203" s="575">
        <f t="shared" si="329"/>
        <v>1</v>
      </c>
      <c r="Q203" s="575">
        <f t="shared" si="329"/>
        <v>0</v>
      </c>
      <c r="R203" s="44">
        <f t="shared" si="341"/>
        <v>0</v>
      </c>
      <c r="S203" s="101" t="s">
        <v>1666</v>
      </c>
      <c r="T203" s="234"/>
      <c r="U203" s="40" t="s">
        <v>1796</v>
      </c>
      <c r="V203" s="544"/>
      <c r="W203" s="573" t="s">
        <v>1807</v>
      </c>
      <c r="X203" s="103" t="s">
        <v>1754</v>
      </c>
      <c r="Y203" s="40">
        <f t="shared" si="342"/>
        <v>4</v>
      </c>
      <c r="Z203" s="47">
        <f t="shared" si="343"/>
        <v>2</v>
      </c>
      <c r="AA203" s="43">
        <f t="shared" si="344"/>
        <v>0.5</v>
      </c>
      <c r="AB203" s="48">
        <v>0.46</v>
      </c>
      <c r="AC203" s="48">
        <v>0.63</v>
      </c>
      <c r="AD203" s="48">
        <v>0.46</v>
      </c>
      <c r="AE203" s="43">
        <v>0.56000000000000005</v>
      </c>
      <c r="AF203" s="43">
        <v>0.56000000000000005</v>
      </c>
      <c r="AG203" s="49">
        <v>200000000</v>
      </c>
      <c r="AH203" s="50"/>
      <c r="AI203" s="50"/>
      <c r="AJ203" s="240">
        <v>11207960</v>
      </c>
      <c r="AK203" s="240">
        <v>40043130</v>
      </c>
      <c r="AL203" s="932">
        <f t="shared" si="335"/>
        <v>0.20021565</v>
      </c>
      <c r="AM203" s="50"/>
      <c r="AN203" s="723"/>
      <c r="AO203" s="240">
        <v>11207960</v>
      </c>
      <c r="AP203" s="240">
        <v>6787996.5</v>
      </c>
      <c r="AQ203" s="1155">
        <f t="shared" si="336"/>
        <v>3.39399825E-2</v>
      </c>
      <c r="AR203" s="51">
        <f t="shared" si="337"/>
        <v>33255133.5</v>
      </c>
      <c r="AS203" s="51"/>
      <c r="AT203" s="51"/>
      <c r="AU203" s="51"/>
      <c r="AV203" s="51"/>
      <c r="AW203" s="51">
        <f t="shared" si="334"/>
        <v>0</v>
      </c>
      <c r="AX203" s="51"/>
      <c r="AY203" s="43" t="e">
        <f t="shared" si="338"/>
        <v>#DIV/0!</v>
      </c>
      <c r="AZ203" s="49">
        <f>575000000+AG203+485808000</f>
        <v>1260808000</v>
      </c>
      <c r="BA203" s="45">
        <f t="shared" si="301"/>
        <v>51251090</v>
      </c>
      <c r="BB203" s="52">
        <f t="shared" si="302"/>
        <v>4.0649401019029065E-2</v>
      </c>
      <c r="BC203" s="1170">
        <f t="shared" si="303"/>
        <v>17995956.5</v>
      </c>
      <c r="BD203" s="52">
        <f t="shared" si="304"/>
        <v>1.4273352088501976E-2</v>
      </c>
      <c r="BE203" s="50"/>
      <c r="BF203" s="50" t="s">
        <v>82</v>
      </c>
      <c r="BG203" s="50"/>
      <c r="BH203" s="53" t="s">
        <v>175</v>
      </c>
      <c r="BI203" s="1223"/>
    </row>
    <row r="204" spans="1:61" ht="92.25" customHeight="1" x14ac:dyDescent="0.25">
      <c r="A204" s="39" t="s">
        <v>554</v>
      </c>
      <c r="B204" s="53" t="s">
        <v>555</v>
      </c>
      <c r="C204" s="53" t="s">
        <v>1032</v>
      </c>
      <c r="D204" s="53">
        <v>0</v>
      </c>
      <c r="E204" s="76">
        <v>1</v>
      </c>
      <c r="F204" s="76">
        <v>1</v>
      </c>
      <c r="G204" s="748">
        <v>1</v>
      </c>
      <c r="H204" s="76" t="s">
        <v>163</v>
      </c>
      <c r="I204" s="42">
        <v>2</v>
      </c>
      <c r="J204" s="42">
        <v>4</v>
      </c>
      <c r="K204" s="42">
        <v>1</v>
      </c>
      <c r="L204" s="42"/>
      <c r="M204" s="593"/>
      <c r="N204" s="593"/>
      <c r="O204" s="575">
        <f t="shared" si="329"/>
        <v>0</v>
      </c>
      <c r="P204" s="575">
        <f t="shared" si="329"/>
        <v>1</v>
      </c>
      <c r="Q204" s="575">
        <f t="shared" si="329"/>
        <v>1</v>
      </c>
      <c r="R204" s="44">
        <f t="shared" si="341"/>
        <v>1</v>
      </c>
      <c r="S204" s="101" t="s">
        <v>1652</v>
      </c>
      <c r="T204" s="234"/>
      <c r="U204" s="40" t="s">
        <v>1796</v>
      </c>
      <c r="V204" s="544"/>
      <c r="W204" s="45" t="s">
        <v>1807</v>
      </c>
      <c r="X204" s="103" t="s">
        <v>1754</v>
      </c>
      <c r="Y204" s="40">
        <f t="shared" si="342"/>
        <v>3</v>
      </c>
      <c r="Z204" s="47">
        <f t="shared" si="343"/>
        <v>7</v>
      </c>
      <c r="AA204" s="43">
        <f t="shared" si="344"/>
        <v>1</v>
      </c>
      <c r="AB204" s="48">
        <v>0.34</v>
      </c>
      <c r="AC204" s="48">
        <v>0</v>
      </c>
      <c r="AD204" s="48">
        <v>0.34</v>
      </c>
      <c r="AE204" s="43">
        <v>0.44</v>
      </c>
      <c r="AF204" s="43">
        <v>0.44</v>
      </c>
      <c r="AG204" s="49">
        <v>200000000</v>
      </c>
      <c r="AH204" s="50"/>
      <c r="AI204" s="50"/>
      <c r="AJ204" s="240">
        <v>11207960</v>
      </c>
      <c r="AK204" s="240">
        <v>40043130</v>
      </c>
      <c r="AL204" s="932">
        <f t="shared" si="335"/>
        <v>0.20021565</v>
      </c>
      <c r="AM204" s="50"/>
      <c r="AN204" s="723"/>
      <c r="AO204" s="240">
        <v>11207960</v>
      </c>
      <c r="AP204" s="240">
        <v>6787996.5</v>
      </c>
      <c r="AQ204" s="1155">
        <f t="shared" si="336"/>
        <v>3.39399825E-2</v>
      </c>
      <c r="AR204" s="51">
        <f t="shared" si="337"/>
        <v>33255133.5</v>
      </c>
      <c r="AS204" s="51"/>
      <c r="AT204" s="51"/>
      <c r="AU204" s="51"/>
      <c r="AV204" s="51"/>
      <c r="AW204" s="51">
        <f t="shared" si="334"/>
        <v>0</v>
      </c>
      <c r="AX204" s="51"/>
      <c r="AY204" s="43" t="e">
        <f t="shared" si="338"/>
        <v>#DIV/0!</v>
      </c>
      <c r="AZ204" s="49">
        <f>405000000+AG204</f>
        <v>605000000</v>
      </c>
      <c r="BA204" s="45">
        <f t="shared" si="301"/>
        <v>51251090</v>
      </c>
      <c r="BB204" s="52">
        <f t="shared" si="302"/>
        <v>8.4712545454545457E-2</v>
      </c>
      <c r="BC204" s="1170">
        <f t="shared" si="303"/>
        <v>17995956.5</v>
      </c>
      <c r="BD204" s="52">
        <f t="shared" si="304"/>
        <v>2.9745382644628098E-2</v>
      </c>
      <c r="BE204" s="50"/>
      <c r="BF204" s="50" t="s">
        <v>82</v>
      </c>
      <c r="BG204" s="50"/>
      <c r="BH204" s="57"/>
      <c r="BI204" s="1224"/>
    </row>
    <row r="205" spans="1:61" ht="43.5" customHeight="1" x14ac:dyDescent="0.25">
      <c r="A205" s="32" t="s">
        <v>557</v>
      </c>
      <c r="B205" s="33"/>
      <c r="C205" s="33"/>
      <c r="D205" s="33"/>
      <c r="E205" s="34"/>
      <c r="F205" s="34"/>
      <c r="G205" s="745"/>
      <c r="H205" s="34"/>
      <c r="I205" s="34"/>
      <c r="J205" s="34"/>
      <c r="K205" s="34"/>
      <c r="L205" s="34"/>
      <c r="M205" s="34"/>
      <c r="N205" s="34"/>
      <c r="O205" s="607">
        <f>+SUMPRODUCT(O206:O209,AC206:AC209)</f>
        <v>0.84999999999999987</v>
      </c>
      <c r="P205" s="607">
        <f>+SUMPRODUCT(P206:P209,AD206:AD209)</f>
        <v>0.98499999999999988</v>
      </c>
      <c r="Q205" s="607">
        <f>+SUMPRODUCT(Q206:Q209,AE206:AE209)</f>
        <v>1</v>
      </c>
      <c r="R205" s="607">
        <f>+SUMPRODUCT(R206:R209,AF206:AF209)</f>
        <v>0.37000000000000005</v>
      </c>
      <c r="S205" s="764"/>
      <c r="T205" s="32"/>
      <c r="U205" s="33"/>
      <c r="V205" s="33"/>
      <c r="W205" s="33"/>
      <c r="X205" s="32"/>
      <c r="Y205" s="11"/>
      <c r="Z205" s="36"/>
      <c r="AA205" s="607">
        <f>+SUMPRODUCT(AA206:AA209,AB206:AB209)</f>
        <v>0.81469149967679377</v>
      </c>
      <c r="AB205" s="35">
        <v>0.1</v>
      </c>
      <c r="AC205" s="35">
        <v>0.1</v>
      </c>
      <c r="AD205" s="35">
        <v>0.1</v>
      </c>
      <c r="AE205" s="35">
        <v>0.1</v>
      </c>
      <c r="AF205" s="35">
        <v>0.1</v>
      </c>
      <c r="AG205" s="33">
        <f>SUM(AG206:AG209)</f>
        <v>200000000</v>
      </c>
      <c r="AH205" s="33">
        <v>456749342.13</v>
      </c>
      <c r="AI205" s="33">
        <v>230822146</v>
      </c>
      <c r="AJ205" s="33">
        <f t="shared" ref="AJ205:AK205" si="345">SUM(AJ206:AJ209)</f>
        <v>359290394</v>
      </c>
      <c r="AK205" s="33">
        <f t="shared" si="345"/>
        <v>91974036</v>
      </c>
      <c r="AL205" s="1138">
        <f t="shared" si="335"/>
        <v>0.45987018000000002</v>
      </c>
      <c r="AM205" s="733">
        <v>456749342.13</v>
      </c>
      <c r="AN205" s="725">
        <v>229322146</v>
      </c>
      <c r="AO205" s="242">
        <f t="shared" ref="AO205" si="346">SUM(AO206:AO209)</f>
        <v>346828019</v>
      </c>
      <c r="AP205" s="242">
        <f>SUM(AP206:AP209)</f>
        <v>43388569</v>
      </c>
      <c r="AQ205" s="1158">
        <f t="shared" si="336"/>
        <v>0.216942845</v>
      </c>
      <c r="AR205" s="37">
        <f t="shared" si="337"/>
        <v>48585467</v>
      </c>
      <c r="AS205" s="37">
        <v>45850700</v>
      </c>
      <c r="AT205" s="37">
        <v>45850700</v>
      </c>
      <c r="AU205" s="530">
        <f>+AI205-AN205</f>
        <v>1500000</v>
      </c>
      <c r="AV205" s="680">
        <v>1500000</v>
      </c>
      <c r="AW205" s="37">
        <f t="shared" si="334"/>
        <v>12462375</v>
      </c>
      <c r="AX205" s="37">
        <f>SUM(AX206:AX209)</f>
        <v>0</v>
      </c>
      <c r="AY205" s="35">
        <f t="shared" si="338"/>
        <v>0</v>
      </c>
      <c r="AZ205" s="33">
        <f>SUM(AZ206:AZ209)-300000000</f>
        <v>1482646534</v>
      </c>
      <c r="BA205" s="33">
        <f t="shared" si="301"/>
        <v>1138835918.1300001</v>
      </c>
      <c r="BB205" s="35">
        <f t="shared" si="302"/>
        <v>0.76811019485376553</v>
      </c>
      <c r="BC205" s="1172">
        <f t="shared" si="303"/>
        <v>1123638776.1300001</v>
      </c>
      <c r="BD205" s="35">
        <f t="shared" si="304"/>
        <v>0.7578601847188482</v>
      </c>
      <c r="BE205" s="33"/>
      <c r="BF205" s="33"/>
      <c r="BG205" s="33"/>
      <c r="BH205" s="33"/>
      <c r="BI205" s="618"/>
    </row>
    <row r="206" spans="1:61" ht="43.5" customHeight="1" x14ac:dyDescent="0.25">
      <c r="A206" s="72" t="s">
        <v>558</v>
      </c>
      <c r="B206" s="53" t="s">
        <v>559</v>
      </c>
      <c r="C206" s="53" t="s">
        <v>1778</v>
      </c>
      <c r="D206" s="578">
        <v>0.4</v>
      </c>
      <c r="E206" s="85">
        <v>1</v>
      </c>
      <c r="F206" s="85">
        <v>1</v>
      </c>
      <c r="G206" s="749">
        <v>1</v>
      </c>
      <c r="H206" s="85">
        <v>0.2</v>
      </c>
      <c r="I206" s="43">
        <v>0.95</v>
      </c>
      <c r="J206" s="43">
        <v>1</v>
      </c>
      <c r="K206" s="43">
        <v>0.27</v>
      </c>
      <c r="L206" s="598"/>
      <c r="M206" s="598"/>
      <c r="N206" s="598"/>
      <c r="O206" s="687">
        <f t="shared" si="329"/>
        <v>0.5</v>
      </c>
      <c r="P206" s="687">
        <f t="shared" si="329"/>
        <v>0.95</v>
      </c>
      <c r="Q206" s="687">
        <f t="shared" si="329"/>
        <v>1</v>
      </c>
      <c r="R206" s="292">
        <f t="shared" ref="R206:R209" si="347">+IFERROR(IF(K206/G206&gt;=100%,100%,K206/G206),0)</f>
        <v>0.27</v>
      </c>
      <c r="S206" s="765" t="s">
        <v>1667</v>
      </c>
      <c r="T206" s="763"/>
      <c r="U206" s="40" t="s">
        <v>1796</v>
      </c>
      <c r="V206" s="544"/>
      <c r="W206" s="45" t="s">
        <v>1807</v>
      </c>
      <c r="X206" s="103" t="s">
        <v>1755</v>
      </c>
      <c r="Y206" s="43">
        <f t="shared" ref="Y206:Y209" si="348">SUM(D206:G206)</f>
        <v>3.4</v>
      </c>
      <c r="Z206" s="43">
        <f t="shared" ref="Z206:Z209" si="349">SUM(H206:N206)</f>
        <v>2.42</v>
      </c>
      <c r="AA206" s="43">
        <f t="shared" ref="AA206:AA209" si="350">IF(Z206/Y206&gt;=100%,100%,Z206/Y206)</f>
        <v>0.71176470588235297</v>
      </c>
      <c r="AB206" s="48">
        <v>0.3</v>
      </c>
      <c r="AC206" s="48">
        <v>0.3</v>
      </c>
      <c r="AD206" s="48">
        <v>0.3</v>
      </c>
      <c r="AE206" s="43">
        <v>0.3</v>
      </c>
      <c r="AF206" s="43">
        <v>0.3</v>
      </c>
      <c r="AG206" s="49">
        <v>50000000</v>
      </c>
      <c r="AH206" s="50"/>
      <c r="AI206" s="50"/>
      <c r="AJ206" s="240">
        <v>89822598.5</v>
      </c>
      <c r="AK206" s="240">
        <v>22993509</v>
      </c>
      <c r="AL206" s="932">
        <f t="shared" si="335"/>
        <v>0.45987018000000002</v>
      </c>
      <c r="AM206" s="50"/>
      <c r="AN206" s="723"/>
      <c r="AO206" s="240">
        <v>86707004.75</v>
      </c>
      <c r="AP206" s="240">
        <v>10847142.25</v>
      </c>
      <c r="AQ206" s="1155">
        <f t="shared" si="336"/>
        <v>0.216942845</v>
      </c>
      <c r="AR206" s="51">
        <f t="shared" si="337"/>
        <v>12146366.75</v>
      </c>
      <c r="AS206" s="51"/>
      <c r="AT206" s="51"/>
      <c r="AU206" s="51"/>
      <c r="AV206" s="51"/>
      <c r="AW206" s="51">
        <f t="shared" si="334"/>
        <v>3115593.75</v>
      </c>
      <c r="AX206" s="51"/>
      <c r="AY206" s="43">
        <f t="shared" si="338"/>
        <v>0</v>
      </c>
      <c r="AZ206" s="49">
        <f>165000000+AG206+100000000</f>
        <v>315000000</v>
      </c>
      <c r="BA206" s="45">
        <f t="shared" si="301"/>
        <v>112816107.5</v>
      </c>
      <c r="BB206" s="43">
        <f t="shared" si="302"/>
        <v>0.35814637301587304</v>
      </c>
      <c r="BC206" s="591">
        <f t="shared" si="303"/>
        <v>97554147</v>
      </c>
      <c r="BD206" s="43">
        <f t="shared" si="304"/>
        <v>0.30969570476190478</v>
      </c>
      <c r="BE206" s="50"/>
      <c r="BF206" s="50" t="s">
        <v>82</v>
      </c>
      <c r="BG206" s="50"/>
      <c r="BH206" s="53" t="s">
        <v>175</v>
      </c>
      <c r="BI206" s="1251" t="s">
        <v>561</v>
      </c>
    </row>
    <row r="207" spans="1:61" ht="53.25" customHeight="1" x14ac:dyDescent="0.25">
      <c r="A207" s="39" t="s">
        <v>562</v>
      </c>
      <c r="B207" s="53" t="s">
        <v>563</v>
      </c>
      <c r="C207" s="53" t="s">
        <v>1778</v>
      </c>
      <c r="D207" s="578">
        <v>0.9</v>
      </c>
      <c r="E207" s="85">
        <v>1</v>
      </c>
      <c r="F207" s="85">
        <v>1</v>
      </c>
      <c r="G207" s="749">
        <v>1</v>
      </c>
      <c r="H207" s="85">
        <v>1</v>
      </c>
      <c r="I207" s="43">
        <v>1</v>
      </c>
      <c r="J207" s="302">
        <v>1</v>
      </c>
      <c r="K207" s="302">
        <v>0.39</v>
      </c>
      <c r="L207" s="42"/>
      <c r="M207" s="593"/>
      <c r="N207" s="593"/>
      <c r="O207" s="575">
        <f t="shared" si="329"/>
        <v>1</v>
      </c>
      <c r="P207" s="575">
        <f t="shared" si="329"/>
        <v>1</v>
      </c>
      <c r="Q207" s="575">
        <f t="shared" si="329"/>
        <v>1</v>
      </c>
      <c r="R207" s="292">
        <f t="shared" si="347"/>
        <v>0.39</v>
      </c>
      <c r="S207" s="765" t="s">
        <v>1668</v>
      </c>
      <c r="T207" s="763"/>
      <c r="U207" s="40" t="s">
        <v>1796</v>
      </c>
      <c r="V207" s="544"/>
      <c r="W207" s="45" t="s">
        <v>1807</v>
      </c>
      <c r="X207" s="103" t="s">
        <v>1755</v>
      </c>
      <c r="Y207" s="43">
        <f t="shared" si="348"/>
        <v>3.9</v>
      </c>
      <c r="Z207" s="43">
        <f t="shared" si="349"/>
        <v>3.39</v>
      </c>
      <c r="AA207" s="43">
        <f t="shared" si="350"/>
        <v>0.86923076923076925</v>
      </c>
      <c r="AB207" s="48">
        <v>0.3</v>
      </c>
      <c r="AC207" s="48">
        <v>0.3</v>
      </c>
      <c r="AD207" s="48">
        <v>0.3</v>
      </c>
      <c r="AE207" s="43">
        <v>0.3</v>
      </c>
      <c r="AF207" s="43">
        <v>0.3</v>
      </c>
      <c r="AG207" s="49">
        <v>50000000</v>
      </c>
      <c r="AH207" s="50"/>
      <c r="AI207" s="50"/>
      <c r="AJ207" s="240">
        <v>89822598.5</v>
      </c>
      <c r="AK207" s="240">
        <v>22993509</v>
      </c>
      <c r="AL207" s="932">
        <f t="shared" si="335"/>
        <v>0.45987018000000002</v>
      </c>
      <c r="AM207" s="50"/>
      <c r="AN207" s="723"/>
      <c r="AO207" s="240">
        <v>86707004.75</v>
      </c>
      <c r="AP207" s="240">
        <v>10847142.25</v>
      </c>
      <c r="AQ207" s="1155">
        <f t="shared" si="336"/>
        <v>0.216942845</v>
      </c>
      <c r="AR207" s="51">
        <f t="shared" si="337"/>
        <v>12146366.75</v>
      </c>
      <c r="AS207" s="51"/>
      <c r="AT207" s="51"/>
      <c r="AU207" s="51"/>
      <c r="AV207" s="51"/>
      <c r="AW207" s="51">
        <f t="shared" si="334"/>
        <v>3115593.75</v>
      </c>
      <c r="AX207" s="51"/>
      <c r="AY207" s="43">
        <f t="shared" si="338"/>
        <v>0</v>
      </c>
      <c r="AZ207" s="49">
        <f>165000000+AG207+100000000</f>
        <v>315000000</v>
      </c>
      <c r="BA207" s="45">
        <f t="shared" si="301"/>
        <v>112816107.5</v>
      </c>
      <c r="BB207" s="43">
        <f t="shared" si="302"/>
        <v>0.35814637301587304</v>
      </c>
      <c r="BC207" s="591">
        <f t="shared" si="303"/>
        <v>97554147</v>
      </c>
      <c r="BD207" s="43">
        <f t="shared" si="304"/>
        <v>0.30969570476190478</v>
      </c>
      <c r="BE207" s="50"/>
      <c r="BF207" s="50" t="s">
        <v>82</v>
      </c>
      <c r="BG207" s="50"/>
      <c r="BH207" s="57"/>
      <c r="BI207" s="1223"/>
    </row>
    <row r="208" spans="1:61" ht="77.25" customHeight="1" x14ac:dyDescent="0.25">
      <c r="A208" s="39" t="s">
        <v>565</v>
      </c>
      <c r="B208" s="53" t="s">
        <v>566</v>
      </c>
      <c r="C208" s="53" t="s">
        <v>1778</v>
      </c>
      <c r="D208" s="578">
        <v>0.7</v>
      </c>
      <c r="E208" s="85">
        <v>0.8</v>
      </c>
      <c r="F208" s="85">
        <v>1</v>
      </c>
      <c r="G208" s="749">
        <v>1</v>
      </c>
      <c r="H208" s="85">
        <v>1</v>
      </c>
      <c r="I208" s="43">
        <v>0.8</v>
      </c>
      <c r="J208" s="43">
        <v>1</v>
      </c>
      <c r="K208" s="43">
        <v>0.51</v>
      </c>
      <c r="L208" s="42"/>
      <c r="M208" s="593"/>
      <c r="N208" s="593"/>
      <c r="O208" s="575">
        <f t="shared" si="329"/>
        <v>1</v>
      </c>
      <c r="P208" s="575">
        <f t="shared" si="329"/>
        <v>1</v>
      </c>
      <c r="Q208" s="575">
        <f t="shared" si="329"/>
        <v>1</v>
      </c>
      <c r="R208" s="292">
        <f t="shared" si="347"/>
        <v>0.51</v>
      </c>
      <c r="S208" s="765" t="s">
        <v>1669</v>
      </c>
      <c r="T208" s="763"/>
      <c r="U208" s="40" t="s">
        <v>1796</v>
      </c>
      <c r="V208" s="544"/>
      <c r="W208" s="45" t="s">
        <v>1807</v>
      </c>
      <c r="X208" s="103" t="s">
        <v>1755</v>
      </c>
      <c r="Y208" s="43">
        <f t="shared" si="348"/>
        <v>3.5</v>
      </c>
      <c r="Z208" s="43">
        <f t="shared" si="349"/>
        <v>3.3099999999999996</v>
      </c>
      <c r="AA208" s="43">
        <f t="shared" si="350"/>
        <v>0.94571428571428562</v>
      </c>
      <c r="AB208" s="48">
        <v>0.2</v>
      </c>
      <c r="AC208" s="48">
        <v>0.2</v>
      </c>
      <c r="AD208" s="48">
        <v>0.2</v>
      </c>
      <c r="AE208" s="43">
        <v>0.2</v>
      </c>
      <c r="AF208" s="43">
        <v>0.2</v>
      </c>
      <c r="AG208" s="49">
        <v>50000000</v>
      </c>
      <c r="AH208" s="50"/>
      <c r="AI208" s="50"/>
      <c r="AJ208" s="240">
        <v>89822598.5</v>
      </c>
      <c r="AK208" s="240">
        <v>22993509</v>
      </c>
      <c r="AL208" s="932">
        <f t="shared" si="335"/>
        <v>0.45987018000000002</v>
      </c>
      <c r="AM208" s="50"/>
      <c r="AN208" s="723"/>
      <c r="AO208" s="240">
        <v>86707004.75</v>
      </c>
      <c r="AP208" s="240">
        <v>10847142.25</v>
      </c>
      <c r="AQ208" s="1155">
        <f t="shared" si="336"/>
        <v>0.216942845</v>
      </c>
      <c r="AR208" s="51">
        <f t="shared" si="337"/>
        <v>12146366.75</v>
      </c>
      <c r="AS208" s="51"/>
      <c r="AT208" s="51"/>
      <c r="AU208" s="51"/>
      <c r="AV208" s="51"/>
      <c r="AW208" s="51">
        <f t="shared" si="334"/>
        <v>3115593.75</v>
      </c>
      <c r="AX208" s="51"/>
      <c r="AY208" s="43">
        <f t="shared" si="338"/>
        <v>0</v>
      </c>
      <c r="AZ208" s="49">
        <f>260000000+AG208+100000000</f>
        <v>410000000</v>
      </c>
      <c r="BA208" s="45">
        <f t="shared" si="301"/>
        <v>112816107.5</v>
      </c>
      <c r="BB208" s="43">
        <f t="shared" si="302"/>
        <v>0.27516123780487806</v>
      </c>
      <c r="BC208" s="591">
        <f t="shared" si="303"/>
        <v>97554147</v>
      </c>
      <c r="BD208" s="43">
        <f t="shared" si="304"/>
        <v>0.23793694390243902</v>
      </c>
      <c r="BE208" s="50"/>
      <c r="BF208" s="50" t="s">
        <v>82</v>
      </c>
      <c r="BG208" s="50"/>
      <c r="BH208" s="57"/>
      <c r="BI208" s="1223"/>
    </row>
    <row r="209" spans="1:61" ht="78.75" customHeight="1" x14ac:dyDescent="0.25">
      <c r="A209" s="39" t="s">
        <v>568</v>
      </c>
      <c r="B209" s="53" t="s">
        <v>569</v>
      </c>
      <c r="C209" s="53" t="s">
        <v>1778</v>
      </c>
      <c r="D209" s="85">
        <v>0.2</v>
      </c>
      <c r="E209" s="85">
        <v>0.4</v>
      </c>
      <c r="F209" s="85">
        <v>0.4</v>
      </c>
      <c r="G209" s="749">
        <v>0.6</v>
      </c>
      <c r="H209" s="85">
        <v>0.2</v>
      </c>
      <c r="I209" s="43">
        <v>0.4</v>
      </c>
      <c r="J209" s="43">
        <v>0.4</v>
      </c>
      <c r="K209" s="43">
        <v>0.21</v>
      </c>
      <c r="L209" s="42"/>
      <c r="M209" s="593"/>
      <c r="N209" s="593"/>
      <c r="O209" s="575">
        <f t="shared" si="329"/>
        <v>1</v>
      </c>
      <c r="P209" s="575">
        <f t="shared" si="329"/>
        <v>1</v>
      </c>
      <c r="Q209" s="575">
        <f t="shared" si="329"/>
        <v>1</v>
      </c>
      <c r="R209" s="292">
        <f t="shared" si="347"/>
        <v>0.35</v>
      </c>
      <c r="S209" s="765" t="s">
        <v>1670</v>
      </c>
      <c r="T209" s="763"/>
      <c r="U209" s="40" t="s">
        <v>1796</v>
      </c>
      <c r="V209" s="544"/>
      <c r="W209" s="45" t="s">
        <v>1807</v>
      </c>
      <c r="X209" s="103" t="s">
        <v>1755</v>
      </c>
      <c r="Y209" s="43">
        <f t="shared" si="348"/>
        <v>1.6</v>
      </c>
      <c r="Z209" s="43">
        <f t="shared" si="349"/>
        <v>1.21</v>
      </c>
      <c r="AA209" s="43">
        <f t="shared" si="350"/>
        <v>0.75624999999999998</v>
      </c>
      <c r="AB209" s="48">
        <v>0.2</v>
      </c>
      <c r="AC209" s="48">
        <v>0.2</v>
      </c>
      <c r="AD209" s="48">
        <v>0.2</v>
      </c>
      <c r="AE209" s="43">
        <v>0.2</v>
      </c>
      <c r="AF209" s="43">
        <v>0.2</v>
      </c>
      <c r="AG209" s="49">
        <v>50000000</v>
      </c>
      <c r="AH209" s="50"/>
      <c r="AI209" s="50"/>
      <c r="AJ209" s="240">
        <v>89822598.5</v>
      </c>
      <c r="AK209" s="240">
        <v>22993509</v>
      </c>
      <c r="AL209" s="932">
        <f t="shared" si="335"/>
        <v>0.45987018000000002</v>
      </c>
      <c r="AM209" s="50"/>
      <c r="AN209" s="723"/>
      <c r="AO209" s="240">
        <v>86707004.75</v>
      </c>
      <c r="AP209" s="240">
        <v>10847142.25</v>
      </c>
      <c r="AQ209" s="1155">
        <f t="shared" si="336"/>
        <v>0.216942845</v>
      </c>
      <c r="AR209" s="51">
        <f t="shared" si="337"/>
        <v>12146366.75</v>
      </c>
      <c r="AS209" s="51"/>
      <c r="AT209" s="51"/>
      <c r="AU209" s="51"/>
      <c r="AV209" s="51"/>
      <c r="AW209" s="51">
        <f t="shared" si="334"/>
        <v>3115593.75</v>
      </c>
      <c r="AX209" s="51"/>
      <c r="AY209" s="43">
        <f t="shared" si="338"/>
        <v>0</v>
      </c>
      <c r="AZ209" s="49">
        <f>610000000+AG209+100000000-17353466</f>
        <v>742646534</v>
      </c>
      <c r="BA209" s="45">
        <f t="shared" si="301"/>
        <v>112816107.5</v>
      </c>
      <c r="BB209" s="43">
        <f t="shared" si="302"/>
        <v>0.15191090557220591</v>
      </c>
      <c r="BC209" s="591">
        <f t="shared" si="303"/>
        <v>97554147</v>
      </c>
      <c r="BD209" s="43">
        <f t="shared" si="304"/>
        <v>0.1313601323560476</v>
      </c>
      <c r="BE209" s="50"/>
      <c r="BF209" s="50" t="s">
        <v>82</v>
      </c>
      <c r="BG209" s="50"/>
      <c r="BH209" s="57"/>
      <c r="BI209" s="1224"/>
    </row>
    <row r="210" spans="1:61" ht="27" customHeight="1" x14ac:dyDescent="0.25">
      <c r="A210" s="23" t="s">
        <v>570</v>
      </c>
      <c r="B210" s="28"/>
      <c r="C210" s="28"/>
      <c r="D210" s="28"/>
      <c r="E210" s="81"/>
      <c r="F210" s="81"/>
      <c r="G210" s="741"/>
      <c r="H210" s="81"/>
      <c r="I210" s="81"/>
      <c r="J210" s="81"/>
      <c r="K210" s="81"/>
      <c r="L210" s="81"/>
      <c r="M210" s="81"/>
      <c r="N210" s="81"/>
      <c r="O210" s="609">
        <f>+(O211*AC211)+(O218*AC218)</f>
        <v>1</v>
      </c>
      <c r="P210" s="609">
        <f>+(P211*AD211)+(P218*AD218)</f>
        <v>1</v>
      </c>
      <c r="Q210" s="609">
        <f>+(Q211*AE211)+(Q218*AE218)</f>
        <v>0.9</v>
      </c>
      <c r="R210" s="609">
        <f>+(R211*AF211)+(R218*AF218)</f>
        <v>0.58750000000000002</v>
      </c>
      <c r="S210" s="768"/>
      <c r="T210" s="23"/>
      <c r="U210" s="28"/>
      <c r="V210" s="28"/>
      <c r="W210" s="28"/>
      <c r="X210" s="23"/>
      <c r="Y210" s="104"/>
      <c r="Z210" s="83"/>
      <c r="AA210" s="117">
        <f>+(AA211*AB211)+(AA218*AB218)</f>
        <v>0.87276785714285721</v>
      </c>
      <c r="AB210" s="26">
        <v>0.5</v>
      </c>
      <c r="AC210" s="26">
        <v>0.5</v>
      </c>
      <c r="AD210" s="26">
        <v>0.5</v>
      </c>
      <c r="AE210" s="26">
        <v>0.5</v>
      </c>
      <c r="AF210" s="26">
        <v>0.5</v>
      </c>
      <c r="AG210" s="28">
        <f>AG211+AG218</f>
        <v>400000000</v>
      </c>
      <c r="AH210" s="28">
        <f t="shared" ref="AH210:AK210" si="351">AH211+AH218</f>
        <v>174910500</v>
      </c>
      <c r="AI210" s="28">
        <f t="shared" si="351"/>
        <v>300264716</v>
      </c>
      <c r="AJ210" s="28">
        <f t="shared" si="351"/>
        <v>429516519</v>
      </c>
      <c r="AK210" s="28">
        <f t="shared" si="351"/>
        <v>175825520</v>
      </c>
      <c r="AL210" s="1134">
        <f t="shared" si="335"/>
        <v>0.4395638</v>
      </c>
      <c r="AM210" s="28">
        <f>+AM211+AM218</f>
        <v>174910500</v>
      </c>
      <c r="AN210" s="722">
        <f>+AN211+AN218</f>
        <v>177339000</v>
      </c>
      <c r="AO210" s="243">
        <f t="shared" ref="AO210" si="352">AO211+AO218</f>
        <v>372589586</v>
      </c>
      <c r="AP210" s="243">
        <f>AP211+AP218</f>
        <v>65275719</v>
      </c>
      <c r="AQ210" s="1153">
        <f t="shared" si="336"/>
        <v>0.1631892975</v>
      </c>
      <c r="AR210" s="28">
        <f t="shared" si="337"/>
        <v>110549801</v>
      </c>
      <c r="AS210" s="28">
        <f>+AS211+AS218</f>
        <v>0</v>
      </c>
      <c r="AT210" s="28">
        <f>+AT211+AT218</f>
        <v>0</v>
      </c>
      <c r="AU210" s="28">
        <f>+AU211+AU218</f>
        <v>122925716</v>
      </c>
      <c r="AV210" s="28">
        <f>+AV211+AV218</f>
        <v>0</v>
      </c>
      <c r="AW210" s="29">
        <f t="shared" si="334"/>
        <v>56926933</v>
      </c>
      <c r="AX210" s="29">
        <f>AX211+AX218</f>
        <v>0</v>
      </c>
      <c r="AY210" s="26">
        <f t="shared" si="338"/>
        <v>0</v>
      </c>
      <c r="AZ210" s="28">
        <f>+AZ211+AZ218</f>
        <v>1653915333</v>
      </c>
      <c r="BA210" s="28">
        <f t="shared" ref="BA210" si="353">BA211+BA218</f>
        <v>1080517255</v>
      </c>
      <c r="BB210" s="26">
        <f t="shared" si="181"/>
        <v>0.65330868723495894</v>
      </c>
      <c r="BC210" s="1168">
        <f>BC211+BC218</f>
        <v>790114805</v>
      </c>
      <c r="BD210" s="26">
        <f t="shared" ref="BD210:BD222" si="354">+BC210/AZ210</f>
        <v>0.47772385274815032</v>
      </c>
      <c r="BE210" s="28"/>
      <c r="BF210" s="28"/>
      <c r="BG210" s="28"/>
      <c r="BH210" s="28"/>
      <c r="BI210" s="620"/>
    </row>
    <row r="211" spans="1:61" ht="42.75" customHeight="1" x14ac:dyDescent="0.25">
      <c r="A211" s="32" t="s">
        <v>571</v>
      </c>
      <c r="B211" s="33"/>
      <c r="C211" s="33"/>
      <c r="D211" s="33"/>
      <c r="E211" s="34"/>
      <c r="F211" s="34"/>
      <c r="G211" s="745"/>
      <c r="H211" s="34"/>
      <c r="I211" s="34"/>
      <c r="J211" s="34"/>
      <c r="K211" s="34"/>
      <c r="L211" s="34"/>
      <c r="M211" s="34"/>
      <c r="N211" s="34"/>
      <c r="O211" s="607">
        <f>+SUMPRODUCT(O212:O217,AC212:AC217)</f>
        <v>1</v>
      </c>
      <c r="P211" s="607">
        <f>+SUMPRODUCT(P212:P217,AD212:AD217)</f>
        <v>1</v>
      </c>
      <c r="Q211" s="607">
        <f>+SUMPRODUCT(Q212:Q217,AE212:AE217)</f>
        <v>0.8</v>
      </c>
      <c r="R211" s="607">
        <f>+SUMPRODUCT(R212:R217,AF212:AF217)</f>
        <v>0.76</v>
      </c>
      <c r="S211" s="769"/>
      <c r="T211" s="32"/>
      <c r="U211" s="33"/>
      <c r="V211" s="33"/>
      <c r="W211" s="33"/>
      <c r="X211" s="32"/>
      <c r="Y211" s="11"/>
      <c r="Z211" s="36"/>
      <c r="AA211" s="607">
        <f>+SUMPRODUCT(AA212:AA217,AB212:AB217)</f>
        <v>0.89624999999999999</v>
      </c>
      <c r="AB211" s="35">
        <v>0.5</v>
      </c>
      <c r="AC211" s="35">
        <v>0.5</v>
      </c>
      <c r="AD211" s="35">
        <v>0.5</v>
      </c>
      <c r="AE211" s="35">
        <v>0.5</v>
      </c>
      <c r="AF211" s="35">
        <v>0.5</v>
      </c>
      <c r="AG211" s="33">
        <f>SUM(AG212:AG217)</f>
        <v>100000000</v>
      </c>
      <c r="AH211" s="33">
        <v>30607500</v>
      </c>
      <c r="AI211" s="33">
        <v>137264716</v>
      </c>
      <c r="AJ211" s="33">
        <f t="shared" ref="AJ211:AK211" si="355">SUM(AJ212:AJ217)</f>
        <v>88400880</v>
      </c>
      <c r="AK211" s="33">
        <f t="shared" si="355"/>
        <v>65064430</v>
      </c>
      <c r="AL211" s="1138">
        <f t="shared" si="335"/>
        <v>0.65064429999999995</v>
      </c>
      <c r="AM211" s="733">
        <v>30607500</v>
      </c>
      <c r="AN211" s="725">
        <v>14339000</v>
      </c>
      <c r="AO211" s="242">
        <f t="shared" ref="AO211" si="356">SUM(AO212:AO217)</f>
        <v>34112880</v>
      </c>
      <c r="AP211" s="242">
        <f>SUM(AP212:AP217)</f>
        <v>21938162</v>
      </c>
      <c r="AQ211" s="1158">
        <f t="shared" si="336"/>
        <v>0.21938162</v>
      </c>
      <c r="AR211" s="37">
        <f t="shared" si="337"/>
        <v>43126268</v>
      </c>
      <c r="AS211" s="37"/>
      <c r="AT211" s="37"/>
      <c r="AU211" s="530">
        <f>+AI211-AN211</f>
        <v>122925716</v>
      </c>
      <c r="AV211" s="677">
        <v>0</v>
      </c>
      <c r="AW211" s="37">
        <f t="shared" si="334"/>
        <v>54288000</v>
      </c>
      <c r="AX211" s="37">
        <f>SUM(AX212:AX217)</f>
        <v>0</v>
      </c>
      <c r="AY211" s="35">
        <f t="shared" si="338"/>
        <v>0</v>
      </c>
      <c r="AZ211" s="33">
        <f>SUM(AZ212:AZ217)-100000000</f>
        <v>523915333</v>
      </c>
      <c r="BA211" s="33">
        <f t="shared" ref="BA211:BA222" si="357">SUM(AH211:AK211)</f>
        <v>321337526</v>
      </c>
      <c r="BB211" s="35">
        <f t="shared" si="181"/>
        <v>0.6133386556182352</v>
      </c>
      <c r="BC211" s="1172">
        <f t="shared" ref="BC211:BC222" si="358">SUM(AM211:AP211)+AT211+AV211+AX211</f>
        <v>100997542</v>
      </c>
      <c r="BD211" s="35">
        <f t="shared" si="354"/>
        <v>0.1927745489365168</v>
      </c>
      <c r="BE211" s="33"/>
      <c r="BF211" s="33"/>
      <c r="BG211" s="33"/>
      <c r="BH211" s="33"/>
      <c r="BI211" s="618"/>
    </row>
    <row r="212" spans="1:61" ht="69" customHeight="1" x14ac:dyDescent="0.25">
      <c r="A212" s="55" t="s">
        <v>572</v>
      </c>
      <c r="B212" s="53" t="s">
        <v>573</v>
      </c>
      <c r="C212" s="91" t="s">
        <v>1776</v>
      </c>
      <c r="D212" s="53">
        <v>0</v>
      </c>
      <c r="E212" s="76">
        <v>40</v>
      </c>
      <c r="F212" s="76">
        <v>0</v>
      </c>
      <c r="G212" s="748">
        <v>0</v>
      </c>
      <c r="H212" s="42" t="s">
        <v>163</v>
      </c>
      <c r="I212" s="42">
        <v>40</v>
      </c>
      <c r="J212" s="42" t="s">
        <v>163</v>
      </c>
      <c r="K212" s="42" t="s">
        <v>163</v>
      </c>
      <c r="L212" s="42"/>
      <c r="M212" s="593"/>
      <c r="N212" s="593"/>
      <c r="O212" s="575">
        <f t="shared" ref="O212:Q222" si="359">+IFERROR(IF((H212+L212)/D212&gt;=100%,100%,(H212+L212)/D212),0)</f>
        <v>0</v>
      </c>
      <c r="P212" s="575">
        <f t="shared" si="359"/>
        <v>1</v>
      </c>
      <c r="Q212" s="575">
        <f t="shared" si="359"/>
        <v>0</v>
      </c>
      <c r="R212" s="44">
        <f t="shared" ref="R212:R217" si="360">+IFERROR(IF(K212/G212&gt;=100%,100%,K212/G212),0)</f>
        <v>0</v>
      </c>
      <c r="S212" s="296" t="s">
        <v>1625</v>
      </c>
      <c r="T212" s="103"/>
      <c r="U212" s="40" t="s">
        <v>1796</v>
      </c>
      <c r="V212" s="40"/>
      <c r="W212" s="45" t="s">
        <v>1807</v>
      </c>
      <c r="X212" s="103" t="s">
        <v>1756</v>
      </c>
      <c r="Y212" s="40">
        <f t="shared" ref="Y212:Y217" si="361">SUM(D212:G212)</f>
        <v>40</v>
      </c>
      <c r="Z212" s="47">
        <f t="shared" ref="Z212:Z217" si="362">SUM(H212:N212)</f>
        <v>40</v>
      </c>
      <c r="AA212" s="43">
        <f t="shared" ref="AA212:AA217" si="363">IF(Z212/Y212&gt;=100%,100%,Z212/Y212)</f>
        <v>1</v>
      </c>
      <c r="AB212" s="48">
        <v>0.05</v>
      </c>
      <c r="AC212" s="48">
        <v>0</v>
      </c>
      <c r="AD212" s="48">
        <v>7.0000000000000007E-2</v>
      </c>
      <c r="AE212" s="43">
        <v>0</v>
      </c>
      <c r="AF212" s="43">
        <v>0</v>
      </c>
      <c r="AG212" s="49"/>
      <c r="AH212" s="50"/>
      <c r="AI212" s="50"/>
      <c r="AJ212" s="240"/>
      <c r="AK212" s="240"/>
      <c r="AL212" s="932" t="e">
        <f t="shared" si="335"/>
        <v>#DIV/0!</v>
      </c>
      <c r="AM212" s="50"/>
      <c r="AN212" s="723"/>
      <c r="AO212" s="240"/>
      <c r="AP212" s="240"/>
      <c r="AQ212" s="1155" t="e">
        <f t="shared" si="336"/>
        <v>#DIV/0!</v>
      </c>
      <c r="AR212" s="51">
        <f t="shared" si="337"/>
        <v>0</v>
      </c>
      <c r="AS212" s="51"/>
      <c r="AT212" s="51"/>
      <c r="AU212" s="51"/>
      <c r="AV212" s="51"/>
      <c r="AW212" s="51">
        <f t="shared" si="334"/>
        <v>0</v>
      </c>
      <c r="AX212" s="51"/>
      <c r="AY212" s="43" t="e">
        <f t="shared" si="338"/>
        <v>#DIV/0!</v>
      </c>
      <c r="AZ212" s="49">
        <f>99000000+AG212</f>
        <v>99000000</v>
      </c>
      <c r="BA212" s="45">
        <f t="shared" si="357"/>
        <v>0</v>
      </c>
      <c r="BB212" s="52">
        <f t="shared" si="181"/>
        <v>0</v>
      </c>
      <c r="BC212" s="1170">
        <f t="shared" si="358"/>
        <v>0</v>
      </c>
      <c r="BD212" s="52">
        <f t="shared" si="354"/>
        <v>0</v>
      </c>
      <c r="BE212" s="50"/>
      <c r="BF212" s="50" t="s">
        <v>72</v>
      </c>
      <c r="BG212" s="45" t="s">
        <v>100</v>
      </c>
      <c r="BH212" s="53" t="s">
        <v>175</v>
      </c>
      <c r="BI212" s="1251" t="s">
        <v>574</v>
      </c>
    </row>
    <row r="213" spans="1:61" ht="76.5" x14ac:dyDescent="0.25">
      <c r="A213" s="55" t="s">
        <v>575</v>
      </c>
      <c r="B213" s="53" t="s">
        <v>576</v>
      </c>
      <c r="C213" s="91" t="s">
        <v>1776</v>
      </c>
      <c r="D213" s="53">
        <v>0</v>
      </c>
      <c r="E213" s="76">
        <v>1</v>
      </c>
      <c r="F213" s="76">
        <v>1</v>
      </c>
      <c r="G213" s="748">
        <v>1</v>
      </c>
      <c r="H213" s="76" t="s">
        <v>163</v>
      </c>
      <c r="I213" s="42">
        <v>1</v>
      </c>
      <c r="J213" s="93">
        <v>0.5</v>
      </c>
      <c r="K213" s="93">
        <v>1</v>
      </c>
      <c r="L213" s="42"/>
      <c r="M213" s="596"/>
      <c r="N213" s="596"/>
      <c r="O213" s="575">
        <f t="shared" si="359"/>
        <v>0</v>
      </c>
      <c r="P213" s="575">
        <f t="shared" si="359"/>
        <v>1</v>
      </c>
      <c r="Q213" s="575">
        <f t="shared" si="359"/>
        <v>0.5</v>
      </c>
      <c r="R213" s="43">
        <f t="shared" si="360"/>
        <v>1</v>
      </c>
      <c r="S213" s="101" t="s">
        <v>1626</v>
      </c>
      <c r="T213" s="234"/>
      <c r="U213" s="40" t="s">
        <v>1796</v>
      </c>
      <c r="V213" s="544"/>
      <c r="W213" s="573" t="s">
        <v>1807</v>
      </c>
      <c r="X213" s="103" t="s">
        <v>1756</v>
      </c>
      <c r="Y213" s="40">
        <f t="shared" si="361"/>
        <v>3</v>
      </c>
      <c r="Z213" s="717">
        <f t="shared" si="362"/>
        <v>2.5</v>
      </c>
      <c r="AA213" s="43">
        <f t="shared" si="363"/>
        <v>0.83333333333333337</v>
      </c>
      <c r="AB213" s="48">
        <v>0.15</v>
      </c>
      <c r="AC213" s="48">
        <v>0</v>
      </c>
      <c r="AD213" s="48">
        <v>0.17</v>
      </c>
      <c r="AE213" s="48">
        <v>0.16</v>
      </c>
      <c r="AF213" s="43">
        <v>0.16</v>
      </c>
      <c r="AG213" s="49">
        <v>20000000</v>
      </c>
      <c r="AH213" s="50"/>
      <c r="AI213" s="50"/>
      <c r="AJ213" s="240">
        <v>17680176</v>
      </c>
      <c r="AK213" s="240">
        <v>13012886</v>
      </c>
      <c r="AL213" s="932">
        <f t="shared" si="335"/>
        <v>0.65064429999999995</v>
      </c>
      <c r="AM213" s="50"/>
      <c r="AN213" s="723"/>
      <c r="AO213" s="240">
        <v>6822576</v>
      </c>
      <c r="AP213" s="240">
        <v>4387632.4000000004</v>
      </c>
      <c r="AQ213" s="1155">
        <f t="shared" si="336"/>
        <v>0.21938162000000003</v>
      </c>
      <c r="AR213" s="51">
        <f t="shared" si="337"/>
        <v>8625253.5999999996</v>
      </c>
      <c r="AS213" s="51"/>
      <c r="AT213" s="51"/>
      <c r="AU213" s="51"/>
      <c r="AV213" s="51"/>
      <c r="AW213" s="51">
        <f t="shared" si="334"/>
        <v>10857600</v>
      </c>
      <c r="AX213" s="51"/>
      <c r="AY213" s="43">
        <f t="shared" si="338"/>
        <v>0</v>
      </c>
      <c r="AZ213" s="49">
        <f>90000000+AG213</f>
        <v>110000000</v>
      </c>
      <c r="BA213" s="45">
        <f t="shared" si="357"/>
        <v>30693062</v>
      </c>
      <c r="BB213" s="52">
        <f t="shared" si="181"/>
        <v>0.27902783636363637</v>
      </c>
      <c r="BC213" s="1170">
        <f t="shared" si="358"/>
        <v>11210208.4</v>
      </c>
      <c r="BD213" s="52">
        <f t="shared" si="354"/>
        <v>0.10191098545454545</v>
      </c>
      <c r="BE213" s="50"/>
      <c r="BF213" s="50" t="s">
        <v>72</v>
      </c>
      <c r="BG213" s="45" t="s">
        <v>101</v>
      </c>
      <c r="BH213" s="57"/>
      <c r="BI213" s="1223"/>
    </row>
    <row r="214" spans="1:61" ht="76.5" x14ac:dyDescent="0.25">
      <c r="A214" s="89" t="s">
        <v>578</v>
      </c>
      <c r="B214" s="53" t="s">
        <v>579</v>
      </c>
      <c r="C214" s="91" t="s">
        <v>1776</v>
      </c>
      <c r="D214" s="53">
        <v>2</v>
      </c>
      <c r="E214" s="76">
        <v>2</v>
      </c>
      <c r="F214" s="76">
        <v>2</v>
      </c>
      <c r="G214" s="748">
        <v>2</v>
      </c>
      <c r="H214" s="76">
        <v>3</v>
      </c>
      <c r="I214" s="42">
        <v>3</v>
      </c>
      <c r="J214" s="56">
        <v>3</v>
      </c>
      <c r="K214" s="93">
        <v>1</v>
      </c>
      <c r="L214" s="42"/>
      <c r="M214" s="593"/>
      <c r="N214" s="593"/>
      <c r="O214" s="575">
        <f t="shared" si="359"/>
        <v>1</v>
      </c>
      <c r="P214" s="575">
        <f t="shared" si="359"/>
        <v>1</v>
      </c>
      <c r="Q214" s="575">
        <f t="shared" si="359"/>
        <v>1</v>
      </c>
      <c r="R214" s="43">
        <f t="shared" si="360"/>
        <v>0.5</v>
      </c>
      <c r="S214" s="101" t="s">
        <v>1627</v>
      </c>
      <c r="T214" s="234"/>
      <c r="U214" s="40" t="s">
        <v>1796</v>
      </c>
      <c r="V214" s="544"/>
      <c r="W214" s="45" t="s">
        <v>1807</v>
      </c>
      <c r="X214" s="103" t="s">
        <v>1756</v>
      </c>
      <c r="Y214" s="40">
        <f t="shared" si="361"/>
        <v>8</v>
      </c>
      <c r="Z214" s="47">
        <f t="shared" si="362"/>
        <v>10</v>
      </c>
      <c r="AA214" s="43">
        <f t="shared" si="363"/>
        <v>1</v>
      </c>
      <c r="AB214" s="48">
        <v>0.25</v>
      </c>
      <c r="AC214" s="48">
        <v>0.35</v>
      </c>
      <c r="AD214" s="48">
        <v>0.27</v>
      </c>
      <c r="AE214" s="48">
        <v>0.26</v>
      </c>
      <c r="AF214" s="43">
        <v>0.26</v>
      </c>
      <c r="AG214" s="49">
        <v>20000000</v>
      </c>
      <c r="AH214" s="50"/>
      <c r="AI214" s="50"/>
      <c r="AJ214" s="240">
        <v>17680176</v>
      </c>
      <c r="AK214" s="240">
        <v>13012886</v>
      </c>
      <c r="AL214" s="932">
        <f t="shared" si="335"/>
        <v>0.65064429999999995</v>
      </c>
      <c r="AM214" s="50"/>
      <c r="AN214" s="723"/>
      <c r="AO214" s="240">
        <v>6822576</v>
      </c>
      <c r="AP214" s="240">
        <v>4387632.4000000004</v>
      </c>
      <c r="AQ214" s="1155">
        <f t="shared" si="336"/>
        <v>0.21938162000000003</v>
      </c>
      <c r="AR214" s="51">
        <f t="shared" si="337"/>
        <v>8625253.5999999996</v>
      </c>
      <c r="AS214" s="51"/>
      <c r="AT214" s="51"/>
      <c r="AU214" s="51"/>
      <c r="AV214" s="51"/>
      <c r="AW214" s="51">
        <f t="shared" si="334"/>
        <v>10857600</v>
      </c>
      <c r="AX214" s="51"/>
      <c r="AY214" s="43">
        <f t="shared" si="338"/>
        <v>0</v>
      </c>
      <c r="AZ214" s="49">
        <f>110000000+AG214</f>
        <v>130000000</v>
      </c>
      <c r="BA214" s="45">
        <f t="shared" si="357"/>
        <v>30693062</v>
      </c>
      <c r="BB214" s="52">
        <f t="shared" si="181"/>
        <v>0.23610047692307692</v>
      </c>
      <c r="BC214" s="1170">
        <f t="shared" si="358"/>
        <v>11210208.4</v>
      </c>
      <c r="BD214" s="52">
        <f t="shared" si="354"/>
        <v>8.6232372307692304E-2</v>
      </c>
      <c r="BE214" s="50"/>
      <c r="BF214" s="50" t="s">
        <v>72</v>
      </c>
      <c r="BG214" s="45" t="s">
        <v>100</v>
      </c>
      <c r="BH214" s="57"/>
      <c r="BI214" s="1223"/>
    </row>
    <row r="215" spans="1:61" ht="92.25" customHeight="1" x14ac:dyDescent="0.25">
      <c r="A215" s="210" t="s">
        <v>580</v>
      </c>
      <c r="B215" s="53" t="s">
        <v>581</v>
      </c>
      <c r="C215" s="91" t="s">
        <v>1776</v>
      </c>
      <c r="D215" s="53">
        <v>0</v>
      </c>
      <c r="E215" s="76">
        <v>0</v>
      </c>
      <c r="F215" s="76">
        <v>1</v>
      </c>
      <c r="G215" s="748">
        <v>1</v>
      </c>
      <c r="H215" s="575" t="s">
        <v>163</v>
      </c>
      <c r="I215" s="575" t="s">
        <v>163</v>
      </c>
      <c r="J215" s="56">
        <v>1</v>
      </c>
      <c r="K215" s="1126">
        <v>0</v>
      </c>
      <c r="L215" s="42"/>
      <c r="M215" s="593"/>
      <c r="N215" s="593"/>
      <c r="O215" s="575">
        <f t="shared" si="359"/>
        <v>0</v>
      </c>
      <c r="P215" s="575">
        <f t="shared" si="359"/>
        <v>0</v>
      </c>
      <c r="Q215" s="575">
        <f t="shared" si="359"/>
        <v>1</v>
      </c>
      <c r="R215" s="43">
        <f t="shared" si="360"/>
        <v>0</v>
      </c>
      <c r="S215" s="101" t="s">
        <v>1628</v>
      </c>
      <c r="T215" s="234"/>
      <c r="U215" s="40" t="s">
        <v>1796</v>
      </c>
      <c r="V215" s="544"/>
      <c r="W215" s="45" t="s">
        <v>1807</v>
      </c>
      <c r="X215" s="103" t="s">
        <v>1756</v>
      </c>
      <c r="Y215" s="40">
        <f t="shared" si="361"/>
        <v>2</v>
      </c>
      <c r="Z215" s="47">
        <f t="shared" si="362"/>
        <v>1</v>
      </c>
      <c r="AA215" s="43">
        <f t="shared" si="363"/>
        <v>0.5</v>
      </c>
      <c r="AB215" s="48">
        <v>0.1</v>
      </c>
      <c r="AC215" s="48">
        <v>0</v>
      </c>
      <c r="AD215" s="48">
        <v>0</v>
      </c>
      <c r="AE215" s="48">
        <v>0.11</v>
      </c>
      <c r="AF215" s="43">
        <v>0.11</v>
      </c>
      <c r="AG215" s="49">
        <v>20000000</v>
      </c>
      <c r="AH215" s="50"/>
      <c r="AI215" s="50"/>
      <c r="AJ215" s="240">
        <v>17680176</v>
      </c>
      <c r="AK215" s="240">
        <v>13012886</v>
      </c>
      <c r="AL215" s="932">
        <f t="shared" si="335"/>
        <v>0.65064429999999995</v>
      </c>
      <c r="AM215" s="50"/>
      <c r="AN215" s="723"/>
      <c r="AO215" s="240">
        <v>6822576</v>
      </c>
      <c r="AP215" s="240">
        <v>4387632.4000000004</v>
      </c>
      <c r="AQ215" s="1155">
        <f t="shared" si="336"/>
        <v>0.21938162000000003</v>
      </c>
      <c r="AR215" s="51">
        <f t="shared" si="337"/>
        <v>8625253.5999999996</v>
      </c>
      <c r="AS215" s="51"/>
      <c r="AT215" s="51"/>
      <c r="AU215" s="51"/>
      <c r="AV215" s="51"/>
      <c r="AW215" s="51">
        <f t="shared" si="334"/>
        <v>10857600</v>
      </c>
      <c r="AX215" s="51"/>
      <c r="AY215" s="43">
        <f t="shared" si="338"/>
        <v>0</v>
      </c>
      <c r="AZ215" s="49">
        <f>60000000+AG215+23915333</f>
        <v>103915333</v>
      </c>
      <c r="BA215" s="45">
        <f t="shared" si="357"/>
        <v>30693062</v>
      </c>
      <c r="BB215" s="52">
        <f t="shared" si="181"/>
        <v>0.29536605536355254</v>
      </c>
      <c r="BC215" s="1170">
        <f t="shared" si="358"/>
        <v>11210208.4</v>
      </c>
      <c r="BD215" s="52">
        <f t="shared" si="354"/>
        <v>0.10787828972265334</v>
      </c>
      <c r="BE215" s="50"/>
      <c r="BF215" s="50" t="s">
        <v>72</v>
      </c>
      <c r="BG215" s="45" t="s">
        <v>101</v>
      </c>
      <c r="BH215" s="57"/>
      <c r="BI215" s="1223"/>
    </row>
    <row r="216" spans="1:61" ht="165" customHeight="1" x14ac:dyDescent="0.25">
      <c r="A216" s="39" t="s">
        <v>583</v>
      </c>
      <c r="B216" s="53" t="s">
        <v>584</v>
      </c>
      <c r="C216" s="91" t="s">
        <v>1776</v>
      </c>
      <c r="D216" s="53">
        <v>1</v>
      </c>
      <c r="E216" s="76">
        <v>1</v>
      </c>
      <c r="F216" s="76">
        <v>1</v>
      </c>
      <c r="G216" s="748">
        <v>1</v>
      </c>
      <c r="H216" s="76">
        <v>1</v>
      </c>
      <c r="I216" s="42">
        <v>1</v>
      </c>
      <c r="J216" s="93">
        <v>0.5</v>
      </c>
      <c r="K216" s="93">
        <v>1</v>
      </c>
      <c r="L216" s="42"/>
      <c r="M216" s="593"/>
      <c r="N216" s="593"/>
      <c r="O216" s="575">
        <f t="shared" si="359"/>
        <v>1</v>
      </c>
      <c r="P216" s="575">
        <f t="shared" si="359"/>
        <v>1</v>
      </c>
      <c r="Q216" s="575">
        <f t="shared" si="359"/>
        <v>0.5</v>
      </c>
      <c r="R216" s="43">
        <f t="shared" si="360"/>
        <v>1</v>
      </c>
      <c r="S216" s="101" t="s">
        <v>585</v>
      </c>
      <c r="T216" s="234"/>
      <c r="U216" s="40" t="s">
        <v>1796</v>
      </c>
      <c r="V216" s="544"/>
      <c r="W216" s="573" t="s">
        <v>1807</v>
      </c>
      <c r="X216" s="103" t="s">
        <v>1756</v>
      </c>
      <c r="Y216" s="40">
        <f t="shared" si="361"/>
        <v>4</v>
      </c>
      <c r="Z216" s="717">
        <f t="shared" si="362"/>
        <v>3.5</v>
      </c>
      <c r="AA216" s="44">
        <f t="shared" si="363"/>
        <v>0.875</v>
      </c>
      <c r="AB216" s="48">
        <v>0.23</v>
      </c>
      <c r="AC216" s="48">
        <v>0.33</v>
      </c>
      <c r="AD216" s="48">
        <v>0.25</v>
      </c>
      <c r="AE216" s="48">
        <v>0.24</v>
      </c>
      <c r="AF216" s="43">
        <v>0.24</v>
      </c>
      <c r="AG216" s="49">
        <v>20000000</v>
      </c>
      <c r="AH216" s="50"/>
      <c r="AI216" s="50"/>
      <c r="AJ216" s="240">
        <v>17680176</v>
      </c>
      <c r="AK216" s="240">
        <v>13012886</v>
      </c>
      <c r="AL216" s="932">
        <f t="shared" si="335"/>
        <v>0.65064429999999995</v>
      </c>
      <c r="AM216" s="50"/>
      <c r="AN216" s="723"/>
      <c r="AO216" s="240">
        <v>6822576</v>
      </c>
      <c r="AP216" s="240">
        <v>4387632.4000000004</v>
      </c>
      <c r="AQ216" s="1155">
        <f t="shared" si="336"/>
        <v>0.21938162000000003</v>
      </c>
      <c r="AR216" s="51">
        <f t="shared" si="337"/>
        <v>8625253.5999999996</v>
      </c>
      <c r="AS216" s="51"/>
      <c r="AT216" s="51"/>
      <c r="AU216" s="51"/>
      <c r="AV216" s="51"/>
      <c r="AW216" s="51">
        <f t="shared" si="334"/>
        <v>10857600</v>
      </c>
      <c r="AX216" s="51"/>
      <c r="AY216" s="43">
        <f t="shared" si="338"/>
        <v>0</v>
      </c>
      <c r="AZ216" s="49">
        <f>81000000+AG216</f>
        <v>101000000</v>
      </c>
      <c r="BA216" s="45">
        <f t="shared" si="357"/>
        <v>30693062</v>
      </c>
      <c r="BB216" s="52">
        <f t="shared" si="181"/>
        <v>0.30389170297029705</v>
      </c>
      <c r="BC216" s="1170">
        <f t="shared" si="358"/>
        <v>11210208.4</v>
      </c>
      <c r="BD216" s="52">
        <f t="shared" si="354"/>
        <v>0.11099216237623763</v>
      </c>
      <c r="BE216" s="50"/>
      <c r="BF216" s="50" t="s">
        <v>72</v>
      </c>
      <c r="BG216" s="45" t="s">
        <v>101</v>
      </c>
      <c r="BH216" s="53" t="s">
        <v>175</v>
      </c>
      <c r="BI216" s="1224"/>
    </row>
    <row r="217" spans="1:61" ht="43.5" customHeight="1" x14ac:dyDescent="0.25">
      <c r="A217" s="39" t="s">
        <v>586</v>
      </c>
      <c r="B217" s="53" t="s">
        <v>587</v>
      </c>
      <c r="C217" s="91" t="s">
        <v>1776</v>
      </c>
      <c r="D217" s="53">
        <v>1</v>
      </c>
      <c r="E217" s="76">
        <v>1</v>
      </c>
      <c r="F217" s="76">
        <v>1</v>
      </c>
      <c r="G217" s="748">
        <v>1</v>
      </c>
      <c r="H217" s="76">
        <v>1</v>
      </c>
      <c r="I217" s="42">
        <v>1</v>
      </c>
      <c r="J217" s="56">
        <v>1</v>
      </c>
      <c r="K217" s="56">
        <v>1</v>
      </c>
      <c r="L217" s="42"/>
      <c r="M217" s="593"/>
      <c r="N217" s="593"/>
      <c r="O217" s="575">
        <f t="shared" si="359"/>
        <v>1</v>
      </c>
      <c r="P217" s="575">
        <f t="shared" si="359"/>
        <v>1</v>
      </c>
      <c r="Q217" s="575">
        <f t="shared" si="359"/>
        <v>1</v>
      </c>
      <c r="R217" s="43">
        <f t="shared" si="360"/>
        <v>1</v>
      </c>
      <c r="S217" s="101" t="s">
        <v>1716</v>
      </c>
      <c r="T217" s="234"/>
      <c r="U217" s="40" t="s">
        <v>1796</v>
      </c>
      <c r="V217" s="40"/>
      <c r="W217" s="45" t="s">
        <v>1807</v>
      </c>
      <c r="X217" s="103" t="s">
        <v>1756</v>
      </c>
      <c r="Y217" s="40">
        <f t="shared" si="361"/>
        <v>4</v>
      </c>
      <c r="Z217" s="717">
        <f t="shared" si="362"/>
        <v>4</v>
      </c>
      <c r="AA217" s="43">
        <f t="shared" si="363"/>
        <v>1</v>
      </c>
      <c r="AB217" s="48">
        <v>0.22</v>
      </c>
      <c r="AC217" s="48">
        <v>0.32</v>
      </c>
      <c r="AD217" s="48">
        <v>0.24</v>
      </c>
      <c r="AE217" s="48">
        <v>0.23</v>
      </c>
      <c r="AF217" s="43">
        <v>0.23</v>
      </c>
      <c r="AG217" s="49">
        <v>20000000</v>
      </c>
      <c r="AH217" s="50"/>
      <c r="AI217" s="50"/>
      <c r="AJ217" s="240">
        <v>17680176</v>
      </c>
      <c r="AK217" s="240">
        <v>13012886</v>
      </c>
      <c r="AL217" s="932">
        <f t="shared" si="335"/>
        <v>0.65064429999999995</v>
      </c>
      <c r="AM217" s="50"/>
      <c r="AN217" s="723"/>
      <c r="AO217" s="240">
        <v>6822576</v>
      </c>
      <c r="AP217" s="240">
        <v>4387632.4000000004</v>
      </c>
      <c r="AQ217" s="1155">
        <f t="shared" si="336"/>
        <v>0.21938162000000003</v>
      </c>
      <c r="AR217" s="51">
        <f t="shared" si="337"/>
        <v>8625253.5999999996</v>
      </c>
      <c r="AS217" s="51"/>
      <c r="AT217" s="51"/>
      <c r="AU217" s="51"/>
      <c r="AV217" s="51"/>
      <c r="AW217" s="51">
        <f t="shared" si="334"/>
        <v>10857600</v>
      </c>
      <c r="AX217" s="51"/>
      <c r="AY217" s="43">
        <f t="shared" si="338"/>
        <v>0</v>
      </c>
      <c r="AZ217" s="49">
        <f>60000000+AG217</f>
        <v>80000000</v>
      </c>
      <c r="BA217" s="45">
        <f t="shared" si="357"/>
        <v>30693062</v>
      </c>
      <c r="BB217" s="52">
        <f t="shared" si="181"/>
        <v>0.38366327500000003</v>
      </c>
      <c r="BC217" s="1170">
        <f t="shared" si="358"/>
        <v>11210208.4</v>
      </c>
      <c r="BD217" s="52">
        <f t="shared" si="354"/>
        <v>0.14012760500000002</v>
      </c>
      <c r="BE217" s="50"/>
      <c r="BF217" s="50" t="s">
        <v>72</v>
      </c>
      <c r="BG217" s="45"/>
      <c r="BH217" s="53" t="s">
        <v>175</v>
      </c>
      <c r="BI217" s="626" t="s">
        <v>470</v>
      </c>
    </row>
    <row r="218" spans="1:61" s="207" customFormat="1" ht="59.25" customHeight="1" x14ac:dyDescent="0.25">
      <c r="A218" s="199" t="s">
        <v>589</v>
      </c>
      <c r="B218" s="200"/>
      <c r="C218" s="200"/>
      <c r="D218" s="200"/>
      <c r="E218" s="201"/>
      <c r="F218" s="201"/>
      <c r="G218" s="751"/>
      <c r="H218" s="201"/>
      <c r="I218" s="201"/>
      <c r="J218" s="599"/>
      <c r="K218" s="202"/>
      <c r="L218" s="201"/>
      <c r="M218" s="201"/>
      <c r="N218" s="201"/>
      <c r="O218" s="686">
        <f>+SUMPRODUCT(O219:O222,AC219:AC222)</f>
        <v>1</v>
      </c>
      <c r="P218" s="686">
        <f>+SUMPRODUCT(P219:P222,AD219:AD222)</f>
        <v>1</v>
      </c>
      <c r="Q218" s="686">
        <f>+SUMPRODUCT(Q219:Q222,AE219:AE222)</f>
        <v>1</v>
      </c>
      <c r="R218" s="686">
        <f>+SUMPRODUCT(R219:R222,AF219:AF222)</f>
        <v>0.41500000000000004</v>
      </c>
      <c r="S218" s="204"/>
      <c r="T218" s="199"/>
      <c r="U218" s="200"/>
      <c r="V218" s="200"/>
      <c r="W218" s="200"/>
      <c r="X218" s="199"/>
      <c r="Y218" s="204"/>
      <c r="Z218" s="205"/>
      <c r="AA218" s="203">
        <f>+SUMPRODUCT(AA219:AA222,AB219:AB222)</f>
        <v>0.84928571428571442</v>
      </c>
      <c r="AB218" s="203">
        <v>0.5</v>
      </c>
      <c r="AC218" s="203">
        <v>0.5</v>
      </c>
      <c r="AD218" s="203">
        <v>0.5</v>
      </c>
      <c r="AE218" s="203">
        <v>0.5</v>
      </c>
      <c r="AF218" s="203">
        <v>0.5</v>
      </c>
      <c r="AG218" s="200">
        <f>SUM(AG219:AG222)</f>
        <v>300000000</v>
      </c>
      <c r="AH218" s="200">
        <v>144303000</v>
      </c>
      <c r="AI218" s="200">
        <v>163000000</v>
      </c>
      <c r="AJ218" s="200">
        <f t="shared" ref="AJ218:AK218" si="364">SUM(AJ219:AJ222)</f>
        <v>341115639</v>
      </c>
      <c r="AK218" s="200">
        <f t="shared" si="364"/>
        <v>110761089.99999999</v>
      </c>
      <c r="AL218" s="1142">
        <f t="shared" si="335"/>
        <v>0.36920363333333328</v>
      </c>
      <c r="AM218" s="736">
        <v>144303000</v>
      </c>
      <c r="AN218" s="731">
        <v>163000000</v>
      </c>
      <c r="AO218" s="245">
        <f t="shared" ref="AO218" si="365">SUM(AO219:AO222)</f>
        <v>338476706</v>
      </c>
      <c r="AP218" s="245">
        <f>SUM(AP219:AP222)</f>
        <v>43337557</v>
      </c>
      <c r="AQ218" s="1163">
        <f t="shared" si="336"/>
        <v>0.14445852333333334</v>
      </c>
      <c r="AR218" s="206">
        <f t="shared" si="337"/>
        <v>67423532.999999985</v>
      </c>
      <c r="AS218" s="206"/>
      <c r="AT218" s="206"/>
      <c r="AU218" s="530">
        <f>+AI218-AN218</f>
        <v>0</v>
      </c>
      <c r="AV218" s="206"/>
      <c r="AW218" s="206">
        <f t="shared" si="334"/>
        <v>2638933</v>
      </c>
      <c r="AX218" s="206">
        <f>SUM(AX219:AX222)</f>
        <v>0</v>
      </c>
      <c r="AY218" s="203">
        <f t="shared" si="338"/>
        <v>0</v>
      </c>
      <c r="AZ218" s="200">
        <f>SUM(AZ219:AZ222)-300000000</f>
        <v>1130000000</v>
      </c>
      <c r="BA218" s="200">
        <f t="shared" si="357"/>
        <v>759179729</v>
      </c>
      <c r="BB218" s="203">
        <f t="shared" si="181"/>
        <v>0.67184046814159293</v>
      </c>
      <c r="BC218" s="1173">
        <f t="shared" si="358"/>
        <v>689117263</v>
      </c>
      <c r="BD218" s="203">
        <f t="shared" si="354"/>
        <v>0.60983828584070798</v>
      </c>
      <c r="BE218" s="200"/>
      <c r="BF218" s="200"/>
      <c r="BG218" s="200"/>
      <c r="BH218" s="200"/>
      <c r="BI218" s="627"/>
    </row>
    <row r="219" spans="1:61" ht="49.5" customHeight="1" x14ac:dyDescent="0.25">
      <c r="A219" s="39" t="s">
        <v>590</v>
      </c>
      <c r="B219" s="53" t="s">
        <v>591</v>
      </c>
      <c r="C219" s="91" t="s">
        <v>1776</v>
      </c>
      <c r="D219" s="53">
        <v>1</v>
      </c>
      <c r="E219" s="76">
        <v>2</v>
      </c>
      <c r="F219" s="76">
        <v>2</v>
      </c>
      <c r="G219" s="748">
        <v>2</v>
      </c>
      <c r="H219" s="76">
        <v>1</v>
      </c>
      <c r="I219" s="42">
        <v>2</v>
      </c>
      <c r="J219" s="56">
        <v>2</v>
      </c>
      <c r="K219" s="56">
        <v>1</v>
      </c>
      <c r="L219" s="42"/>
      <c r="M219" s="593"/>
      <c r="N219" s="593"/>
      <c r="O219" s="575">
        <f t="shared" si="359"/>
        <v>1</v>
      </c>
      <c r="P219" s="575">
        <f t="shared" si="359"/>
        <v>1</v>
      </c>
      <c r="Q219" s="575">
        <f t="shared" si="359"/>
        <v>1</v>
      </c>
      <c r="R219" s="44">
        <f t="shared" ref="R219:R222" si="366">+IFERROR(IF(K219/G219&gt;=100%,100%,K219/G219),0)</f>
        <v>0.5</v>
      </c>
      <c r="S219" s="101" t="s">
        <v>1717</v>
      </c>
      <c r="T219" s="234"/>
      <c r="U219" s="40" t="s">
        <v>1796</v>
      </c>
      <c r="V219" s="555"/>
      <c r="W219" s="45" t="s">
        <v>1807</v>
      </c>
      <c r="X219" s="103" t="s">
        <v>1757</v>
      </c>
      <c r="Y219" s="40">
        <f t="shared" ref="Y219:Y222" si="367">SUM(D219:G219)</f>
        <v>7</v>
      </c>
      <c r="Z219" s="47">
        <f t="shared" ref="Z219:Z222" si="368">SUM(H219:N219)</f>
        <v>6</v>
      </c>
      <c r="AA219" s="92">
        <f t="shared" ref="AA219:AA222" si="369">IF(Z219/Y219&gt;=100%,100%,Z219/Y219)</f>
        <v>0.8571428571428571</v>
      </c>
      <c r="AB219" s="48">
        <v>0.25</v>
      </c>
      <c r="AC219" s="48">
        <v>0.25</v>
      </c>
      <c r="AD219" s="48">
        <v>0.25</v>
      </c>
      <c r="AE219" s="43">
        <v>0.25</v>
      </c>
      <c r="AF219" s="43">
        <v>0.25</v>
      </c>
      <c r="AG219" s="49">
        <v>10000000</v>
      </c>
      <c r="AH219" s="50"/>
      <c r="AI219" s="50"/>
      <c r="AJ219" s="240">
        <v>8527890.9749999996</v>
      </c>
      <c r="AK219" s="240">
        <v>3692036.3333333335</v>
      </c>
      <c r="AL219" s="932">
        <f t="shared" si="335"/>
        <v>0.36920363333333334</v>
      </c>
      <c r="AM219" s="50"/>
      <c r="AN219" s="723"/>
      <c r="AO219" s="240">
        <v>8461917.6500000004</v>
      </c>
      <c r="AP219" s="240">
        <v>1444585.2333333334</v>
      </c>
      <c r="AQ219" s="1155">
        <f t="shared" si="336"/>
        <v>0.14445852333333334</v>
      </c>
      <c r="AR219" s="51">
        <f t="shared" si="337"/>
        <v>2247451.1</v>
      </c>
      <c r="AS219" s="51"/>
      <c r="AT219" s="51"/>
      <c r="AU219" s="51"/>
      <c r="AV219" s="51"/>
      <c r="AW219" s="51">
        <f t="shared" si="334"/>
        <v>65973.324999999255</v>
      </c>
      <c r="AX219" s="51"/>
      <c r="AY219" s="43">
        <f t="shared" si="338"/>
        <v>0</v>
      </c>
      <c r="AZ219" s="49">
        <f>85000000+AG219</f>
        <v>95000000</v>
      </c>
      <c r="BA219" s="45">
        <f t="shared" si="357"/>
        <v>12219927.308333334</v>
      </c>
      <c r="BB219" s="43">
        <f t="shared" si="181"/>
        <v>0.12863081377192984</v>
      </c>
      <c r="BC219" s="591">
        <f t="shared" si="358"/>
        <v>9906502.8833333328</v>
      </c>
      <c r="BD219" s="43">
        <f t="shared" si="354"/>
        <v>0.10427897771929824</v>
      </c>
      <c r="BE219" s="50"/>
      <c r="BF219" s="50" t="s">
        <v>72</v>
      </c>
      <c r="BG219" s="50"/>
      <c r="BH219" s="53" t="s">
        <v>193</v>
      </c>
      <c r="BI219" s="626" t="s">
        <v>593</v>
      </c>
    </row>
    <row r="220" spans="1:61" ht="108" customHeight="1" x14ac:dyDescent="0.25">
      <c r="A220" s="39" t="s">
        <v>594</v>
      </c>
      <c r="B220" s="53" t="s">
        <v>595</v>
      </c>
      <c r="C220" s="91" t="s">
        <v>1776</v>
      </c>
      <c r="D220" s="53">
        <v>1</v>
      </c>
      <c r="E220" s="76">
        <v>1</v>
      </c>
      <c r="F220" s="76">
        <v>1</v>
      </c>
      <c r="G220" s="748">
        <v>1</v>
      </c>
      <c r="H220" s="76">
        <v>1</v>
      </c>
      <c r="I220" s="42">
        <v>1</v>
      </c>
      <c r="J220" s="42">
        <v>1</v>
      </c>
      <c r="K220" s="56">
        <v>0.6</v>
      </c>
      <c r="L220" s="42"/>
      <c r="M220" s="593"/>
      <c r="N220" s="593"/>
      <c r="O220" s="575">
        <f t="shared" si="359"/>
        <v>1</v>
      </c>
      <c r="P220" s="575">
        <f t="shared" si="359"/>
        <v>1</v>
      </c>
      <c r="Q220" s="575">
        <f t="shared" si="359"/>
        <v>1</v>
      </c>
      <c r="R220" s="44">
        <f t="shared" si="366"/>
        <v>0.6</v>
      </c>
      <c r="S220" s="101" t="s">
        <v>1621</v>
      </c>
      <c r="T220" s="234"/>
      <c r="U220" s="40" t="s">
        <v>1796</v>
      </c>
      <c r="V220" s="544"/>
      <c r="W220" s="547" t="s">
        <v>1807</v>
      </c>
      <c r="X220" s="103" t="s">
        <v>1757</v>
      </c>
      <c r="Y220" s="40">
        <f t="shared" si="367"/>
        <v>4</v>
      </c>
      <c r="Z220" s="47">
        <f t="shared" si="368"/>
        <v>3.6</v>
      </c>
      <c r="AA220" s="92">
        <f t="shared" si="369"/>
        <v>0.9</v>
      </c>
      <c r="AB220" s="48">
        <v>0.15</v>
      </c>
      <c r="AC220" s="48">
        <v>0.15</v>
      </c>
      <c r="AD220" s="48">
        <v>0.15</v>
      </c>
      <c r="AE220" s="43">
        <v>0.15</v>
      </c>
      <c r="AF220" s="43">
        <v>0.15</v>
      </c>
      <c r="AG220" s="49">
        <v>50000000</v>
      </c>
      <c r="AH220" s="50"/>
      <c r="AI220" s="50"/>
      <c r="AJ220" s="240">
        <v>51167345.850000001</v>
      </c>
      <c r="AK220" s="240">
        <v>18460181.666666664</v>
      </c>
      <c r="AL220" s="932">
        <f t="shared" si="335"/>
        <v>0.36920363333333328</v>
      </c>
      <c r="AM220" s="50"/>
      <c r="AN220" s="723"/>
      <c r="AO220" s="240">
        <v>50771505.899999999</v>
      </c>
      <c r="AP220" s="240">
        <v>7222926.166666666</v>
      </c>
      <c r="AQ220" s="1155">
        <f t="shared" si="336"/>
        <v>0.14445852333333331</v>
      </c>
      <c r="AR220" s="51">
        <f t="shared" si="337"/>
        <v>11237255.499999998</v>
      </c>
      <c r="AS220" s="51"/>
      <c r="AT220" s="51"/>
      <c r="AU220" s="51"/>
      <c r="AV220" s="51"/>
      <c r="AW220" s="51">
        <f t="shared" si="334"/>
        <v>395839.95000000298</v>
      </c>
      <c r="AX220" s="51"/>
      <c r="AY220" s="43">
        <f t="shared" si="338"/>
        <v>0</v>
      </c>
      <c r="AZ220" s="49">
        <f>150000000+AG220</f>
        <v>200000000</v>
      </c>
      <c r="BA220" s="45">
        <f t="shared" si="357"/>
        <v>69627527.516666666</v>
      </c>
      <c r="BB220" s="43">
        <f t="shared" si="181"/>
        <v>0.34813763758333333</v>
      </c>
      <c r="BC220" s="591">
        <f t="shared" si="358"/>
        <v>57994432.066666663</v>
      </c>
      <c r="BD220" s="43">
        <f t="shared" si="354"/>
        <v>0.28997216033333334</v>
      </c>
      <c r="BE220" s="50"/>
      <c r="BF220" s="50" t="s">
        <v>72</v>
      </c>
      <c r="BG220" s="50"/>
      <c r="BH220" s="57"/>
      <c r="BI220" s="1251" t="s">
        <v>508</v>
      </c>
    </row>
    <row r="221" spans="1:61" ht="27.75" customHeight="1" x14ac:dyDescent="0.25">
      <c r="A221" s="39" t="s">
        <v>596</v>
      </c>
      <c r="B221" s="211" t="s">
        <v>597</v>
      </c>
      <c r="C221" s="91" t="s">
        <v>1776</v>
      </c>
      <c r="D221" s="211">
        <v>1</v>
      </c>
      <c r="E221" s="76">
        <v>1</v>
      </c>
      <c r="F221" s="76">
        <v>1</v>
      </c>
      <c r="G221" s="748">
        <v>1</v>
      </c>
      <c r="H221" s="76">
        <v>1</v>
      </c>
      <c r="I221" s="42">
        <v>1</v>
      </c>
      <c r="J221" s="56">
        <v>1</v>
      </c>
      <c r="K221" s="93">
        <v>0</v>
      </c>
      <c r="L221" s="42"/>
      <c r="M221" s="593"/>
      <c r="N221" s="593"/>
      <c r="O221" s="575">
        <f t="shared" si="359"/>
        <v>1</v>
      </c>
      <c r="P221" s="575">
        <f t="shared" si="359"/>
        <v>1</v>
      </c>
      <c r="Q221" s="575">
        <f t="shared" si="359"/>
        <v>1</v>
      </c>
      <c r="R221" s="44">
        <f t="shared" si="366"/>
        <v>0</v>
      </c>
      <c r="S221" s="101" t="s">
        <v>1704</v>
      </c>
      <c r="T221" s="234"/>
      <c r="U221" s="40" t="s">
        <v>1796</v>
      </c>
      <c r="V221" s="544"/>
      <c r="W221" s="547" t="s">
        <v>1807</v>
      </c>
      <c r="X221" s="103" t="s">
        <v>1757</v>
      </c>
      <c r="Y221" s="40">
        <f t="shared" si="367"/>
        <v>4</v>
      </c>
      <c r="Z221" s="47">
        <f t="shared" si="368"/>
        <v>3</v>
      </c>
      <c r="AA221" s="92">
        <f t="shared" si="369"/>
        <v>0.75</v>
      </c>
      <c r="AB221" s="48">
        <v>0.4</v>
      </c>
      <c r="AC221" s="48">
        <v>0.4</v>
      </c>
      <c r="AD221" s="48">
        <v>0.4</v>
      </c>
      <c r="AE221" s="43">
        <v>0.4</v>
      </c>
      <c r="AF221" s="43">
        <v>0.4</v>
      </c>
      <c r="AG221" s="49">
        <v>200000000</v>
      </c>
      <c r="AH221" s="50"/>
      <c r="AI221" s="50"/>
      <c r="AJ221" s="240">
        <v>264364620.22500002</v>
      </c>
      <c r="AK221" s="240">
        <v>73840726.666666657</v>
      </c>
      <c r="AL221" s="932">
        <f t="shared" si="335"/>
        <v>0.36920363333333328</v>
      </c>
      <c r="AM221" s="50"/>
      <c r="AN221" s="723"/>
      <c r="AO221" s="240">
        <v>262319447.15000001</v>
      </c>
      <c r="AP221" s="240">
        <v>28891704.666666664</v>
      </c>
      <c r="AQ221" s="1155">
        <f t="shared" si="336"/>
        <v>0.14445852333333331</v>
      </c>
      <c r="AR221" s="51">
        <f t="shared" si="337"/>
        <v>44949021.999999993</v>
      </c>
      <c r="AS221" s="51"/>
      <c r="AT221" s="51"/>
      <c r="AU221" s="51"/>
      <c r="AV221" s="51"/>
      <c r="AW221" s="51">
        <f t="shared" si="334"/>
        <v>2045173.0750000179</v>
      </c>
      <c r="AX221" s="51"/>
      <c r="AY221" s="43">
        <f t="shared" si="338"/>
        <v>0</v>
      </c>
      <c r="AZ221" s="49">
        <f>900000000+AG221-70000000</f>
        <v>1030000000</v>
      </c>
      <c r="BA221" s="45">
        <f t="shared" si="357"/>
        <v>338205346.89166665</v>
      </c>
      <c r="BB221" s="43">
        <f t="shared" si="181"/>
        <v>0.3283547057200647</v>
      </c>
      <c r="BC221" s="591">
        <f t="shared" si="358"/>
        <v>291211151.81666666</v>
      </c>
      <c r="BD221" s="43">
        <f t="shared" si="354"/>
        <v>0.28272927360841421</v>
      </c>
      <c r="BE221" s="50"/>
      <c r="BF221" s="50" t="s">
        <v>72</v>
      </c>
      <c r="BG221" s="50"/>
      <c r="BH221" s="57"/>
      <c r="BI221" s="1224"/>
    </row>
    <row r="222" spans="1:61" ht="31.5" customHeight="1" x14ac:dyDescent="0.25">
      <c r="A222" s="39" t="s">
        <v>598</v>
      </c>
      <c r="B222" s="53" t="s">
        <v>599</v>
      </c>
      <c r="C222" s="53" t="s">
        <v>1778</v>
      </c>
      <c r="D222" s="578">
        <v>1</v>
      </c>
      <c r="E222" s="85">
        <v>1</v>
      </c>
      <c r="F222" s="85">
        <v>1</v>
      </c>
      <c r="G222" s="749">
        <v>1</v>
      </c>
      <c r="H222" s="85">
        <v>1</v>
      </c>
      <c r="I222" s="43">
        <v>1</v>
      </c>
      <c r="J222" s="42">
        <v>100</v>
      </c>
      <c r="K222" s="42">
        <v>100</v>
      </c>
      <c r="L222" s="42"/>
      <c r="M222" s="593"/>
      <c r="N222" s="593"/>
      <c r="O222" s="575">
        <f t="shared" si="359"/>
        <v>1</v>
      </c>
      <c r="P222" s="575">
        <f t="shared" si="359"/>
        <v>1</v>
      </c>
      <c r="Q222" s="575">
        <f t="shared" si="359"/>
        <v>1</v>
      </c>
      <c r="R222" s="44">
        <f t="shared" si="366"/>
        <v>1</v>
      </c>
      <c r="S222" s="101" t="s">
        <v>600</v>
      </c>
      <c r="T222" s="234"/>
      <c r="U222" s="40" t="s">
        <v>1796</v>
      </c>
      <c r="V222" s="40"/>
      <c r="W222" s="545" t="s">
        <v>1807</v>
      </c>
      <c r="X222" s="103" t="s">
        <v>1757</v>
      </c>
      <c r="Y222" s="43">
        <f t="shared" si="367"/>
        <v>4</v>
      </c>
      <c r="Z222" s="47">
        <f t="shared" si="368"/>
        <v>202</v>
      </c>
      <c r="AA222" s="43">
        <f t="shared" si="369"/>
        <v>1</v>
      </c>
      <c r="AB222" s="48">
        <v>0.2</v>
      </c>
      <c r="AC222" s="48">
        <v>0.2</v>
      </c>
      <c r="AD222" s="48">
        <v>0.2</v>
      </c>
      <c r="AE222" s="43">
        <v>0.2</v>
      </c>
      <c r="AF222" s="43">
        <v>0.2</v>
      </c>
      <c r="AG222" s="49">
        <v>40000000</v>
      </c>
      <c r="AH222" s="50"/>
      <c r="AI222" s="50"/>
      <c r="AJ222" s="240">
        <v>17055781.949999999</v>
      </c>
      <c r="AK222" s="240">
        <v>14768145.333333334</v>
      </c>
      <c r="AL222" s="932">
        <f t="shared" si="335"/>
        <v>0.36920363333333334</v>
      </c>
      <c r="AM222" s="50"/>
      <c r="AN222" s="723"/>
      <c r="AO222" s="240">
        <v>16923835.300000001</v>
      </c>
      <c r="AP222" s="240">
        <v>5778340.9333333336</v>
      </c>
      <c r="AQ222" s="1155">
        <f t="shared" si="336"/>
        <v>0.14445852333333334</v>
      </c>
      <c r="AR222" s="51">
        <f t="shared" si="337"/>
        <v>8989804.4000000004</v>
      </c>
      <c r="AS222" s="51"/>
      <c r="AT222" s="51"/>
      <c r="AU222" s="51"/>
      <c r="AV222" s="51"/>
      <c r="AW222" s="51">
        <f t="shared" si="334"/>
        <v>131946.64999999851</v>
      </c>
      <c r="AX222" s="51"/>
      <c r="AY222" s="43">
        <f t="shared" si="338"/>
        <v>0</v>
      </c>
      <c r="AZ222" s="49">
        <f>65000000+AG222</f>
        <v>105000000</v>
      </c>
      <c r="BA222" s="45">
        <f t="shared" si="357"/>
        <v>31823927.283333331</v>
      </c>
      <c r="BB222" s="43">
        <f t="shared" si="181"/>
        <v>0.30308502174603175</v>
      </c>
      <c r="BC222" s="591">
        <f t="shared" si="358"/>
        <v>22702176.233333334</v>
      </c>
      <c r="BD222" s="43">
        <f t="shared" si="354"/>
        <v>0.21621120222222223</v>
      </c>
      <c r="BE222" s="50"/>
      <c r="BF222" s="50" t="s">
        <v>72</v>
      </c>
      <c r="BG222" s="50"/>
      <c r="BH222" s="53" t="s">
        <v>175</v>
      </c>
      <c r="BI222" s="626" t="s">
        <v>601</v>
      </c>
    </row>
    <row r="223" spans="1:61" ht="33.75" customHeight="1" x14ac:dyDescent="0.25">
      <c r="A223" s="1256" t="s">
        <v>602</v>
      </c>
      <c r="B223" s="1257"/>
      <c r="C223" s="1258"/>
      <c r="D223" s="118"/>
      <c r="E223" s="118"/>
      <c r="F223" s="118"/>
      <c r="G223" s="752"/>
      <c r="H223" s="118"/>
      <c r="I223" s="118"/>
      <c r="J223" s="118"/>
      <c r="K223" s="118"/>
      <c r="L223" s="118"/>
      <c r="M223" s="118"/>
      <c r="N223" s="118"/>
      <c r="O223" s="119">
        <f>(O7*AC7)+(O65*AC65)+(O124*AC124)+(O139*AC139)+(O158*AC158)</f>
        <v>0.98614133333333331</v>
      </c>
      <c r="P223" s="119">
        <f>(P7*AD7)+(P65*AD65)+(P124*AD124)+(P139*AD139)+(P158*AD158)</f>
        <v>0.94975406519607852</v>
      </c>
      <c r="Q223" s="119">
        <f>(Q7*AE7)+(Q65*AE65)+(Q124*AE124)+(Q139*AE139)+(Q158*AE158)</f>
        <v>0.84664671428571436</v>
      </c>
      <c r="R223" s="119">
        <f>(R7*AF7)+(R65*AF65)+(R124*AF124)+(R139*AF139)+(R158*AF158)</f>
        <v>0.62993776899749365</v>
      </c>
      <c r="S223" s="297"/>
      <c r="T223" s="118"/>
      <c r="U223" s="118"/>
      <c r="V223" s="118"/>
      <c r="W223" s="118"/>
      <c r="X223" s="118"/>
      <c r="Y223" s="118"/>
      <c r="Z223" s="118"/>
      <c r="AA223" s="121">
        <f>+(AA7*AB7)+(AA65*AB65)+(AA124*AB124)+(AA139*AB139)+(AA158*AB158)</f>
        <v>1.0379105248566307</v>
      </c>
      <c r="AB223" s="120"/>
      <c r="AC223" s="120"/>
      <c r="AD223" s="120"/>
      <c r="AE223" s="120"/>
      <c r="AF223" s="120"/>
      <c r="AG223" s="1098">
        <f>+AG7+AG65+AG124+AG139+AG158</f>
        <v>44592327330</v>
      </c>
      <c r="AH223" s="122">
        <f>+AH7+AH65+AH124+AH139+AH158</f>
        <v>11158677718.630001</v>
      </c>
      <c r="AI223" s="122">
        <f>+AI7+AI65+AI124+AI139+AI158</f>
        <v>32418453430.170002</v>
      </c>
      <c r="AJ223" s="1099">
        <f>+AJ7+AJ65+AJ124+AJ139+AJ158</f>
        <v>76270402234.76796</v>
      </c>
      <c r="AK223" s="1099">
        <f>+AK7+AK65+AK124+AK139+AK158</f>
        <v>13186450826</v>
      </c>
      <c r="AL223" s="1133">
        <f t="shared" si="335"/>
        <v>0.29571120449523308</v>
      </c>
      <c r="AM223" s="122">
        <f>+AM7+AM65+AM124+AM139+AM158</f>
        <v>11158677718.630001</v>
      </c>
      <c r="AN223" s="122">
        <f t="shared" ref="AN223:AR223" si="370">+AN7+AN65+AN124+AN139+AN158</f>
        <v>17483599252.889999</v>
      </c>
      <c r="AO223" s="122">
        <f t="shared" si="370"/>
        <v>36111181906.690002</v>
      </c>
      <c r="AP223" s="1152">
        <f t="shared" si="370"/>
        <v>2306057807</v>
      </c>
      <c r="AQ223" s="1164">
        <f t="shared" si="336"/>
        <v>5.1714228547308255E-2</v>
      </c>
      <c r="AR223" s="123">
        <f t="shared" si="370"/>
        <v>10880393019</v>
      </c>
      <c r="AS223" s="123">
        <f>+AS7+AS65+AS124+AS139+AS158</f>
        <v>4276949985</v>
      </c>
      <c r="AT223" s="123">
        <f>+AT7+AT65+AT124+AT139+AT158</f>
        <v>3239666786</v>
      </c>
      <c r="AU223" s="123">
        <f>+AU7+AU65+AU124+AU139+AU158</f>
        <v>14934854177.279999</v>
      </c>
      <c r="AV223" s="123">
        <f>+AV7+AV65+AV124+AV139+AV158</f>
        <v>7311104214</v>
      </c>
      <c r="AW223" s="1166">
        <f>+AW7+AW65+AW124+AW139+AW158</f>
        <v>40159220328.077965</v>
      </c>
      <c r="AX223" s="123">
        <f t="shared" ref="AX223" si="371">+AX7+AX65+AX124+AX139+AX158</f>
        <v>0</v>
      </c>
      <c r="AY223" s="124">
        <f t="shared" si="338"/>
        <v>0</v>
      </c>
      <c r="AZ223" s="123">
        <f>+AZ7+AZ65+AZ124+AZ139+AZ158</f>
        <v>184378417084.79999</v>
      </c>
      <c r="BA223" s="123">
        <f>+BA7+BA65+BA124+BA139+BA158</f>
        <v>133033984209.56798</v>
      </c>
      <c r="BB223" s="125">
        <f t="shared" si="181"/>
        <v>0.72152688103609497</v>
      </c>
      <c r="BC223" s="1174">
        <f t="shared" ref="BC223" si="372">+BC7+BC65+BC124+BC139+BC158</f>
        <v>76476714882.73999</v>
      </c>
      <c r="BD223" s="1175">
        <f>+BC223/AZ223</f>
        <v>0.41478127479295229</v>
      </c>
      <c r="BE223" s="126"/>
      <c r="BF223" s="127"/>
      <c r="BG223" s="127"/>
      <c r="BH223" s="127"/>
      <c r="BI223" s="618"/>
    </row>
    <row r="224" spans="1:61" ht="33" customHeight="1" x14ac:dyDescent="0.25">
      <c r="A224" s="701" t="s">
        <v>603</v>
      </c>
      <c r="B224" s="1082"/>
      <c r="C224" s="694"/>
      <c r="D224" s="694"/>
      <c r="E224" s="694"/>
      <c r="F224" s="694"/>
      <c r="G224" s="694"/>
      <c r="H224" s="694"/>
      <c r="I224" s="694"/>
      <c r="J224" s="694"/>
      <c r="K224" s="694"/>
      <c r="L224" s="694"/>
      <c r="M224" s="694"/>
      <c r="N224" s="694"/>
      <c r="O224" s="694"/>
      <c r="P224" s="694"/>
      <c r="Q224" s="694"/>
      <c r="R224" s="694"/>
      <c r="S224" s="694"/>
      <c r="T224" s="694"/>
      <c r="U224" s="694"/>
      <c r="V224" s="694"/>
      <c r="W224" s="694"/>
      <c r="X224" s="694"/>
      <c r="Y224" s="694"/>
      <c r="Z224" s="694"/>
      <c r="AA224" s="694"/>
      <c r="AB224" s="694"/>
      <c r="AC224" s="694"/>
      <c r="AD224" s="694"/>
      <c r="AE224" s="694"/>
      <c r="AF224" s="694"/>
      <c r="AG224" s="1131">
        <v>44592327330</v>
      </c>
      <c r="AH224" s="1131">
        <v>11158677718.630001</v>
      </c>
      <c r="AI224" s="1131">
        <v>32418453430.170002</v>
      </c>
      <c r="AJ224" s="1132">
        <v>76297505718.459991</v>
      </c>
      <c r="AK224" s="719">
        <v>15914252398</v>
      </c>
      <c r="AL224" s="694"/>
      <c r="AM224" s="718">
        <v>11158677718.630001</v>
      </c>
      <c r="AN224" s="718">
        <v>17483599252.889999</v>
      </c>
      <c r="AO224" s="719">
        <f>+'Anexo 2 Mat Inf Gastos 22'!AA47</f>
        <v>36111181906.689995</v>
      </c>
      <c r="AP224" s="719">
        <v>2311459907</v>
      </c>
      <c r="AQ224" s="694"/>
      <c r="AR224" s="694"/>
      <c r="AS224" s="702">
        <v>4276949985</v>
      </c>
      <c r="AT224" s="702">
        <v>3239666786</v>
      </c>
      <c r="AU224" s="1165">
        <v>14934854177.280003</v>
      </c>
      <c r="AV224" s="702">
        <v>7311104214</v>
      </c>
      <c r="AW224" s="702">
        <v>40186323811.769989</v>
      </c>
      <c r="AX224" s="702"/>
      <c r="AY224" s="694"/>
      <c r="AZ224" s="694"/>
      <c r="BA224" s="694"/>
      <c r="BB224" s="694"/>
      <c r="BC224" s="694"/>
      <c r="BD224" s="694"/>
      <c r="BE224" s="693"/>
      <c r="BF224" s="103"/>
      <c r="BG224" s="103"/>
      <c r="BH224" s="103"/>
      <c r="BI224" s="618"/>
    </row>
    <row r="225" spans="1:61" ht="33" customHeight="1" x14ac:dyDescent="0.25">
      <c r="A225" s="4"/>
      <c r="B225" s="4"/>
      <c r="C225" s="4"/>
      <c r="D225" s="4"/>
      <c r="E225" s="128"/>
      <c r="F225" s="128"/>
      <c r="G225" s="753"/>
      <c r="H225" s="128"/>
      <c r="I225" s="128"/>
      <c r="J225" s="130"/>
      <c r="K225" s="128"/>
      <c r="L225" s="128"/>
      <c r="M225" s="130"/>
      <c r="N225" s="130"/>
      <c r="O225" s="130"/>
      <c r="P225" s="128"/>
      <c r="Q225" s="128"/>
      <c r="R225" s="128"/>
      <c r="S225" s="298"/>
      <c r="T225" s="4"/>
      <c r="U225" s="4"/>
      <c r="V225" s="4"/>
      <c r="W225" s="4"/>
      <c r="X225" s="4"/>
      <c r="Y225" s="128"/>
      <c r="Z225" s="128"/>
      <c r="AA225" s="128"/>
      <c r="AB225" s="4"/>
      <c r="AC225" s="4"/>
      <c r="AD225" s="4"/>
      <c r="AE225" s="4"/>
      <c r="AF225" s="4"/>
      <c r="AG225" s="4"/>
      <c r="AH225" s="4"/>
      <c r="AI225" s="4"/>
      <c r="AJ225" s="246"/>
      <c r="AK225" s="246"/>
      <c r="AL225" s="129"/>
      <c r="AM225" s="129"/>
      <c r="AN225" s="129"/>
      <c r="AO225" s="246"/>
      <c r="AP225" s="246"/>
      <c r="AQ225" s="249"/>
      <c r="AR225" s="4"/>
      <c r="AS225" s="737">
        <f>+AS224-AS223</f>
        <v>0</v>
      </c>
      <c r="AT225" s="737">
        <f>+AT224-AT223</f>
        <v>0</v>
      </c>
      <c r="AU225" s="4"/>
      <c r="AV225" s="4"/>
      <c r="AW225" s="4"/>
      <c r="AX225" s="4"/>
      <c r="AY225" s="128"/>
      <c r="AZ225" s="4"/>
      <c r="BA225" s="4"/>
      <c r="BB225" s="4"/>
      <c r="BC225" s="4"/>
      <c r="BD225" s="4"/>
      <c r="BE225" s="4"/>
      <c r="BF225" s="4"/>
      <c r="BG225" s="4"/>
      <c r="BH225" s="4"/>
      <c r="BI225" s="567"/>
    </row>
    <row r="226" spans="1:61" ht="12.75" customHeight="1" x14ac:dyDescent="0.25">
      <c r="A226" s="4"/>
      <c r="B226" s="4"/>
      <c r="C226" s="4"/>
      <c r="D226" s="4"/>
      <c r="E226" s="128"/>
      <c r="F226" s="128"/>
      <c r="G226" s="753"/>
      <c r="H226" s="128"/>
      <c r="I226" s="128"/>
      <c r="J226" s="130"/>
      <c r="K226" s="128"/>
      <c r="L226" s="128"/>
      <c r="M226" s="130"/>
      <c r="N226" s="130"/>
      <c r="O226" s="130"/>
      <c r="P226" s="128"/>
      <c r="Q226" s="128"/>
      <c r="R226" s="128"/>
      <c r="S226" s="298"/>
      <c r="T226" s="4"/>
      <c r="U226" s="4"/>
      <c r="V226" s="4"/>
      <c r="W226" s="4"/>
      <c r="X226" s="4"/>
      <c r="Y226" s="128"/>
      <c r="Z226" s="128"/>
      <c r="AA226" s="128"/>
      <c r="AB226" s="4"/>
      <c r="AC226" s="4"/>
      <c r="AD226" s="4"/>
      <c r="AE226" s="4"/>
      <c r="AF226" s="4"/>
      <c r="AG226" s="4"/>
      <c r="AH226" s="4"/>
      <c r="AI226" s="4"/>
      <c r="AJ226" s="246"/>
      <c r="AK226" s="246"/>
      <c r="AL226" s="129"/>
      <c r="AM226" s="129"/>
      <c r="AN226" s="129"/>
      <c r="AO226" s="246"/>
      <c r="AP226" s="246"/>
      <c r="AQ226" s="249"/>
      <c r="AR226" s="4"/>
      <c r="AS226" s="4"/>
      <c r="AT226" s="4"/>
      <c r="AU226" s="675">
        <v>14934854177.280001</v>
      </c>
      <c r="AV226" s="4"/>
      <c r="AW226" s="4"/>
      <c r="AX226" s="4"/>
      <c r="AY226" s="128"/>
      <c r="AZ226" s="4"/>
      <c r="BA226" s="4"/>
      <c r="BB226" s="4"/>
      <c r="BC226" s="4"/>
      <c r="BD226" s="4"/>
      <c r="BE226" s="4"/>
      <c r="BF226" s="4"/>
      <c r="BG226" s="4"/>
      <c r="BH226" s="4"/>
      <c r="BI226" s="567"/>
    </row>
    <row r="227" spans="1:61" ht="12.75" customHeight="1" x14ac:dyDescent="0.25">
      <c r="A227" s="4"/>
      <c r="B227" s="4"/>
      <c r="C227" s="4"/>
      <c r="D227" s="4"/>
      <c r="E227" s="128"/>
      <c r="F227" s="128"/>
      <c r="G227" s="753"/>
      <c r="H227" s="128"/>
      <c r="I227" s="128"/>
      <c r="J227" s="130"/>
      <c r="K227" s="128"/>
      <c r="L227" s="128"/>
      <c r="M227" s="130"/>
      <c r="N227" s="130"/>
      <c r="O227" s="130"/>
      <c r="P227" s="128"/>
      <c r="Q227" s="128"/>
      <c r="R227" s="128"/>
      <c r="S227" s="298"/>
      <c r="T227" s="4"/>
      <c r="U227" s="4"/>
      <c r="V227" s="4"/>
      <c r="W227" s="4"/>
      <c r="X227" s="4"/>
      <c r="Y227" s="128"/>
      <c r="Z227" s="128"/>
      <c r="AA227" s="128"/>
      <c r="AB227" s="4"/>
      <c r="AC227" s="4"/>
      <c r="AD227" s="4"/>
      <c r="AE227" s="4"/>
      <c r="AF227" s="4"/>
      <c r="AG227" s="4"/>
      <c r="AH227" s="4"/>
      <c r="AI227" s="4"/>
      <c r="AJ227" s="246"/>
      <c r="AK227" s="246"/>
      <c r="AL227" s="129"/>
      <c r="AM227" s="129"/>
      <c r="AN227" s="129"/>
      <c r="AO227" s="246"/>
      <c r="AP227" s="246"/>
      <c r="AQ227" s="249"/>
      <c r="AR227" s="4"/>
      <c r="AS227" s="4"/>
      <c r="AT227" s="4"/>
      <c r="AU227" s="4"/>
      <c r="AV227" s="4"/>
      <c r="AW227" s="4"/>
      <c r="AX227" s="4"/>
      <c r="AY227" s="128"/>
      <c r="AZ227" s="4"/>
      <c r="BA227" s="4"/>
      <c r="BB227" s="4"/>
      <c r="BC227" s="4"/>
      <c r="BD227" s="4"/>
      <c r="BE227" s="4"/>
      <c r="BF227" s="4"/>
      <c r="BG227" s="4"/>
      <c r="BH227" s="4"/>
      <c r="BI227" s="567"/>
    </row>
    <row r="228" spans="1:61" ht="12.75" customHeight="1" x14ac:dyDescent="0.25">
      <c r="A228" s="4"/>
      <c r="B228" s="4"/>
      <c r="C228" s="4"/>
      <c r="D228" s="4"/>
      <c r="E228" s="128"/>
      <c r="F228" s="128"/>
      <c r="G228" s="753"/>
      <c r="H228" s="128"/>
      <c r="I228" s="128"/>
      <c r="J228" s="130"/>
      <c r="K228" s="128"/>
      <c r="L228" s="128"/>
      <c r="M228" s="130"/>
      <c r="N228" s="130"/>
      <c r="O228" s="130"/>
      <c r="P228" s="128"/>
      <c r="Q228" s="128"/>
      <c r="R228" s="128"/>
      <c r="S228" s="298"/>
      <c r="T228" s="4"/>
      <c r="U228" s="4"/>
      <c r="V228" s="4"/>
      <c r="W228" s="4"/>
      <c r="X228" s="4"/>
      <c r="Y228" s="128"/>
      <c r="Z228" s="128"/>
      <c r="AA228" s="128"/>
      <c r="AB228" s="4"/>
      <c r="AC228" s="4"/>
      <c r="AD228" s="4"/>
      <c r="AE228" s="4"/>
      <c r="AF228" s="4"/>
      <c r="AG228" s="4"/>
      <c r="AH228" s="4"/>
      <c r="AI228" s="4"/>
      <c r="AJ228" s="246"/>
      <c r="AK228" s="246"/>
      <c r="AL228" s="129"/>
      <c r="AM228" s="129"/>
      <c r="AN228" s="129"/>
      <c r="AO228" s="246"/>
      <c r="AP228" s="246"/>
      <c r="AQ228" s="249"/>
      <c r="AR228" s="4"/>
      <c r="AS228" s="4"/>
      <c r="AT228" s="4"/>
      <c r="AU228" s="4"/>
      <c r="AV228" s="4"/>
      <c r="AW228" s="4"/>
      <c r="AX228" s="4"/>
      <c r="AY228" s="128"/>
      <c r="AZ228" s="4"/>
      <c r="BA228" s="4"/>
      <c r="BB228" s="4"/>
      <c r="BC228" s="4"/>
      <c r="BD228" s="4"/>
      <c r="BE228" s="4"/>
      <c r="BF228" s="4"/>
      <c r="BG228" s="4"/>
      <c r="BH228" s="4"/>
      <c r="BI228" s="567"/>
    </row>
    <row r="229" spans="1:61" ht="12.75" customHeight="1" x14ac:dyDescent="0.25">
      <c r="A229" s="4"/>
      <c r="B229" s="4"/>
      <c r="C229" s="4"/>
      <c r="D229" s="4"/>
      <c r="E229" s="128"/>
      <c r="F229" s="128"/>
      <c r="G229" s="753"/>
      <c r="H229" s="128"/>
      <c r="I229" s="128"/>
      <c r="J229" s="130"/>
      <c r="K229" s="128"/>
      <c r="L229" s="128"/>
      <c r="M229" s="130"/>
      <c r="N229" s="130"/>
      <c r="O229" s="130"/>
      <c r="P229" s="128"/>
      <c r="Q229" s="128"/>
      <c r="R229" s="128"/>
      <c r="S229" s="298"/>
      <c r="T229" s="4"/>
      <c r="U229" s="4"/>
      <c r="V229" s="4"/>
      <c r="W229" s="4"/>
      <c r="X229" s="4"/>
      <c r="Y229" s="128"/>
      <c r="Z229" s="128"/>
      <c r="AA229" s="128"/>
      <c r="AB229" s="4"/>
      <c r="AC229" s="4"/>
      <c r="AD229" s="4"/>
      <c r="AE229" s="4"/>
      <c r="AF229" s="4"/>
      <c r="AG229" s="4"/>
      <c r="AH229" s="4"/>
      <c r="AI229" s="4"/>
      <c r="AJ229" s="246"/>
      <c r="AK229" s="246"/>
      <c r="AL229" s="129"/>
      <c r="AM229" s="129"/>
      <c r="AN229" s="129"/>
      <c r="AO229" s="246"/>
      <c r="AP229" s="246"/>
      <c r="AQ229" s="249"/>
      <c r="AR229" s="4"/>
      <c r="AS229" s="4"/>
      <c r="AT229" s="4"/>
      <c r="AU229" s="676">
        <f>AU226-AU223</f>
        <v>0</v>
      </c>
      <c r="AV229" s="4"/>
      <c r="AW229" s="4"/>
      <c r="AX229" s="4"/>
      <c r="AY229" s="128"/>
      <c r="AZ229" s="4"/>
      <c r="BA229" s="4"/>
      <c r="BB229" s="4"/>
      <c r="BC229" s="4"/>
      <c r="BD229" s="4"/>
      <c r="BE229" s="4"/>
      <c r="BF229" s="4"/>
      <c r="BG229" s="4"/>
      <c r="BH229" s="4"/>
      <c r="BI229" s="567"/>
    </row>
    <row r="230" spans="1:61" ht="12.75" customHeight="1" x14ac:dyDescent="0.25">
      <c r="A230" s="4"/>
      <c r="B230" s="4"/>
      <c r="C230" s="4"/>
      <c r="D230" s="4"/>
      <c r="E230" s="128"/>
      <c r="F230" s="128"/>
      <c r="G230" s="753"/>
      <c r="H230" s="128"/>
      <c r="I230" s="128"/>
      <c r="J230" s="130"/>
      <c r="K230" s="128"/>
      <c r="L230" s="128"/>
      <c r="M230" s="130"/>
      <c r="N230" s="130"/>
      <c r="O230" s="130"/>
      <c r="P230" s="128"/>
      <c r="Q230" s="128"/>
      <c r="R230" s="128"/>
      <c r="S230" s="298"/>
      <c r="T230" s="4"/>
      <c r="U230" s="4"/>
      <c r="V230" s="4"/>
      <c r="W230" s="4"/>
      <c r="X230" s="4"/>
      <c r="Y230" s="128"/>
      <c r="Z230" s="128"/>
      <c r="AA230" s="128"/>
      <c r="AB230" s="4"/>
      <c r="AC230" s="4"/>
      <c r="AD230" s="4"/>
      <c r="AE230" s="4"/>
      <c r="AF230" s="4"/>
      <c r="AG230" s="4"/>
      <c r="AH230" s="4"/>
      <c r="AI230" s="4"/>
      <c r="AJ230" s="246"/>
      <c r="AK230" s="246"/>
      <c r="AL230" s="129"/>
      <c r="AM230" s="129"/>
      <c r="AN230" s="129"/>
      <c r="AO230" s="246"/>
      <c r="AP230" s="246"/>
      <c r="AQ230" s="249"/>
      <c r="AR230" s="4"/>
      <c r="AS230" s="4"/>
      <c r="AT230" s="4"/>
      <c r="AU230" s="4"/>
      <c r="AV230" s="4"/>
      <c r="AW230" s="4"/>
      <c r="AX230" s="4"/>
      <c r="AY230" s="128"/>
      <c r="AZ230" s="4"/>
      <c r="BA230" s="4"/>
      <c r="BB230" s="4"/>
      <c r="BC230" s="4"/>
      <c r="BD230" s="4"/>
      <c r="BE230" s="4"/>
      <c r="BF230" s="4"/>
      <c r="BG230" s="4"/>
      <c r="BH230" s="4"/>
      <c r="BI230" s="567"/>
    </row>
    <row r="231" spans="1:61" ht="12.75" customHeight="1" x14ac:dyDescent="0.25">
      <c r="A231" s="4"/>
      <c r="B231" s="4"/>
      <c r="C231" s="4"/>
      <c r="D231" s="4"/>
      <c r="E231" s="128"/>
      <c r="F231" s="128"/>
      <c r="G231" s="753"/>
      <c r="H231" s="128"/>
      <c r="I231" s="128"/>
      <c r="J231" s="130"/>
      <c r="K231" s="128"/>
      <c r="L231" s="128"/>
      <c r="M231" s="130"/>
      <c r="N231" s="130"/>
      <c r="O231" s="130"/>
      <c r="P231" s="128"/>
      <c r="Q231" s="128"/>
      <c r="R231" s="128"/>
      <c r="S231" s="298"/>
      <c r="T231" s="4"/>
      <c r="U231" s="4"/>
      <c r="V231" s="4"/>
      <c r="W231" s="4"/>
      <c r="X231" s="4"/>
      <c r="Y231" s="128"/>
      <c r="Z231" s="128"/>
      <c r="AA231" s="128"/>
      <c r="AB231" s="4"/>
      <c r="AC231" s="4"/>
      <c r="AD231" s="4"/>
      <c r="AE231" s="4"/>
      <c r="AF231" s="4"/>
      <c r="AG231" s="4"/>
      <c r="AH231" s="4"/>
      <c r="AI231" s="4"/>
      <c r="AJ231" s="246"/>
      <c r="AK231" s="246"/>
      <c r="AL231" s="129"/>
      <c r="AM231" s="129"/>
      <c r="AN231" s="129"/>
      <c r="AO231" s="246"/>
      <c r="AP231" s="246"/>
      <c r="AQ231" s="249"/>
      <c r="AR231" s="4"/>
      <c r="AS231" s="4"/>
      <c r="AT231" s="4"/>
      <c r="AU231" s="4"/>
      <c r="AV231" s="4"/>
      <c r="AW231" s="4"/>
      <c r="AX231" s="4"/>
      <c r="AY231" s="128"/>
      <c r="AZ231" s="4"/>
      <c r="BA231" s="4"/>
      <c r="BB231" s="4"/>
      <c r="BC231" s="4"/>
      <c r="BD231" s="4"/>
      <c r="BE231" s="4"/>
      <c r="BF231" s="4"/>
      <c r="BG231" s="4"/>
      <c r="BH231" s="4"/>
      <c r="BI231" s="567"/>
    </row>
    <row r="232" spans="1:61" ht="12.75" customHeight="1" x14ac:dyDescent="0.25">
      <c r="A232" s="4"/>
      <c r="B232" s="4"/>
      <c r="C232" s="4"/>
      <c r="D232" s="4"/>
      <c r="E232" s="128"/>
      <c r="F232" s="128"/>
      <c r="G232" s="753"/>
      <c r="H232" s="128"/>
      <c r="I232" s="128"/>
      <c r="J232" s="130"/>
      <c r="K232" s="128"/>
      <c r="L232" s="128"/>
      <c r="M232" s="130"/>
      <c r="N232" s="130"/>
      <c r="O232" s="130"/>
      <c r="P232" s="128"/>
      <c r="Q232" s="128"/>
      <c r="R232" s="128"/>
      <c r="S232" s="298"/>
      <c r="T232" s="4"/>
      <c r="U232" s="4"/>
      <c r="V232" s="4"/>
      <c r="W232" s="4"/>
      <c r="X232" s="4"/>
      <c r="Y232" s="128"/>
      <c r="Z232" s="128"/>
      <c r="AA232" s="128"/>
      <c r="AB232" s="4"/>
      <c r="AC232" s="4"/>
      <c r="AD232" s="4"/>
      <c r="AE232" s="4"/>
      <c r="AF232" s="4"/>
      <c r="AG232" s="4"/>
      <c r="AH232" s="4"/>
      <c r="AI232" s="4"/>
      <c r="AJ232" s="246"/>
      <c r="AK232" s="246"/>
      <c r="AL232" s="129"/>
      <c r="AM232" s="129"/>
      <c r="AN232" s="129"/>
      <c r="AO232" s="246"/>
      <c r="AP232" s="246"/>
      <c r="AQ232" s="249"/>
      <c r="AR232" s="4"/>
      <c r="AS232" s="4"/>
      <c r="AT232" s="4"/>
      <c r="AU232" s="4"/>
      <c r="AV232" s="4"/>
      <c r="AW232" s="4"/>
      <c r="AX232" s="4"/>
      <c r="AY232" s="128"/>
      <c r="AZ232" s="4"/>
      <c r="BA232" s="4"/>
      <c r="BB232" s="4"/>
      <c r="BC232" s="4"/>
      <c r="BD232" s="4"/>
      <c r="BE232" s="4"/>
      <c r="BF232" s="4"/>
      <c r="BG232" s="4"/>
      <c r="BH232" s="4"/>
      <c r="BI232" s="567"/>
    </row>
    <row r="233" spans="1:61" ht="12.75" customHeight="1" x14ac:dyDescent="0.25">
      <c r="A233" s="4"/>
      <c r="B233" s="4"/>
      <c r="C233" s="4"/>
      <c r="D233" s="4"/>
      <c r="E233" s="128"/>
      <c r="F233" s="128"/>
      <c r="G233" s="753"/>
      <c r="H233" s="128"/>
      <c r="I233" s="128"/>
      <c r="J233" s="130"/>
      <c r="K233" s="128"/>
      <c r="L233" s="128"/>
      <c r="M233" s="130"/>
      <c r="N233" s="130"/>
      <c r="O233" s="130"/>
      <c r="P233" s="128"/>
      <c r="Q233" s="128"/>
      <c r="R233" s="128"/>
      <c r="S233" s="298"/>
      <c r="T233" s="4"/>
      <c r="U233" s="4"/>
      <c r="V233" s="4"/>
      <c r="W233" s="4"/>
      <c r="X233" s="4"/>
      <c r="Y233" s="128"/>
      <c r="Z233" s="128"/>
      <c r="AA233" s="128"/>
      <c r="AB233" s="4"/>
      <c r="AC233" s="4"/>
      <c r="AD233" s="4"/>
      <c r="AE233" s="4"/>
      <c r="AF233" s="4"/>
      <c r="AG233" s="4"/>
      <c r="AH233" s="4"/>
      <c r="AI233" s="4"/>
      <c r="AJ233" s="246"/>
      <c r="AK233" s="246"/>
      <c r="AL233" s="129"/>
      <c r="AM233" s="129"/>
      <c r="AN233" s="129"/>
      <c r="AO233" s="246"/>
      <c r="AP233" s="246"/>
      <c r="AQ233" s="249"/>
      <c r="AR233" s="4"/>
      <c r="AS233" s="4"/>
      <c r="AT233" s="4"/>
      <c r="AU233" s="4"/>
      <c r="AV233" s="4"/>
      <c r="AW233" s="4"/>
      <c r="AX233" s="4"/>
      <c r="AY233" s="128"/>
      <c r="AZ233" s="4"/>
      <c r="BA233" s="4"/>
      <c r="BB233" s="4"/>
      <c r="BC233" s="4"/>
      <c r="BD233" s="4"/>
      <c r="BE233" s="4"/>
      <c r="BF233" s="4"/>
      <c r="BG233" s="4"/>
      <c r="BH233" s="4"/>
      <c r="BI233" s="567"/>
    </row>
    <row r="234" spans="1:61" ht="12.75" customHeight="1" x14ac:dyDescent="0.25">
      <c r="A234" s="4"/>
      <c r="B234" s="4"/>
      <c r="C234" s="4"/>
      <c r="D234" s="4"/>
      <c r="E234" s="128"/>
      <c r="F234" s="128"/>
      <c r="G234" s="753"/>
      <c r="H234" s="128"/>
      <c r="I234" s="128"/>
      <c r="J234" s="130"/>
      <c r="K234" s="128"/>
      <c r="L234" s="128"/>
      <c r="M234" s="130"/>
      <c r="N234" s="130"/>
      <c r="O234" s="130"/>
      <c r="P234" s="128"/>
      <c r="Q234" s="128"/>
      <c r="R234" s="128"/>
      <c r="S234" s="298"/>
      <c r="T234" s="4"/>
      <c r="U234" s="4"/>
      <c r="V234" s="4"/>
      <c r="W234" s="4"/>
      <c r="X234" s="4"/>
      <c r="Y234" s="128"/>
      <c r="Z234" s="128"/>
      <c r="AA234" s="128"/>
      <c r="AB234" s="4"/>
      <c r="AC234" s="4"/>
      <c r="AD234" s="4"/>
      <c r="AE234" s="4"/>
      <c r="AF234" s="4"/>
      <c r="AG234" s="4"/>
      <c r="AH234" s="4"/>
      <c r="AI234" s="4"/>
      <c r="AJ234" s="246"/>
      <c r="AK234" s="246"/>
      <c r="AL234" s="129"/>
      <c r="AM234" s="129"/>
      <c r="AN234" s="129"/>
      <c r="AO234" s="246"/>
      <c r="AP234" s="246"/>
      <c r="AQ234" s="249"/>
      <c r="AR234" s="4"/>
      <c r="AS234" s="4"/>
      <c r="AT234" s="4"/>
      <c r="AU234" s="4"/>
      <c r="AV234" s="4"/>
      <c r="AW234" s="4"/>
      <c r="AX234" s="4"/>
      <c r="AY234" s="128"/>
      <c r="AZ234" s="4"/>
      <c r="BA234" s="4"/>
      <c r="BB234" s="4"/>
      <c r="BC234" s="4"/>
      <c r="BD234" s="4"/>
      <c r="BE234" s="4"/>
      <c r="BF234" s="4"/>
      <c r="BG234" s="4"/>
      <c r="BH234" s="4"/>
      <c r="BI234" s="567"/>
    </row>
    <row r="235" spans="1:61" ht="12.75" customHeight="1" x14ac:dyDescent="0.25">
      <c r="A235" s="4"/>
      <c r="B235" s="4"/>
      <c r="C235" s="4"/>
      <c r="D235" s="4"/>
      <c r="E235" s="128"/>
      <c r="F235" s="128"/>
      <c r="G235" s="753"/>
      <c r="H235" s="128"/>
      <c r="I235" s="128"/>
      <c r="J235" s="130"/>
      <c r="K235" s="128"/>
      <c r="L235" s="128"/>
      <c r="M235" s="130"/>
      <c r="N235" s="130"/>
      <c r="O235" s="130"/>
      <c r="P235" s="128"/>
      <c r="Q235" s="128"/>
      <c r="R235" s="128"/>
      <c r="S235" s="298"/>
      <c r="T235" s="4"/>
      <c r="U235" s="4"/>
      <c r="V235" s="4"/>
      <c r="W235" s="4"/>
      <c r="X235" s="4"/>
      <c r="Y235" s="128"/>
      <c r="Z235" s="128"/>
      <c r="AA235" s="128"/>
      <c r="AB235" s="4"/>
      <c r="AC235" s="4"/>
      <c r="AD235" s="4"/>
      <c r="AE235" s="4"/>
      <c r="AF235" s="4"/>
      <c r="AG235" s="4"/>
      <c r="AH235" s="4"/>
      <c r="AI235" s="4"/>
      <c r="AJ235" s="246"/>
      <c r="AK235" s="246"/>
      <c r="AL235" s="129"/>
      <c r="AM235" s="129"/>
      <c r="AN235" s="129"/>
      <c r="AO235" s="246"/>
      <c r="AP235" s="246"/>
      <c r="AQ235" s="249"/>
      <c r="AR235" s="4"/>
      <c r="AS235" s="4"/>
      <c r="AT235" s="4"/>
      <c r="AU235" s="4"/>
      <c r="AV235" s="4"/>
      <c r="AW235" s="4"/>
      <c r="AX235" s="4"/>
      <c r="AY235" s="128"/>
      <c r="AZ235" s="4"/>
      <c r="BA235" s="4"/>
      <c r="BB235" s="4"/>
      <c r="BC235" s="4"/>
      <c r="BD235" s="4"/>
      <c r="BE235" s="4"/>
      <c r="BF235" s="4"/>
      <c r="BG235" s="4"/>
      <c r="BH235" s="4"/>
      <c r="BI235" s="567"/>
    </row>
    <row r="236" spans="1:61" ht="12.75" customHeight="1" x14ac:dyDescent="0.25">
      <c r="A236" s="4"/>
      <c r="B236" s="4"/>
      <c r="C236" s="4"/>
      <c r="D236" s="4"/>
      <c r="E236" s="128"/>
      <c r="F236" s="128"/>
      <c r="G236" s="753"/>
      <c r="H236" s="128"/>
      <c r="I236" s="128"/>
      <c r="J236" s="130"/>
      <c r="K236" s="128"/>
      <c r="L236" s="128"/>
      <c r="M236" s="130"/>
      <c r="N236" s="130"/>
      <c r="O236" s="130"/>
      <c r="P236" s="128"/>
      <c r="Q236" s="128"/>
      <c r="R236" s="128"/>
      <c r="S236" s="298"/>
      <c r="T236" s="4"/>
      <c r="U236" s="4"/>
      <c r="V236" s="4"/>
      <c r="W236" s="4"/>
      <c r="X236" s="4"/>
      <c r="Y236" s="128"/>
      <c r="Z236" s="128"/>
      <c r="AA236" s="128"/>
      <c r="AB236" s="4"/>
      <c r="AC236" s="4"/>
      <c r="AD236" s="4"/>
      <c r="AE236" s="4"/>
      <c r="AF236" s="4"/>
      <c r="AG236" s="4"/>
      <c r="AH236" s="4"/>
      <c r="AI236" s="4"/>
      <c r="AJ236" s="246"/>
      <c r="AK236" s="246"/>
      <c r="AL236" s="129"/>
      <c r="AM236" s="129"/>
      <c r="AN236" s="129"/>
      <c r="AO236" s="246"/>
      <c r="AP236" s="246"/>
      <c r="AQ236" s="249"/>
      <c r="AR236" s="4"/>
      <c r="AS236" s="4"/>
      <c r="AT236" s="4"/>
      <c r="AU236" s="4"/>
      <c r="AV236" s="4"/>
      <c r="AW236" s="4"/>
      <c r="AX236" s="4"/>
      <c r="AY236" s="128"/>
      <c r="AZ236" s="4"/>
      <c r="BA236" s="4"/>
      <c r="BB236" s="4"/>
      <c r="BC236" s="4"/>
      <c r="BD236" s="4"/>
      <c r="BE236" s="4"/>
      <c r="BF236" s="4"/>
      <c r="BG236" s="4"/>
      <c r="BH236" s="4"/>
      <c r="BI236" s="567"/>
    </row>
    <row r="237" spans="1:61" ht="12.75" customHeight="1" x14ac:dyDescent="0.25">
      <c r="A237" s="4"/>
      <c r="B237" s="4"/>
      <c r="C237" s="4"/>
      <c r="D237" s="4"/>
      <c r="E237" s="128"/>
      <c r="F237" s="128"/>
      <c r="G237" s="753"/>
      <c r="H237" s="128"/>
      <c r="I237" s="128"/>
      <c r="J237" s="130"/>
      <c r="K237" s="128"/>
      <c r="L237" s="128"/>
      <c r="M237" s="130"/>
      <c r="N237" s="130"/>
      <c r="O237" s="130"/>
      <c r="P237" s="128"/>
      <c r="Q237" s="128"/>
      <c r="R237" s="128"/>
      <c r="S237" s="298"/>
      <c r="T237" s="4"/>
      <c r="U237" s="4"/>
      <c r="V237" s="4"/>
      <c r="W237" s="4"/>
      <c r="X237" s="4"/>
      <c r="Y237" s="128"/>
      <c r="Z237" s="128"/>
      <c r="AA237" s="128"/>
      <c r="AB237" s="4"/>
      <c r="AC237" s="4"/>
      <c r="AD237" s="4"/>
      <c r="AE237" s="4"/>
      <c r="AF237" s="4"/>
      <c r="AG237" s="4"/>
      <c r="AH237" s="4"/>
      <c r="AI237" s="4"/>
      <c r="AJ237" s="246"/>
      <c r="AK237" s="246"/>
      <c r="AL237" s="129"/>
      <c r="AM237" s="129"/>
      <c r="AN237" s="129"/>
      <c r="AO237" s="246"/>
      <c r="AP237" s="246"/>
      <c r="AQ237" s="249"/>
      <c r="AR237" s="4"/>
      <c r="AS237" s="4"/>
      <c r="AT237" s="4"/>
      <c r="AU237" s="4"/>
      <c r="AV237" s="4"/>
      <c r="AW237" s="4"/>
      <c r="AX237" s="4"/>
      <c r="AY237" s="128"/>
      <c r="AZ237" s="4"/>
      <c r="BA237" s="4"/>
      <c r="BB237" s="4"/>
      <c r="BC237" s="4"/>
      <c r="BD237" s="4"/>
      <c r="BE237" s="4"/>
      <c r="BF237" s="4"/>
      <c r="BG237" s="4"/>
      <c r="BH237" s="4"/>
      <c r="BI237" s="567"/>
    </row>
    <row r="238" spans="1:61" ht="12.75" customHeight="1" x14ac:dyDescent="0.25">
      <c r="A238" s="4"/>
      <c r="B238" s="4"/>
      <c r="C238" s="4"/>
      <c r="D238" s="4"/>
      <c r="E238" s="128"/>
      <c r="F238" s="128"/>
      <c r="G238" s="753"/>
      <c r="H238" s="128"/>
      <c r="I238" s="128"/>
      <c r="J238" s="130"/>
      <c r="K238" s="128"/>
      <c r="L238" s="128"/>
      <c r="M238" s="130"/>
      <c r="N238" s="130"/>
      <c r="O238" s="130"/>
      <c r="P238" s="128"/>
      <c r="Q238" s="128"/>
      <c r="R238" s="128"/>
      <c r="S238" s="298"/>
      <c r="T238" s="4"/>
      <c r="U238" s="4"/>
      <c r="V238" s="4"/>
      <c r="W238" s="4"/>
      <c r="X238" s="4"/>
      <c r="Y238" s="128"/>
      <c r="Z238" s="128"/>
      <c r="AA238" s="128"/>
      <c r="AB238" s="4"/>
      <c r="AC238" s="4"/>
      <c r="AD238" s="4"/>
      <c r="AE238" s="4"/>
      <c r="AF238" s="4"/>
      <c r="AG238" s="4"/>
      <c r="AH238" s="4"/>
      <c r="AI238" s="4"/>
      <c r="AJ238" s="246"/>
      <c r="AK238" s="246"/>
      <c r="AL238" s="129"/>
      <c r="AM238" s="129"/>
      <c r="AN238" s="129"/>
      <c r="AO238" s="246"/>
      <c r="AP238" s="246"/>
      <c r="AQ238" s="249"/>
      <c r="AR238" s="4"/>
      <c r="AS238" s="4"/>
      <c r="AT238" s="4"/>
      <c r="AU238" s="4"/>
      <c r="AV238" s="4"/>
      <c r="AW238" s="4"/>
      <c r="AX238" s="4"/>
      <c r="AY238" s="128"/>
      <c r="AZ238" s="4"/>
      <c r="BA238" s="4"/>
      <c r="BB238" s="4"/>
      <c r="BC238" s="4"/>
      <c r="BD238" s="4"/>
      <c r="BE238" s="4"/>
      <c r="BF238" s="4"/>
      <c r="BG238" s="4"/>
      <c r="BH238" s="4"/>
      <c r="BI238" s="567"/>
    </row>
    <row r="239" spans="1:61" ht="12.75" customHeight="1" x14ac:dyDescent="0.25">
      <c r="A239" s="4"/>
      <c r="B239" s="4"/>
      <c r="C239" s="4"/>
      <c r="D239" s="4"/>
      <c r="E239" s="128"/>
      <c r="F239" s="128"/>
      <c r="G239" s="753"/>
      <c r="H239" s="128"/>
      <c r="I239" s="128"/>
      <c r="J239" s="130"/>
      <c r="K239" s="128"/>
      <c r="L239" s="128"/>
      <c r="M239" s="130"/>
      <c r="N239" s="130"/>
      <c r="O239" s="130"/>
      <c r="P239" s="128"/>
      <c r="Q239" s="128"/>
      <c r="R239" s="128"/>
      <c r="S239" s="298"/>
      <c r="T239" s="4"/>
      <c r="U239" s="4"/>
      <c r="V239" s="4"/>
      <c r="W239" s="4"/>
      <c r="X239" s="4"/>
      <c r="Y239" s="128"/>
      <c r="Z239" s="128"/>
      <c r="AA239" s="128"/>
      <c r="AB239" s="4"/>
      <c r="AC239" s="4"/>
      <c r="AD239" s="4"/>
      <c r="AE239" s="4"/>
      <c r="AF239" s="4"/>
      <c r="AG239" s="4"/>
      <c r="AH239" s="4"/>
      <c r="AI239" s="4"/>
      <c r="AJ239" s="246"/>
      <c r="AK239" s="246"/>
      <c r="AL239" s="129"/>
      <c r="AM239" s="129"/>
      <c r="AN239" s="129"/>
      <c r="AO239" s="246"/>
      <c r="AP239" s="246"/>
      <c r="AQ239" s="249"/>
      <c r="AR239" s="4"/>
      <c r="AS239" s="4"/>
      <c r="AT239" s="4"/>
      <c r="AU239" s="4"/>
      <c r="AV239" s="4"/>
      <c r="AW239" s="4"/>
      <c r="AX239" s="4"/>
      <c r="AY239" s="128"/>
      <c r="AZ239" s="4"/>
      <c r="BA239" s="4"/>
      <c r="BB239" s="4"/>
      <c r="BC239" s="4"/>
      <c r="BD239" s="4"/>
      <c r="BE239" s="4"/>
      <c r="BF239" s="4"/>
      <c r="BG239" s="4"/>
      <c r="BH239" s="4"/>
      <c r="BI239" s="567"/>
    </row>
    <row r="240" spans="1:61" ht="12.75" customHeight="1" x14ac:dyDescent="0.25">
      <c r="A240" s="4"/>
      <c r="B240" s="4"/>
      <c r="C240" s="4"/>
      <c r="D240" s="4"/>
      <c r="E240" s="128"/>
      <c r="F240" s="128"/>
      <c r="G240" s="753"/>
      <c r="H240" s="128"/>
      <c r="I240" s="128"/>
      <c r="J240" s="130"/>
      <c r="K240" s="128"/>
      <c r="L240" s="128"/>
      <c r="M240" s="130"/>
      <c r="N240" s="130"/>
      <c r="O240" s="130"/>
      <c r="P240" s="128"/>
      <c r="Q240" s="128"/>
      <c r="R240" s="128"/>
      <c r="S240" s="298"/>
      <c r="T240" s="4"/>
      <c r="U240" s="4"/>
      <c r="V240" s="4"/>
      <c r="W240" s="4"/>
      <c r="X240" s="4"/>
      <c r="Y240" s="128"/>
      <c r="Z240" s="128"/>
      <c r="AA240" s="128"/>
      <c r="AB240" s="4"/>
      <c r="AC240" s="4"/>
      <c r="AD240" s="4"/>
      <c r="AE240" s="4"/>
      <c r="AF240" s="4"/>
      <c r="AG240" s="4"/>
      <c r="AH240" s="4"/>
      <c r="AI240" s="4"/>
      <c r="AJ240" s="246"/>
      <c r="AK240" s="246"/>
      <c r="AL240" s="129"/>
      <c r="AM240" s="129"/>
      <c r="AN240" s="129"/>
      <c r="AO240" s="246"/>
      <c r="AP240" s="246"/>
      <c r="AQ240" s="249"/>
      <c r="AR240" s="4"/>
      <c r="AS240" s="4"/>
      <c r="AT240" s="4"/>
      <c r="AU240" s="4"/>
      <c r="AV240" s="4"/>
      <c r="AW240" s="4"/>
      <c r="AX240" s="4"/>
      <c r="AY240" s="128"/>
      <c r="AZ240" s="4"/>
      <c r="BA240" s="4"/>
      <c r="BB240" s="4"/>
      <c r="BC240" s="4"/>
      <c r="BD240" s="4"/>
      <c r="BE240" s="4"/>
      <c r="BF240" s="4"/>
      <c r="BG240" s="4"/>
      <c r="BH240" s="4"/>
      <c r="BI240" s="567"/>
    </row>
    <row r="241" spans="1:61" ht="12.75" customHeight="1" x14ac:dyDescent="0.25">
      <c r="A241" s="4"/>
      <c r="B241" s="4"/>
      <c r="C241" s="4"/>
      <c r="D241" s="4"/>
      <c r="E241" s="128"/>
      <c r="F241" s="128"/>
      <c r="G241" s="753"/>
      <c r="H241" s="128"/>
      <c r="I241" s="128"/>
      <c r="J241" s="130"/>
      <c r="K241" s="128"/>
      <c r="L241" s="128"/>
      <c r="M241" s="130"/>
      <c r="N241" s="130"/>
      <c r="O241" s="130"/>
      <c r="P241" s="128"/>
      <c r="Q241" s="128"/>
      <c r="R241" s="128"/>
      <c r="S241" s="298"/>
      <c r="T241" s="4"/>
      <c r="U241" s="4"/>
      <c r="V241" s="4"/>
      <c r="W241" s="4"/>
      <c r="X241" s="4"/>
      <c r="Y241" s="128"/>
      <c r="Z241" s="128"/>
      <c r="AA241" s="128"/>
      <c r="AB241" s="4"/>
      <c r="AC241" s="4"/>
      <c r="AD241" s="4"/>
      <c r="AE241" s="4"/>
      <c r="AF241" s="4"/>
      <c r="AG241" s="4"/>
      <c r="AH241" s="4"/>
      <c r="AI241" s="4"/>
      <c r="AJ241" s="246"/>
      <c r="AK241" s="246"/>
      <c r="AL241" s="129"/>
      <c r="AM241" s="129"/>
      <c r="AN241" s="129"/>
      <c r="AO241" s="246"/>
      <c r="AP241" s="246"/>
      <c r="AQ241" s="249"/>
      <c r="AR241" s="4"/>
      <c r="AS241" s="4"/>
      <c r="AT241" s="4"/>
      <c r="AU241" s="4"/>
      <c r="AV241" s="4"/>
      <c r="AW241" s="4"/>
      <c r="AX241" s="4"/>
      <c r="AY241" s="128"/>
      <c r="AZ241" s="4"/>
      <c r="BA241" s="4"/>
      <c r="BB241" s="4"/>
      <c r="BC241" s="4"/>
      <c r="BD241" s="4"/>
      <c r="BE241" s="4"/>
      <c r="BF241" s="4"/>
      <c r="BG241" s="4"/>
      <c r="BH241" s="4"/>
      <c r="BI241" s="567"/>
    </row>
    <row r="242" spans="1:61" ht="12.75" customHeight="1" x14ac:dyDescent="0.25">
      <c r="A242" s="4"/>
      <c r="B242" s="4"/>
      <c r="C242" s="4"/>
      <c r="D242" s="4"/>
      <c r="E242" s="128"/>
      <c r="F242" s="128"/>
      <c r="G242" s="753"/>
      <c r="H242" s="128"/>
      <c r="I242" s="128"/>
      <c r="J242" s="130"/>
      <c r="K242" s="128"/>
      <c r="L242" s="128"/>
      <c r="M242" s="130"/>
      <c r="N242" s="130"/>
      <c r="O242" s="130"/>
      <c r="P242" s="128"/>
      <c r="Q242" s="128"/>
      <c r="R242" s="128"/>
      <c r="S242" s="298"/>
      <c r="T242" s="4"/>
      <c r="U242" s="4"/>
      <c r="V242" s="4"/>
      <c r="W242" s="4"/>
      <c r="X242" s="4"/>
      <c r="Y242" s="128"/>
      <c r="Z242" s="128"/>
      <c r="AA242" s="128"/>
      <c r="AB242" s="4"/>
      <c r="AC242" s="4"/>
      <c r="AD242" s="4"/>
      <c r="AE242" s="4"/>
      <c r="AF242" s="4"/>
      <c r="AG242" s="4"/>
      <c r="AH242" s="4"/>
      <c r="AI242" s="4"/>
      <c r="AJ242" s="246"/>
      <c r="AK242" s="246"/>
      <c r="AL242" s="129"/>
      <c r="AM242" s="129"/>
      <c r="AN242" s="129"/>
      <c r="AO242" s="246"/>
      <c r="AP242" s="246"/>
      <c r="AQ242" s="249"/>
      <c r="AR242" s="4"/>
      <c r="AS242" s="4"/>
      <c r="AT242" s="4"/>
      <c r="AU242" s="4"/>
      <c r="AV242" s="4"/>
      <c r="AW242" s="4"/>
      <c r="AX242" s="4"/>
      <c r="AY242" s="128"/>
      <c r="AZ242" s="4"/>
      <c r="BA242" s="4"/>
      <c r="BB242" s="4"/>
      <c r="BC242" s="4"/>
      <c r="BD242" s="4"/>
      <c r="BE242" s="4"/>
      <c r="BF242" s="4"/>
      <c r="BG242" s="4"/>
      <c r="BH242" s="4"/>
      <c r="BI242" s="567"/>
    </row>
    <row r="243" spans="1:61" ht="12.75" customHeight="1" x14ac:dyDescent="0.25">
      <c r="A243" s="4"/>
      <c r="B243" s="4"/>
      <c r="C243" s="4"/>
      <c r="D243" s="4"/>
      <c r="E243" s="128"/>
      <c r="F243" s="128"/>
      <c r="G243" s="753"/>
      <c r="H243" s="128"/>
      <c r="I243" s="128"/>
      <c r="J243" s="130"/>
      <c r="K243" s="128"/>
      <c r="L243" s="128"/>
      <c r="M243" s="130"/>
      <c r="N243" s="130"/>
      <c r="O243" s="130"/>
      <c r="P243" s="128"/>
      <c r="Q243" s="128"/>
      <c r="R243" s="128"/>
      <c r="S243" s="298"/>
      <c r="T243" s="4"/>
      <c r="U243" s="4"/>
      <c r="V243" s="4"/>
      <c r="W243" s="4"/>
      <c r="X243" s="4"/>
      <c r="Y243" s="128"/>
      <c r="Z243" s="128"/>
      <c r="AA243" s="128"/>
      <c r="AB243" s="4"/>
      <c r="AC243" s="4"/>
      <c r="AD243" s="4"/>
      <c r="AE243" s="4"/>
      <c r="AF243" s="4"/>
      <c r="AG243" s="4"/>
      <c r="AH243" s="4"/>
      <c r="AI243" s="4"/>
      <c r="AJ243" s="246"/>
      <c r="AK243" s="246"/>
      <c r="AL243" s="129"/>
      <c r="AM243" s="129"/>
      <c r="AN243" s="129"/>
      <c r="AO243" s="246"/>
      <c r="AP243" s="246"/>
      <c r="AQ243" s="249"/>
      <c r="AR243" s="4"/>
      <c r="AS243" s="4"/>
      <c r="AT243" s="4"/>
      <c r="AU243" s="4"/>
      <c r="AV243" s="4"/>
      <c r="AW243" s="4"/>
      <c r="AX243" s="4"/>
      <c r="AY243" s="128"/>
      <c r="AZ243" s="4"/>
      <c r="BA243" s="4"/>
      <c r="BB243" s="4"/>
      <c r="BC243" s="4"/>
      <c r="BD243" s="4"/>
      <c r="BE243" s="4"/>
      <c r="BF243" s="4"/>
      <c r="BG243" s="4"/>
      <c r="BH243" s="4"/>
      <c r="BI243" s="567"/>
    </row>
    <row r="244" spans="1:61" ht="12.75" customHeight="1" x14ac:dyDescent="0.25">
      <c r="A244" s="4"/>
      <c r="B244" s="4"/>
      <c r="C244" s="4"/>
      <c r="D244" s="4"/>
      <c r="E244" s="128"/>
      <c r="F244" s="128"/>
      <c r="G244" s="753"/>
      <c r="H244" s="128"/>
      <c r="I244" s="128"/>
      <c r="J244" s="130"/>
      <c r="K244" s="128"/>
      <c r="L244" s="128"/>
      <c r="M244" s="130"/>
      <c r="N244" s="130"/>
      <c r="O244" s="130"/>
      <c r="P244" s="128"/>
      <c r="Q244" s="128"/>
      <c r="R244" s="128"/>
      <c r="S244" s="298"/>
      <c r="T244" s="4"/>
      <c r="U244" s="4"/>
      <c r="V244" s="4"/>
      <c r="W244" s="4"/>
      <c r="X244" s="4"/>
      <c r="Y244" s="128"/>
      <c r="Z244" s="128"/>
      <c r="AA244" s="128"/>
      <c r="AB244" s="4"/>
      <c r="AC244" s="4"/>
      <c r="AD244" s="4"/>
      <c r="AE244" s="4"/>
      <c r="AF244" s="4"/>
      <c r="AG244" s="4"/>
      <c r="AH244" s="4"/>
      <c r="AI244" s="4"/>
      <c r="AJ244" s="246"/>
      <c r="AK244" s="246"/>
      <c r="AL244" s="129"/>
      <c r="AM244" s="129"/>
      <c r="AN244" s="129"/>
      <c r="AO244" s="246"/>
      <c r="AP244" s="246"/>
      <c r="AQ244" s="249"/>
      <c r="AR244" s="4"/>
      <c r="AS244" s="4"/>
      <c r="AT244" s="4"/>
      <c r="AU244" s="4"/>
      <c r="AV244" s="4"/>
      <c r="AW244" s="4"/>
      <c r="AX244" s="4"/>
      <c r="AY244" s="128"/>
      <c r="AZ244" s="4"/>
      <c r="BA244" s="4"/>
      <c r="BB244" s="4"/>
      <c r="BC244" s="4"/>
      <c r="BD244" s="4"/>
      <c r="BE244" s="4"/>
      <c r="BF244" s="4"/>
      <c r="BG244" s="4"/>
      <c r="BH244" s="4"/>
      <c r="BI244" s="567"/>
    </row>
    <row r="245" spans="1:61" ht="12.75" customHeight="1" x14ac:dyDescent="0.25">
      <c r="A245" s="4"/>
      <c r="B245" s="4"/>
      <c r="C245" s="4"/>
      <c r="D245" s="4"/>
      <c r="E245" s="128"/>
      <c r="F245" s="128"/>
      <c r="G245" s="753"/>
      <c r="H245" s="128"/>
      <c r="I245" s="128"/>
      <c r="J245" s="130"/>
      <c r="K245" s="128"/>
      <c r="L245" s="128"/>
      <c r="M245" s="130"/>
      <c r="N245" s="130"/>
      <c r="O245" s="130"/>
      <c r="P245" s="128"/>
      <c r="Q245" s="128"/>
      <c r="R245" s="128"/>
      <c r="S245" s="298"/>
      <c r="T245" s="4"/>
      <c r="U245" s="4"/>
      <c r="V245" s="4"/>
      <c r="W245" s="4"/>
      <c r="X245" s="4"/>
      <c r="Y245" s="128"/>
      <c r="Z245" s="128"/>
      <c r="AA245" s="128"/>
      <c r="AB245" s="4"/>
      <c r="AC245" s="4"/>
      <c r="AD245" s="4"/>
      <c r="AE245" s="4"/>
      <c r="AF245" s="4"/>
      <c r="AG245" s="4"/>
      <c r="AH245" s="4"/>
      <c r="AI245" s="4"/>
      <c r="AJ245" s="246"/>
      <c r="AK245" s="246"/>
      <c r="AL245" s="129"/>
      <c r="AM245" s="129"/>
      <c r="AN245" s="129"/>
      <c r="AO245" s="246"/>
      <c r="AP245" s="246"/>
      <c r="AQ245" s="249"/>
      <c r="AR245" s="4"/>
      <c r="AS245" s="4"/>
      <c r="AT245" s="4"/>
      <c r="AU245" s="4"/>
      <c r="AV245" s="4"/>
      <c r="AW245" s="4"/>
      <c r="AX245" s="4"/>
      <c r="AY245" s="128"/>
      <c r="AZ245" s="4"/>
      <c r="BA245" s="4"/>
      <c r="BB245" s="4"/>
      <c r="BC245" s="4"/>
      <c r="BD245" s="4"/>
      <c r="BE245" s="4"/>
      <c r="BF245" s="4"/>
      <c r="BG245" s="4"/>
      <c r="BH245" s="4"/>
      <c r="BI245" s="567"/>
    </row>
    <row r="246" spans="1:61" ht="12.75" customHeight="1" x14ac:dyDescent="0.25">
      <c r="A246" s="4"/>
      <c r="B246" s="4"/>
      <c r="C246" s="4"/>
      <c r="D246" s="4"/>
      <c r="E246" s="128"/>
      <c r="F246" s="128"/>
      <c r="G246" s="753"/>
      <c r="H246" s="128"/>
      <c r="I246" s="128"/>
      <c r="J246" s="130"/>
      <c r="K246" s="128"/>
      <c r="L246" s="128"/>
      <c r="M246" s="130"/>
      <c r="N246" s="130"/>
      <c r="O246" s="130"/>
      <c r="P246" s="128"/>
      <c r="Q246" s="128"/>
      <c r="R246" s="128"/>
      <c r="S246" s="298"/>
      <c r="T246" s="4"/>
      <c r="U246" s="4"/>
      <c r="V246" s="4"/>
      <c r="W246" s="4"/>
      <c r="X246" s="4"/>
      <c r="Y246" s="128"/>
      <c r="Z246" s="128"/>
      <c r="AA246" s="128"/>
      <c r="AB246" s="4"/>
      <c r="AC246" s="4"/>
      <c r="AD246" s="4"/>
      <c r="AE246" s="4"/>
      <c r="AF246" s="4"/>
      <c r="AG246" s="4"/>
      <c r="AH246" s="4"/>
      <c r="AI246" s="4"/>
      <c r="AJ246" s="246"/>
      <c r="AK246" s="246"/>
      <c r="AL246" s="129"/>
      <c r="AM246" s="129"/>
      <c r="AN246" s="129"/>
      <c r="AO246" s="246"/>
      <c r="AP246" s="246"/>
      <c r="AQ246" s="249"/>
      <c r="AR246" s="4"/>
      <c r="AS246" s="4"/>
      <c r="AT246" s="4"/>
      <c r="AU246" s="4"/>
      <c r="AV246" s="4"/>
      <c r="AW246" s="4"/>
      <c r="AX246" s="4"/>
      <c r="AY246" s="128"/>
      <c r="AZ246" s="4"/>
      <c r="BA246" s="4"/>
      <c r="BB246" s="4"/>
      <c r="BC246" s="4"/>
      <c r="BD246" s="4"/>
      <c r="BE246" s="4"/>
      <c r="BF246" s="4"/>
      <c r="BG246" s="4"/>
      <c r="BH246" s="4"/>
      <c r="BI246" s="567"/>
    </row>
    <row r="247" spans="1:61" ht="12.75" customHeight="1" x14ac:dyDescent="0.25">
      <c r="A247" s="4"/>
      <c r="B247" s="4"/>
      <c r="C247" s="4"/>
      <c r="D247" s="4"/>
      <c r="E247" s="128"/>
      <c r="F247" s="128"/>
      <c r="G247" s="753"/>
      <c r="H247" s="128"/>
      <c r="I247" s="128"/>
      <c r="J247" s="130"/>
      <c r="K247" s="128"/>
      <c r="L247" s="128"/>
      <c r="M247" s="130"/>
      <c r="N247" s="130"/>
      <c r="O247" s="130"/>
      <c r="P247" s="128"/>
      <c r="Q247" s="128"/>
      <c r="R247" s="128"/>
      <c r="S247" s="298"/>
      <c r="T247" s="4"/>
      <c r="U247" s="4"/>
      <c r="V247" s="4"/>
      <c r="W247" s="4"/>
      <c r="X247" s="4"/>
      <c r="Y247" s="128"/>
      <c r="Z247" s="128"/>
      <c r="AA247" s="128"/>
      <c r="AB247" s="4"/>
      <c r="AC247" s="4"/>
      <c r="AD247" s="4"/>
      <c r="AE247" s="4"/>
      <c r="AF247" s="4"/>
      <c r="AG247" s="4"/>
      <c r="AH247" s="4"/>
      <c r="AI247" s="4"/>
      <c r="AJ247" s="246"/>
      <c r="AK247" s="246"/>
      <c r="AL247" s="129"/>
      <c r="AM247" s="129"/>
      <c r="AN247" s="129"/>
      <c r="AO247" s="246"/>
      <c r="AP247" s="246"/>
      <c r="AQ247" s="249"/>
      <c r="AR247" s="4"/>
      <c r="AS247" s="4"/>
      <c r="AT247" s="4"/>
      <c r="AU247" s="4"/>
      <c r="AV247" s="4"/>
      <c r="AW247" s="4"/>
      <c r="AX247" s="4"/>
      <c r="AY247" s="128"/>
      <c r="AZ247" s="4"/>
      <c r="BA247" s="4"/>
      <c r="BB247" s="4"/>
      <c r="BC247" s="4"/>
      <c r="BD247" s="4"/>
      <c r="BE247" s="4"/>
      <c r="BF247" s="4"/>
      <c r="BG247" s="4"/>
      <c r="BH247" s="4"/>
      <c r="BI247" s="567"/>
    </row>
    <row r="248" spans="1:61" ht="12.75" customHeight="1" x14ac:dyDescent="0.25">
      <c r="A248" s="4"/>
      <c r="B248" s="4"/>
      <c r="C248" s="4"/>
      <c r="D248" s="4"/>
      <c r="E248" s="128"/>
      <c r="F248" s="128"/>
      <c r="G248" s="753"/>
      <c r="H248" s="128"/>
      <c r="I248" s="128"/>
      <c r="J248" s="130"/>
      <c r="K248" s="128"/>
      <c r="L248" s="128"/>
      <c r="M248" s="130"/>
      <c r="N248" s="130"/>
      <c r="O248" s="130"/>
      <c r="P248" s="128"/>
      <c r="Q248" s="128"/>
      <c r="R248" s="128"/>
      <c r="S248" s="298"/>
      <c r="T248" s="4"/>
      <c r="U248" s="4"/>
      <c r="V248" s="4"/>
      <c r="W248" s="4"/>
      <c r="X248" s="4"/>
      <c r="Y248" s="128"/>
      <c r="Z248" s="128"/>
      <c r="AA248" s="128"/>
      <c r="AB248" s="4"/>
      <c r="AC248" s="4"/>
      <c r="AD248" s="4"/>
      <c r="AE248" s="4"/>
      <c r="AF248" s="4"/>
      <c r="AG248" s="4"/>
      <c r="AH248" s="4"/>
      <c r="AI248" s="4"/>
      <c r="AJ248" s="246"/>
      <c r="AK248" s="246"/>
      <c r="AL248" s="129"/>
      <c r="AM248" s="129"/>
      <c r="AN248" s="129"/>
      <c r="AO248" s="246"/>
      <c r="AP248" s="246"/>
      <c r="AQ248" s="249"/>
      <c r="AR248" s="4"/>
      <c r="AS248" s="4"/>
      <c r="AT248" s="4"/>
      <c r="AU248" s="4"/>
      <c r="AV248" s="4"/>
      <c r="AW248" s="4"/>
      <c r="AX248" s="4"/>
      <c r="AY248" s="128"/>
      <c r="AZ248" s="4"/>
      <c r="BA248" s="4"/>
      <c r="BB248" s="4"/>
      <c r="BC248" s="4"/>
      <c r="BD248" s="4"/>
      <c r="BE248" s="4"/>
      <c r="BF248" s="4"/>
      <c r="BG248" s="4"/>
      <c r="BH248" s="4"/>
      <c r="BI248" s="567"/>
    </row>
    <row r="249" spans="1:61" ht="12.75" customHeight="1" x14ac:dyDescent="0.25">
      <c r="A249" s="4"/>
      <c r="B249" s="4"/>
      <c r="C249" s="4"/>
      <c r="D249" s="4"/>
      <c r="E249" s="128"/>
      <c r="F249" s="128"/>
      <c r="G249" s="753"/>
      <c r="H249" s="128"/>
      <c r="I249" s="128"/>
      <c r="J249" s="130"/>
      <c r="K249" s="128"/>
      <c r="L249" s="128"/>
      <c r="M249" s="130"/>
      <c r="N249" s="130"/>
      <c r="O249" s="130"/>
      <c r="P249" s="128"/>
      <c r="Q249" s="128"/>
      <c r="R249" s="128"/>
      <c r="S249" s="298"/>
      <c r="T249" s="4"/>
      <c r="U249" s="4"/>
      <c r="V249" s="4"/>
      <c r="W249" s="4"/>
      <c r="X249" s="4"/>
      <c r="Y249" s="128"/>
      <c r="Z249" s="128"/>
      <c r="AA249" s="128"/>
      <c r="AB249" s="4"/>
      <c r="AC249" s="4"/>
      <c r="AD249" s="4"/>
      <c r="AE249" s="4"/>
      <c r="AF249" s="4"/>
      <c r="AG249" s="4"/>
      <c r="AH249" s="4"/>
      <c r="AI249" s="4"/>
      <c r="AJ249" s="246"/>
      <c r="AK249" s="246"/>
      <c r="AL249" s="129"/>
      <c r="AM249" s="129"/>
      <c r="AN249" s="129"/>
      <c r="AO249" s="246"/>
      <c r="AP249" s="246"/>
      <c r="AQ249" s="249"/>
      <c r="AR249" s="4"/>
      <c r="AS249" s="4"/>
      <c r="AT249" s="4"/>
      <c r="AU249" s="4"/>
      <c r="AV249" s="4"/>
      <c r="AW249" s="4"/>
      <c r="AX249" s="4"/>
      <c r="AY249" s="128"/>
      <c r="AZ249" s="4"/>
      <c r="BA249" s="4"/>
      <c r="BB249" s="4"/>
      <c r="BC249" s="4"/>
      <c r="BD249" s="4"/>
      <c r="BE249" s="4"/>
      <c r="BF249" s="4"/>
      <c r="BG249" s="4"/>
      <c r="BH249" s="4"/>
      <c r="BI249" s="567"/>
    </row>
    <row r="250" spans="1:61" ht="12.75" customHeight="1" x14ac:dyDescent="0.25">
      <c r="A250" s="4"/>
      <c r="B250" s="4"/>
      <c r="C250" s="4"/>
      <c r="D250" s="4"/>
      <c r="E250" s="128"/>
      <c r="F250" s="128"/>
      <c r="G250" s="753"/>
      <c r="H250" s="128"/>
      <c r="I250" s="128"/>
      <c r="J250" s="130"/>
      <c r="K250" s="128"/>
      <c r="L250" s="128"/>
      <c r="M250" s="130"/>
      <c r="N250" s="130"/>
      <c r="O250" s="130"/>
      <c r="P250" s="128"/>
      <c r="Q250" s="128"/>
      <c r="R250" s="128"/>
      <c r="S250" s="298"/>
      <c r="T250" s="4"/>
      <c r="U250" s="4"/>
      <c r="V250" s="4"/>
      <c r="W250" s="4"/>
      <c r="X250" s="4"/>
      <c r="Y250" s="128"/>
      <c r="Z250" s="128"/>
      <c r="AA250" s="128"/>
      <c r="AB250" s="4"/>
      <c r="AC250" s="4"/>
      <c r="AD250" s="4"/>
      <c r="AE250" s="4"/>
      <c r="AF250" s="4"/>
      <c r="AG250" s="4"/>
      <c r="AH250" s="4"/>
      <c r="AI250" s="4"/>
      <c r="AJ250" s="246"/>
      <c r="AK250" s="246"/>
      <c r="AL250" s="129"/>
      <c r="AM250" s="129"/>
      <c r="AN250" s="129"/>
      <c r="AO250" s="246"/>
      <c r="AP250" s="246"/>
      <c r="AQ250" s="249"/>
      <c r="AR250" s="4"/>
      <c r="AS250" s="4"/>
      <c r="AT250" s="4"/>
      <c r="AU250" s="4"/>
      <c r="AV250" s="4"/>
      <c r="AW250" s="4"/>
      <c r="AX250" s="4"/>
      <c r="AY250" s="128"/>
      <c r="AZ250" s="4"/>
      <c r="BA250" s="4"/>
      <c r="BB250" s="4"/>
      <c r="BC250" s="4"/>
      <c r="BD250" s="4"/>
      <c r="BE250" s="4"/>
      <c r="BF250" s="4"/>
      <c r="BG250" s="4"/>
      <c r="BH250" s="4"/>
      <c r="BI250" s="567"/>
    </row>
    <row r="251" spans="1:61" ht="12.75" customHeight="1" x14ac:dyDescent="0.25">
      <c r="A251" s="4"/>
      <c r="B251" s="4"/>
      <c r="C251" s="4"/>
      <c r="D251" s="4"/>
      <c r="E251" s="128"/>
      <c r="F251" s="128"/>
      <c r="G251" s="753"/>
      <c r="H251" s="128"/>
      <c r="I251" s="128"/>
      <c r="J251" s="130"/>
      <c r="K251" s="128"/>
      <c r="L251" s="128"/>
      <c r="M251" s="130"/>
      <c r="N251" s="130"/>
      <c r="O251" s="130"/>
      <c r="P251" s="128"/>
      <c r="Q251" s="128"/>
      <c r="R251" s="128"/>
      <c r="S251" s="298"/>
      <c r="T251" s="4"/>
      <c r="U251" s="4"/>
      <c r="V251" s="4"/>
      <c r="W251" s="4"/>
      <c r="X251" s="4"/>
      <c r="Y251" s="128"/>
      <c r="Z251" s="128"/>
      <c r="AA251" s="128"/>
      <c r="AB251" s="4"/>
      <c r="AC251" s="4"/>
      <c r="AD251" s="4"/>
      <c r="AE251" s="4"/>
      <c r="AF251" s="4"/>
      <c r="AG251" s="4"/>
      <c r="AH251" s="4"/>
      <c r="AI251" s="4"/>
      <c r="AJ251" s="246"/>
      <c r="AK251" s="246"/>
      <c r="AL251" s="129"/>
      <c r="AM251" s="129"/>
      <c r="AN251" s="129"/>
      <c r="AO251" s="246"/>
      <c r="AP251" s="246"/>
      <c r="AQ251" s="249"/>
      <c r="AR251" s="4"/>
      <c r="AS251" s="4"/>
      <c r="AT251" s="4"/>
      <c r="AU251" s="4"/>
      <c r="AV251" s="4"/>
      <c r="AW251" s="4"/>
      <c r="AX251" s="4"/>
      <c r="AY251" s="128"/>
      <c r="AZ251" s="4"/>
      <c r="BA251" s="4"/>
      <c r="BB251" s="4"/>
      <c r="BC251" s="4"/>
      <c r="BD251" s="4"/>
      <c r="BE251" s="4"/>
      <c r="BF251" s="4"/>
      <c r="BG251" s="4"/>
      <c r="BH251" s="4"/>
      <c r="BI251" s="567"/>
    </row>
    <row r="252" spans="1:61" ht="12.75" customHeight="1" x14ac:dyDescent="0.25">
      <c r="A252" s="4"/>
      <c r="B252" s="4"/>
      <c r="C252" s="4"/>
      <c r="D252" s="4"/>
      <c r="E252" s="128"/>
      <c r="F252" s="128"/>
      <c r="G252" s="753"/>
      <c r="H252" s="128"/>
      <c r="I252" s="128"/>
      <c r="J252" s="130"/>
      <c r="K252" s="128"/>
      <c r="L252" s="128"/>
      <c r="M252" s="130"/>
      <c r="N252" s="130"/>
      <c r="O252" s="130"/>
      <c r="P252" s="128"/>
      <c r="Q252" s="128"/>
      <c r="R252" s="128"/>
      <c r="S252" s="298"/>
      <c r="T252" s="4"/>
      <c r="U252" s="4"/>
      <c r="V252" s="4"/>
      <c r="W252" s="4"/>
      <c r="X252" s="4"/>
      <c r="Y252" s="128"/>
      <c r="Z252" s="128"/>
      <c r="AA252" s="128"/>
      <c r="AB252" s="4"/>
      <c r="AC252" s="4"/>
      <c r="AD252" s="4"/>
      <c r="AE252" s="4"/>
      <c r="AF252" s="4"/>
      <c r="AG252" s="4"/>
      <c r="AH252" s="4"/>
      <c r="AI252" s="4"/>
      <c r="AJ252" s="246"/>
      <c r="AK252" s="246"/>
      <c r="AL252" s="129"/>
      <c r="AM252" s="129"/>
      <c r="AN252" s="129"/>
      <c r="AO252" s="246"/>
      <c r="AP252" s="246"/>
      <c r="AQ252" s="249"/>
      <c r="AR252" s="4"/>
      <c r="AS252" s="4"/>
      <c r="AT252" s="4"/>
      <c r="AU252" s="4"/>
      <c r="AV252" s="4"/>
      <c r="AW252" s="4"/>
      <c r="AX252" s="4"/>
      <c r="AY252" s="128"/>
      <c r="AZ252" s="4"/>
      <c r="BA252" s="4"/>
      <c r="BB252" s="4"/>
      <c r="BC252" s="4"/>
      <c r="BD252" s="4"/>
      <c r="BE252" s="4"/>
      <c r="BF252" s="4"/>
      <c r="BG252" s="4"/>
      <c r="BH252" s="4"/>
      <c r="BI252" s="567"/>
    </row>
    <row r="253" spans="1:61" ht="12.75" customHeight="1" x14ac:dyDescent="0.25">
      <c r="A253" s="4"/>
      <c r="B253" s="4"/>
      <c r="C253" s="4"/>
      <c r="D253" s="4"/>
      <c r="E253" s="128"/>
      <c r="F253" s="128"/>
      <c r="G253" s="753"/>
      <c r="H253" s="128"/>
      <c r="I253" s="128"/>
      <c r="J253" s="130"/>
      <c r="K253" s="128"/>
      <c r="L253" s="128"/>
      <c r="M253" s="130"/>
      <c r="N253" s="130"/>
      <c r="O253" s="130"/>
      <c r="P253" s="128"/>
      <c r="Q253" s="128"/>
      <c r="R253" s="128"/>
      <c r="S253" s="298"/>
      <c r="T253" s="4"/>
      <c r="U253" s="4"/>
      <c r="V253" s="4"/>
      <c r="W253" s="4"/>
      <c r="X253" s="4"/>
      <c r="Y253" s="128"/>
      <c r="Z253" s="128"/>
      <c r="AA253" s="128"/>
      <c r="AB253" s="4"/>
      <c r="AC253" s="4"/>
      <c r="AD253" s="4"/>
      <c r="AE253" s="4"/>
      <c r="AF253" s="4"/>
      <c r="AG253" s="4"/>
      <c r="AH253" s="4"/>
      <c r="AI253" s="4"/>
      <c r="AJ253" s="246"/>
      <c r="AK253" s="246"/>
      <c r="AL253" s="129"/>
      <c r="AM253" s="129"/>
      <c r="AN253" s="129"/>
      <c r="AO253" s="246"/>
      <c r="AP253" s="246"/>
      <c r="AQ253" s="249"/>
      <c r="AR253" s="4"/>
      <c r="AS253" s="4"/>
      <c r="AT253" s="4"/>
      <c r="AU253" s="4"/>
      <c r="AV253" s="4"/>
      <c r="AW253" s="4"/>
      <c r="AX253" s="4"/>
      <c r="AY253" s="128"/>
      <c r="AZ253" s="4"/>
      <c r="BA253" s="4"/>
      <c r="BB253" s="4"/>
      <c r="BC253" s="4"/>
      <c r="BD253" s="4"/>
      <c r="BE253" s="4"/>
      <c r="BF253" s="4"/>
      <c r="BG253" s="4"/>
      <c r="BH253" s="4"/>
      <c r="BI253" s="567"/>
    </row>
    <row r="254" spans="1:61" ht="12.75" customHeight="1" x14ac:dyDescent="0.25">
      <c r="A254" s="4"/>
      <c r="B254" s="4"/>
      <c r="C254" s="4"/>
      <c r="D254" s="4"/>
      <c r="E254" s="128"/>
      <c r="F254" s="128"/>
      <c r="G254" s="753"/>
      <c r="H254" s="128"/>
      <c r="I254" s="128"/>
      <c r="J254" s="130"/>
      <c r="K254" s="128"/>
      <c r="L254" s="128"/>
      <c r="M254" s="130"/>
      <c r="N254" s="130"/>
      <c r="O254" s="130"/>
      <c r="P254" s="128"/>
      <c r="Q254" s="128"/>
      <c r="R254" s="128"/>
      <c r="S254" s="298"/>
      <c r="T254" s="4"/>
      <c r="U254" s="4"/>
      <c r="V254" s="4"/>
      <c r="W254" s="4"/>
      <c r="X254" s="4"/>
      <c r="Y254" s="128"/>
      <c r="Z254" s="128"/>
      <c r="AA254" s="128"/>
      <c r="AB254" s="4"/>
      <c r="AC254" s="4"/>
      <c r="AD254" s="4"/>
      <c r="AE254" s="4"/>
      <c r="AF254" s="4"/>
      <c r="AG254" s="4"/>
      <c r="AH254" s="4"/>
      <c r="AI254" s="4"/>
      <c r="AJ254" s="246"/>
      <c r="AK254" s="246"/>
      <c r="AL254" s="129"/>
      <c r="AM254" s="129"/>
      <c r="AN254" s="129"/>
      <c r="AO254" s="246"/>
      <c r="AP254" s="246"/>
      <c r="AQ254" s="249"/>
      <c r="AR254" s="4"/>
      <c r="AS254" s="4"/>
      <c r="AT254" s="4"/>
      <c r="AU254" s="4"/>
      <c r="AV254" s="4"/>
      <c r="AW254" s="4"/>
      <c r="AX254" s="4"/>
      <c r="AY254" s="128"/>
      <c r="AZ254" s="4"/>
      <c r="BA254" s="4"/>
      <c r="BB254" s="4"/>
      <c r="BC254" s="4"/>
      <c r="BD254" s="4"/>
      <c r="BE254" s="4"/>
      <c r="BF254" s="4"/>
      <c r="BG254" s="4"/>
      <c r="BH254" s="4"/>
      <c r="BI254" s="567"/>
    </row>
    <row r="255" spans="1:61" ht="12.75" customHeight="1" x14ac:dyDescent="0.25">
      <c r="A255" s="4"/>
      <c r="B255" s="4"/>
      <c r="C255" s="4"/>
      <c r="D255" s="4"/>
      <c r="E255" s="128"/>
      <c r="F255" s="128"/>
      <c r="G255" s="753"/>
      <c r="H255" s="128"/>
      <c r="I255" s="128"/>
      <c r="J255" s="130"/>
      <c r="K255" s="128"/>
      <c r="L255" s="128"/>
      <c r="M255" s="130"/>
      <c r="N255" s="130"/>
      <c r="O255" s="130"/>
      <c r="P255" s="128"/>
      <c r="Q255" s="128"/>
      <c r="R255" s="128"/>
      <c r="S255" s="298"/>
      <c r="T255" s="4"/>
      <c r="U255" s="4"/>
      <c r="V255" s="4"/>
      <c r="W255" s="4"/>
      <c r="X255" s="4"/>
      <c r="Y255" s="128"/>
      <c r="Z255" s="128"/>
      <c r="AA255" s="128"/>
      <c r="AB255" s="4"/>
      <c r="AC255" s="4"/>
      <c r="AD255" s="4"/>
      <c r="AE255" s="4"/>
      <c r="AF255" s="4"/>
      <c r="AG255" s="4"/>
      <c r="AH255" s="4"/>
      <c r="AI255" s="4"/>
      <c r="AJ255" s="246"/>
      <c r="AK255" s="246"/>
      <c r="AL255" s="129"/>
      <c r="AM255" s="129"/>
      <c r="AN255" s="129"/>
      <c r="AO255" s="246"/>
      <c r="AP255" s="246"/>
      <c r="AQ255" s="249"/>
      <c r="AR255" s="4"/>
      <c r="AS255" s="4"/>
      <c r="AT255" s="4"/>
      <c r="AU255" s="4"/>
      <c r="AV255" s="4"/>
      <c r="AW255" s="4"/>
      <c r="AX255" s="4"/>
      <c r="AY255" s="128"/>
      <c r="AZ255" s="4"/>
      <c r="BA255" s="4"/>
      <c r="BB255" s="4"/>
      <c r="BC255" s="4"/>
      <c r="BD255" s="4"/>
      <c r="BE255" s="4"/>
      <c r="BF255" s="4"/>
      <c r="BG255" s="4"/>
      <c r="BH255" s="4"/>
      <c r="BI255" s="567"/>
    </row>
    <row r="256" spans="1:61" ht="12.75" customHeight="1" x14ac:dyDescent="0.25">
      <c r="A256" s="4"/>
      <c r="B256" s="4"/>
      <c r="C256" s="4"/>
      <c r="D256" s="4"/>
      <c r="E256" s="128"/>
      <c r="F256" s="128"/>
      <c r="G256" s="753"/>
      <c r="H256" s="128"/>
      <c r="I256" s="128"/>
      <c r="J256" s="130"/>
      <c r="K256" s="128"/>
      <c r="L256" s="128"/>
      <c r="M256" s="130"/>
      <c r="N256" s="130"/>
      <c r="O256" s="130"/>
      <c r="P256" s="128"/>
      <c r="Q256" s="128"/>
      <c r="R256" s="128"/>
      <c r="S256" s="298"/>
      <c r="T256" s="4"/>
      <c r="U256" s="4"/>
      <c r="V256" s="4"/>
      <c r="W256" s="4"/>
      <c r="X256" s="4"/>
      <c r="Y256" s="128"/>
      <c r="Z256" s="128"/>
      <c r="AA256" s="128"/>
      <c r="AB256" s="4"/>
      <c r="AC256" s="4"/>
      <c r="AD256" s="4"/>
      <c r="AE256" s="4"/>
      <c r="AF256" s="4"/>
      <c r="AG256" s="4"/>
      <c r="AH256" s="4"/>
      <c r="AI256" s="4"/>
      <c r="AJ256" s="246"/>
      <c r="AK256" s="246"/>
      <c r="AL256" s="129"/>
      <c r="AM256" s="129"/>
      <c r="AN256" s="129"/>
      <c r="AO256" s="246"/>
      <c r="AP256" s="246"/>
      <c r="AQ256" s="249"/>
      <c r="AR256" s="4"/>
      <c r="AS256" s="4"/>
      <c r="AT256" s="4"/>
      <c r="AU256" s="4"/>
      <c r="AV256" s="4"/>
      <c r="AW256" s="4"/>
      <c r="AX256" s="4"/>
      <c r="AY256" s="128"/>
      <c r="AZ256" s="4"/>
      <c r="BA256" s="4"/>
      <c r="BB256" s="4"/>
      <c r="BC256" s="4"/>
      <c r="BD256" s="4"/>
      <c r="BE256" s="4"/>
      <c r="BF256" s="4"/>
      <c r="BG256" s="4"/>
      <c r="BH256" s="4"/>
      <c r="BI256" s="567"/>
    </row>
    <row r="257" spans="1:61" ht="12.75" customHeight="1" x14ac:dyDescent="0.25">
      <c r="A257" s="4"/>
      <c r="B257" s="4"/>
      <c r="C257" s="4"/>
      <c r="D257" s="4"/>
      <c r="E257" s="128"/>
      <c r="F257" s="128"/>
      <c r="G257" s="753"/>
      <c r="H257" s="128"/>
      <c r="I257" s="128"/>
      <c r="J257" s="130"/>
      <c r="K257" s="128"/>
      <c r="L257" s="128"/>
      <c r="M257" s="130"/>
      <c r="N257" s="130"/>
      <c r="O257" s="130"/>
      <c r="P257" s="128"/>
      <c r="Q257" s="128"/>
      <c r="R257" s="128"/>
      <c r="S257" s="298"/>
      <c r="T257" s="4"/>
      <c r="U257" s="4"/>
      <c r="V257" s="4"/>
      <c r="W257" s="4"/>
      <c r="X257" s="4"/>
      <c r="Y257" s="128"/>
      <c r="Z257" s="128"/>
      <c r="AA257" s="128"/>
      <c r="AB257" s="4"/>
      <c r="AC257" s="4"/>
      <c r="AD257" s="4"/>
      <c r="AE257" s="4"/>
      <c r="AF257" s="4"/>
      <c r="AG257" s="4"/>
      <c r="AH257" s="4"/>
      <c r="AI257" s="4"/>
      <c r="AJ257" s="246"/>
      <c r="AK257" s="246"/>
      <c r="AL257" s="129"/>
      <c r="AM257" s="129"/>
      <c r="AN257" s="129"/>
      <c r="AO257" s="246"/>
      <c r="AP257" s="246"/>
      <c r="AQ257" s="249"/>
      <c r="AR257" s="4"/>
      <c r="AS257" s="4"/>
      <c r="AT257" s="4"/>
      <c r="AU257" s="4"/>
      <c r="AV257" s="4"/>
      <c r="AW257" s="4"/>
      <c r="AX257" s="4"/>
      <c r="AY257" s="128"/>
      <c r="AZ257" s="4"/>
      <c r="BA257" s="4"/>
      <c r="BB257" s="4"/>
      <c r="BC257" s="4"/>
      <c r="BD257" s="4"/>
      <c r="BE257" s="4"/>
      <c r="BF257" s="4"/>
      <c r="BG257" s="4"/>
      <c r="BH257" s="4"/>
      <c r="BI257" s="567"/>
    </row>
    <row r="258" spans="1:61" ht="12.75" customHeight="1" x14ac:dyDescent="0.25">
      <c r="A258" s="4"/>
      <c r="B258" s="4"/>
      <c r="C258" s="4"/>
      <c r="D258" s="4"/>
      <c r="E258" s="128"/>
      <c r="F258" s="128"/>
      <c r="G258" s="753"/>
      <c r="H258" s="128"/>
      <c r="I258" s="128"/>
      <c r="J258" s="130"/>
      <c r="K258" s="128"/>
      <c r="L258" s="128"/>
      <c r="M258" s="130"/>
      <c r="N258" s="130"/>
      <c r="O258" s="130"/>
      <c r="P258" s="128"/>
      <c r="Q258" s="128"/>
      <c r="R258" s="128"/>
      <c r="S258" s="298"/>
      <c r="T258" s="4"/>
      <c r="U258" s="4"/>
      <c r="V258" s="4"/>
      <c r="W258" s="4"/>
      <c r="X258" s="4"/>
      <c r="Y258" s="128"/>
      <c r="Z258" s="128"/>
      <c r="AA258" s="128"/>
      <c r="AB258" s="4"/>
      <c r="AC258" s="4"/>
      <c r="AD258" s="4"/>
      <c r="AE258" s="4"/>
      <c r="AF258" s="4"/>
      <c r="AG258" s="4"/>
      <c r="AH258" s="4"/>
      <c r="AI258" s="4"/>
      <c r="AJ258" s="246"/>
      <c r="AK258" s="246"/>
      <c r="AL258" s="129"/>
      <c r="AM258" s="129"/>
      <c r="AN258" s="129"/>
      <c r="AO258" s="246"/>
      <c r="AP258" s="246"/>
      <c r="AQ258" s="249"/>
      <c r="AR258" s="4"/>
      <c r="AS258" s="4"/>
      <c r="AT258" s="4"/>
      <c r="AU258" s="4"/>
      <c r="AV258" s="4"/>
      <c r="AW258" s="4"/>
      <c r="AX258" s="4"/>
      <c r="AY258" s="128"/>
      <c r="AZ258" s="4"/>
      <c r="BA258" s="4"/>
      <c r="BB258" s="4"/>
      <c r="BC258" s="4"/>
      <c r="BD258" s="4"/>
      <c r="BE258" s="4"/>
      <c r="BF258" s="4"/>
      <c r="BG258" s="4"/>
      <c r="BH258" s="4"/>
      <c r="BI258" s="567"/>
    </row>
    <row r="259" spans="1:61" ht="12.75" customHeight="1" x14ac:dyDescent="0.25">
      <c r="A259" s="4"/>
      <c r="B259" s="4"/>
      <c r="C259" s="4"/>
      <c r="D259" s="4"/>
      <c r="E259" s="128"/>
      <c r="F259" s="128"/>
      <c r="G259" s="753"/>
      <c r="H259" s="128"/>
      <c r="I259" s="128"/>
      <c r="J259" s="130"/>
      <c r="K259" s="128"/>
      <c r="L259" s="128"/>
      <c r="M259" s="130"/>
      <c r="N259" s="130"/>
      <c r="O259" s="130"/>
      <c r="P259" s="128"/>
      <c r="Q259" s="128"/>
      <c r="R259" s="128"/>
      <c r="S259" s="298"/>
      <c r="T259" s="4"/>
      <c r="U259" s="4"/>
      <c r="V259" s="4"/>
      <c r="W259" s="4"/>
      <c r="X259" s="4"/>
      <c r="Y259" s="128"/>
      <c r="Z259" s="128"/>
      <c r="AA259" s="128"/>
      <c r="AB259" s="4"/>
      <c r="AC259" s="4"/>
      <c r="AD259" s="4"/>
      <c r="AE259" s="4"/>
      <c r="AF259" s="4"/>
      <c r="AG259" s="4"/>
      <c r="AH259" s="4"/>
      <c r="AI259" s="4"/>
      <c r="AJ259" s="246"/>
      <c r="AK259" s="246"/>
      <c r="AL259" s="129"/>
      <c r="AM259" s="129"/>
      <c r="AN259" s="129"/>
      <c r="AO259" s="246"/>
      <c r="AP259" s="246"/>
      <c r="AQ259" s="249"/>
      <c r="AR259" s="4"/>
      <c r="AS259" s="4"/>
      <c r="AT259" s="4"/>
      <c r="AU259" s="4"/>
      <c r="AV259" s="4"/>
      <c r="AW259" s="4"/>
      <c r="AX259" s="4"/>
      <c r="AY259" s="128"/>
      <c r="AZ259" s="4"/>
      <c r="BA259" s="4"/>
      <c r="BB259" s="4"/>
      <c r="BC259" s="4"/>
      <c r="BD259" s="4"/>
      <c r="BE259" s="4"/>
      <c r="BF259" s="4"/>
      <c r="BG259" s="4"/>
      <c r="BH259" s="4"/>
      <c r="BI259" s="567"/>
    </row>
    <row r="260" spans="1:61" ht="12.75" customHeight="1" x14ac:dyDescent="0.25">
      <c r="A260" s="4"/>
      <c r="B260" s="4"/>
      <c r="C260" s="4"/>
      <c r="D260" s="4"/>
      <c r="E260" s="128"/>
      <c r="F260" s="128"/>
      <c r="G260" s="753"/>
      <c r="H260" s="128"/>
      <c r="I260" s="128"/>
      <c r="J260" s="130"/>
      <c r="K260" s="128"/>
      <c r="L260" s="128"/>
      <c r="M260" s="130"/>
      <c r="N260" s="130"/>
      <c r="O260" s="130"/>
      <c r="P260" s="128"/>
      <c r="Q260" s="128"/>
      <c r="R260" s="128"/>
      <c r="S260" s="298"/>
      <c r="T260" s="4"/>
      <c r="U260" s="4"/>
      <c r="V260" s="4"/>
      <c r="W260" s="4"/>
      <c r="X260" s="4"/>
      <c r="Y260" s="128"/>
      <c r="Z260" s="128"/>
      <c r="AA260" s="128"/>
      <c r="AB260" s="4"/>
      <c r="AC260" s="4"/>
      <c r="AD260" s="4"/>
      <c r="AE260" s="4"/>
      <c r="AF260" s="4"/>
      <c r="AG260" s="4"/>
      <c r="AH260" s="4"/>
      <c r="AI260" s="4"/>
      <c r="AJ260" s="246"/>
      <c r="AK260" s="246"/>
      <c r="AL260" s="129"/>
      <c r="AM260" s="129"/>
      <c r="AN260" s="129"/>
      <c r="AO260" s="246"/>
      <c r="AP260" s="246"/>
      <c r="AQ260" s="249"/>
      <c r="AR260" s="4"/>
      <c r="AS260" s="4"/>
      <c r="AT260" s="4"/>
      <c r="AU260" s="4"/>
      <c r="AV260" s="4"/>
      <c r="AW260" s="4"/>
      <c r="AX260" s="4"/>
      <c r="AY260" s="128"/>
      <c r="AZ260" s="4"/>
      <c r="BA260" s="4"/>
      <c r="BB260" s="4"/>
      <c r="BC260" s="4"/>
      <c r="BD260" s="4"/>
      <c r="BE260" s="4"/>
      <c r="BF260" s="4"/>
      <c r="BG260" s="4"/>
      <c r="BH260" s="4"/>
      <c r="BI260" s="567"/>
    </row>
    <row r="261" spans="1:61" ht="12.75" customHeight="1" x14ac:dyDescent="0.25">
      <c r="A261" s="4"/>
      <c r="B261" s="4"/>
      <c r="C261" s="4"/>
      <c r="D261" s="4"/>
      <c r="E261" s="128"/>
      <c r="F261" s="128"/>
      <c r="G261" s="753"/>
      <c r="H261" s="128"/>
      <c r="I261" s="128"/>
      <c r="J261" s="130"/>
      <c r="K261" s="128"/>
      <c r="L261" s="128"/>
      <c r="M261" s="130"/>
      <c r="N261" s="130"/>
      <c r="O261" s="130"/>
      <c r="P261" s="128"/>
      <c r="Q261" s="128"/>
      <c r="R261" s="128"/>
      <c r="S261" s="298"/>
      <c r="T261" s="4"/>
      <c r="U261" s="4"/>
      <c r="V261" s="4"/>
      <c r="W261" s="4"/>
      <c r="X261" s="4"/>
      <c r="Y261" s="128"/>
      <c r="Z261" s="128"/>
      <c r="AA261" s="128"/>
      <c r="AB261" s="4"/>
      <c r="AC261" s="4"/>
      <c r="AD261" s="4"/>
      <c r="AE261" s="4"/>
      <c r="AF261" s="4"/>
      <c r="AG261" s="4"/>
      <c r="AH261" s="4"/>
      <c r="AI261" s="4"/>
      <c r="AJ261" s="246"/>
      <c r="AK261" s="246"/>
      <c r="AL261" s="129"/>
      <c r="AM261" s="129"/>
      <c r="AN261" s="129"/>
      <c r="AO261" s="246"/>
      <c r="AP261" s="246"/>
      <c r="AQ261" s="249"/>
      <c r="AR261" s="4"/>
      <c r="AS261" s="4"/>
      <c r="AT261" s="4"/>
      <c r="AU261" s="4"/>
      <c r="AV261" s="4"/>
      <c r="AW261" s="4"/>
      <c r="AX261" s="4"/>
      <c r="AY261" s="128"/>
      <c r="AZ261" s="4"/>
      <c r="BA261" s="4"/>
      <c r="BB261" s="4"/>
      <c r="BC261" s="4"/>
      <c r="BD261" s="4"/>
      <c r="BE261" s="4"/>
      <c r="BF261" s="4"/>
      <c r="BG261" s="4"/>
      <c r="BH261" s="4"/>
      <c r="BI261" s="567"/>
    </row>
    <row r="262" spans="1:61" ht="12.75" customHeight="1" x14ac:dyDescent="0.25">
      <c r="A262" s="4"/>
      <c r="B262" s="4"/>
      <c r="C262" s="4"/>
      <c r="D262" s="4"/>
      <c r="E262" s="128"/>
      <c r="F262" s="128"/>
      <c r="G262" s="753"/>
      <c r="H262" s="128"/>
      <c r="I262" s="128"/>
      <c r="J262" s="130"/>
      <c r="K262" s="128"/>
      <c r="L262" s="128"/>
      <c r="M262" s="130"/>
      <c r="N262" s="130"/>
      <c r="O262" s="130"/>
      <c r="P262" s="128"/>
      <c r="Q262" s="128"/>
      <c r="R262" s="128"/>
      <c r="S262" s="298"/>
      <c r="T262" s="4"/>
      <c r="U262" s="4"/>
      <c r="V262" s="4"/>
      <c r="W262" s="4"/>
      <c r="X262" s="4"/>
      <c r="Y262" s="128"/>
      <c r="Z262" s="128"/>
      <c r="AA262" s="128"/>
      <c r="AB262" s="4"/>
      <c r="AC262" s="4"/>
      <c r="AD262" s="4"/>
      <c r="AE262" s="4"/>
      <c r="AF262" s="4"/>
      <c r="AG262" s="4"/>
      <c r="AH262" s="4"/>
      <c r="AI262" s="4"/>
      <c r="AJ262" s="246"/>
      <c r="AK262" s="246"/>
      <c r="AL262" s="129"/>
      <c r="AM262" s="129"/>
      <c r="AN262" s="129"/>
      <c r="AO262" s="246"/>
      <c r="AP262" s="246"/>
      <c r="AQ262" s="249"/>
      <c r="AR262" s="4"/>
      <c r="AS262" s="4"/>
      <c r="AT262" s="4"/>
      <c r="AU262" s="4"/>
      <c r="AV262" s="4"/>
      <c r="AW262" s="4"/>
      <c r="AX262" s="4"/>
      <c r="AY262" s="128"/>
      <c r="AZ262" s="4"/>
      <c r="BA262" s="4"/>
      <c r="BB262" s="4"/>
      <c r="BC262" s="4"/>
      <c r="BD262" s="4"/>
      <c r="BE262" s="4"/>
      <c r="BF262" s="4"/>
      <c r="BG262" s="4"/>
      <c r="BH262" s="4"/>
      <c r="BI262" s="567"/>
    </row>
    <row r="263" spans="1:61" ht="12.75" customHeight="1" x14ac:dyDescent="0.25">
      <c r="A263" s="4"/>
      <c r="B263" s="4"/>
      <c r="C263" s="4"/>
      <c r="D263" s="4"/>
      <c r="E263" s="128"/>
      <c r="F263" s="128"/>
      <c r="G263" s="753"/>
      <c r="H263" s="128"/>
      <c r="I263" s="128"/>
      <c r="J263" s="130"/>
      <c r="K263" s="128"/>
      <c r="L263" s="128"/>
      <c r="M263" s="130"/>
      <c r="N263" s="130"/>
      <c r="O263" s="130"/>
      <c r="P263" s="128"/>
      <c r="Q263" s="128"/>
      <c r="R263" s="128"/>
      <c r="S263" s="298"/>
      <c r="T263" s="4"/>
      <c r="U263" s="4"/>
      <c r="V263" s="4"/>
      <c r="W263" s="4"/>
      <c r="X263" s="4"/>
      <c r="Y263" s="128"/>
      <c r="Z263" s="128"/>
      <c r="AA263" s="128"/>
      <c r="AB263" s="4"/>
      <c r="AC263" s="4"/>
      <c r="AD263" s="4"/>
      <c r="AE263" s="4"/>
      <c r="AF263" s="4"/>
      <c r="AG263" s="4"/>
      <c r="AH263" s="4"/>
      <c r="AI263" s="4"/>
      <c r="AJ263" s="246"/>
      <c r="AK263" s="246"/>
      <c r="AL263" s="129"/>
      <c r="AM263" s="129"/>
      <c r="AN263" s="129"/>
      <c r="AO263" s="246"/>
      <c r="AP263" s="246"/>
      <c r="AQ263" s="249"/>
      <c r="AR263" s="4"/>
      <c r="AS263" s="4"/>
      <c r="AT263" s="4"/>
      <c r="AU263" s="4"/>
      <c r="AV263" s="4"/>
      <c r="AW263" s="4"/>
      <c r="AX263" s="4"/>
      <c r="AY263" s="128"/>
      <c r="AZ263" s="4"/>
      <c r="BA263" s="4"/>
      <c r="BB263" s="4"/>
      <c r="BC263" s="4"/>
      <c r="BD263" s="4"/>
      <c r="BE263" s="4"/>
      <c r="BF263" s="4"/>
      <c r="BG263" s="4"/>
      <c r="BH263" s="4"/>
      <c r="BI263" s="567"/>
    </row>
    <row r="264" spans="1:61" ht="12.75" customHeight="1" x14ac:dyDescent="0.25">
      <c r="A264" s="4"/>
      <c r="B264" s="4"/>
      <c r="C264" s="4"/>
      <c r="D264" s="4"/>
      <c r="E264" s="128"/>
      <c r="F264" s="128"/>
      <c r="G264" s="753"/>
      <c r="H264" s="128"/>
      <c r="I264" s="128"/>
      <c r="J264" s="130"/>
      <c r="K264" s="128"/>
      <c r="L264" s="128"/>
      <c r="M264" s="130"/>
      <c r="N264" s="130"/>
      <c r="O264" s="130"/>
      <c r="P264" s="128"/>
      <c r="Q264" s="128"/>
      <c r="R264" s="128"/>
      <c r="S264" s="298"/>
      <c r="T264" s="4"/>
      <c r="U264" s="4"/>
      <c r="V264" s="4"/>
      <c r="W264" s="4"/>
      <c r="X264" s="4"/>
      <c r="Y264" s="128"/>
      <c r="Z264" s="128"/>
      <c r="AA264" s="128"/>
      <c r="AB264" s="4"/>
      <c r="AC264" s="4"/>
      <c r="AD264" s="4"/>
      <c r="AE264" s="4"/>
      <c r="AF264" s="4"/>
      <c r="AG264" s="4"/>
      <c r="AH264" s="4"/>
      <c r="AI264" s="4"/>
      <c r="AJ264" s="246"/>
      <c r="AK264" s="246"/>
      <c r="AL264" s="129"/>
      <c r="AM264" s="129"/>
      <c r="AN264" s="129"/>
      <c r="AO264" s="246"/>
      <c r="AP264" s="246"/>
      <c r="AQ264" s="249"/>
      <c r="AR264" s="4"/>
      <c r="AS264" s="4"/>
      <c r="AT264" s="4"/>
      <c r="AU264" s="4"/>
      <c r="AV264" s="4"/>
      <c r="AW264" s="4"/>
      <c r="AX264" s="4"/>
      <c r="AY264" s="128"/>
      <c r="AZ264" s="4"/>
      <c r="BA264" s="4"/>
      <c r="BB264" s="4"/>
      <c r="BC264" s="4"/>
      <c r="BD264" s="4"/>
      <c r="BE264" s="4"/>
      <c r="BF264" s="4"/>
      <c r="BG264" s="4"/>
      <c r="BH264" s="4"/>
      <c r="BI264" s="567"/>
    </row>
    <row r="265" spans="1:61" ht="12.75" customHeight="1" x14ac:dyDescent="0.25">
      <c r="A265" s="4"/>
      <c r="B265" s="4"/>
      <c r="C265" s="4"/>
      <c r="D265" s="4"/>
      <c r="E265" s="128"/>
      <c r="F265" s="128"/>
      <c r="G265" s="753"/>
      <c r="H265" s="128"/>
      <c r="I265" s="128"/>
      <c r="J265" s="130"/>
      <c r="K265" s="128"/>
      <c r="L265" s="128"/>
      <c r="M265" s="130"/>
      <c r="N265" s="130"/>
      <c r="O265" s="130"/>
      <c r="P265" s="128"/>
      <c r="Q265" s="128"/>
      <c r="R265" s="128"/>
      <c r="S265" s="298"/>
      <c r="T265" s="4"/>
      <c r="U265" s="4"/>
      <c r="V265" s="4"/>
      <c r="W265" s="4"/>
      <c r="X265" s="4"/>
      <c r="Y265" s="128"/>
      <c r="Z265" s="128"/>
      <c r="AA265" s="128"/>
      <c r="AB265" s="4"/>
      <c r="AC265" s="4"/>
      <c r="AD265" s="4"/>
      <c r="AE265" s="4"/>
      <c r="AF265" s="4"/>
      <c r="AG265" s="4"/>
      <c r="AH265" s="4"/>
      <c r="AI265" s="4"/>
      <c r="AJ265" s="246"/>
      <c r="AK265" s="246"/>
      <c r="AL265" s="129"/>
      <c r="AM265" s="129"/>
      <c r="AN265" s="129"/>
      <c r="AO265" s="246"/>
      <c r="AP265" s="246"/>
      <c r="AQ265" s="249"/>
      <c r="AR265" s="4"/>
      <c r="AS265" s="4"/>
      <c r="AT265" s="4"/>
      <c r="AU265" s="4"/>
      <c r="AV265" s="4"/>
      <c r="AW265" s="4"/>
      <c r="AX265" s="4"/>
      <c r="AY265" s="128"/>
      <c r="AZ265" s="4"/>
      <c r="BA265" s="4"/>
      <c r="BB265" s="4"/>
      <c r="BC265" s="4"/>
      <c r="BD265" s="4"/>
      <c r="BE265" s="4"/>
      <c r="BF265" s="4"/>
      <c r="BG265" s="4"/>
      <c r="BH265" s="4"/>
      <c r="BI265" s="567"/>
    </row>
    <row r="266" spans="1:61" ht="12.75" customHeight="1" x14ac:dyDescent="0.25">
      <c r="A266" s="4"/>
      <c r="B266" s="4"/>
      <c r="C266" s="4"/>
      <c r="D266" s="4"/>
      <c r="E266" s="128"/>
      <c r="F266" s="128"/>
      <c r="G266" s="753"/>
      <c r="H266" s="128"/>
      <c r="I266" s="128"/>
      <c r="J266" s="130"/>
      <c r="K266" s="128"/>
      <c r="L266" s="128"/>
      <c r="M266" s="130"/>
      <c r="N266" s="130"/>
      <c r="O266" s="130"/>
      <c r="P266" s="128"/>
      <c r="Q266" s="128"/>
      <c r="R266" s="128"/>
      <c r="S266" s="298"/>
      <c r="T266" s="4"/>
      <c r="U266" s="4"/>
      <c r="V266" s="4"/>
      <c r="W266" s="4"/>
      <c r="X266" s="4"/>
      <c r="Y266" s="128"/>
      <c r="Z266" s="128"/>
      <c r="AA266" s="128"/>
      <c r="AB266" s="4"/>
      <c r="AC266" s="4"/>
      <c r="AD266" s="4"/>
      <c r="AE266" s="4"/>
      <c r="AF266" s="4"/>
      <c r="AG266" s="4"/>
      <c r="AH266" s="4"/>
      <c r="AI266" s="4"/>
      <c r="AJ266" s="246"/>
      <c r="AK266" s="246"/>
      <c r="AL266" s="129"/>
      <c r="AM266" s="129"/>
      <c r="AN266" s="129"/>
      <c r="AO266" s="246"/>
      <c r="AP266" s="246"/>
      <c r="AQ266" s="249"/>
      <c r="AR266" s="4"/>
      <c r="AS266" s="4"/>
      <c r="AT266" s="4"/>
      <c r="AU266" s="4"/>
      <c r="AV266" s="4"/>
      <c r="AW266" s="4"/>
      <c r="AX266" s="4"/>
      <c r="AY266" s="128"/>
      <c r="AZ266" s="4"/>
      <c r="BA266" s="4"/>
      <c r="BB266" s="4"/>
      <c r="BC266" s="4"/>
      <c r="BD266" s="4"/>
      <c r="BE266" s="4"/>
      <c r="BF266" s="4"/>
      <c r="BG266" s="4"/>
      <c r="BH266" s="4"/>
      <c r="BI266" s="567"/>
    </row>
    <row r="267" spans="1:61" ht="12.75" customHeight="1" x14ac:dyDescent="0.25">
      <c r="A267" s="4"/>
      <c r="B267" s="4"/>
      <c r="C267" s="4"/>
      <c r="D267" s="4"/>
      <c r="E267" s="128"/>
      <c r="F267" s="128"/>
      <c r="G267" s="753"/>
      <c r="H267" s="128"/>
      <c r="I267" s="128"/>
      <c r="J267" s="130"/>
      <c r="K267" s="128"/>
      <c r="L267" s="128"/>
      <c r="M267" s="130"/>
      <c r="N267" s="130"/>
      <c r="O267" s="130"/>
      <c r="P267" s="128"/>
      <c r="Q267" s="128"/>
      <c r="R267" s="128"/>
      <c r="S267" s="298"/>
      <c r="T267" s="4"/>
      <c r="U267" s="4"/>
      <c r="V267" s="4"/>
      <c r="W267" s="4"/>
      <c r="X267" s="4"/>
      <c r="Y267" s="128"/>
      <c r="Z267" s="128"/>
      <c r="AA267" s="128"/>
      <c r="AB267" s="4"/>
      <c r="AC267" s="4"/>
      <c r="AD267" s="4"/>
      <c r="AE267" s="4"/>
      <c r="AF267" s="4"/>
      <c r="AG267" s="4"/>
      <c r="AH267" s="4"/>
      <c r="AI267" s="4"/>
      <c r="AJ267" s="246"/>
      <c r="AK267" s="246"/>
      <c r="AL267" s="129"/>
      <c r="AM267" s="129"/>
      <c r="AN267" s="129"/>
      <c r="AO267" s="246"/>
      <c r="AP267" s="246"/>
      <c r="AQ267" s="249"/>
      <c r="AR267" s="4"/>
      <c r="AS267" s="4"/>
      <c r="AT267" s="4"/>
      <c r="AU267" s="4"/>
      <c r="AV267" s="4"/>
      <c r="AW267" s="4"/>
      <c r="AX267" s="4"/>
      <c r="AY267" s="128"/>
      <c r="AZ267" s="4"/>
      <c r="BA267" s="4"/>
      <c r="BB267" s="4"/>
      <c r="BC267" s="4"/>
      <c r="BD267" s="4"/>
      <c r="BE267" s="4"/>
      <c r="BF267" s="4"/>
      <c r="BG267" s="4"/>
      <c r="BH267" s="4"/>
      <c r="BI267" s="567"/>
    </row>
    <row r="268" spans="1:61" ht="12.75" customHeight="1" x14ac:dyDescent="0.25">
      <c r="A268" s="4"/>
      <c r="B268" s="4"/>
      <c r="C268" s="4"/>
      <c r="D268" s="4"/>
      <c r="E268" s="128"/>
      <c r="F268" s="128"/>
      <c r="G268" s="753"/>
      <c r="H268" s="128"/>
      <c r="I268" s="128"/>
      <c r="J268" s="130"/>
      <c r="K268" s="128"/>
      <c r="L268" s="128"/>
      <c r="M268" s="130"/>
      <c r="N268" s="130"/>
      <c r="O268" s="130"/>
      <c r="P268" s="128"/>
      <c r="Q268" s="128"/>
      <c r="R268" s="128"/>
      <c r="S268" s="298"/>
      <c r="T268" s="4"/>
      <c r="U268" s="4"/>
      <c r="V268" s="4"/>
      <c r="W268" s="4"/>
      <c r="X268" s="4"/>
      <c r="Y268" s="128"/>
      <c r="Z268" s="128"/>
      <c r="AA268" s="128"/>
      <c r="AB268" s="4"/>
      <c r="AC268" s="4"/>
      <c r="AD268" s="4"/>
      <c r="AE268" s="4"/>
      <c r="AF268" s="4"/>
      <c r="AG268" s="4"/>
      <c r="AH268" s="4"/>
      <c r="AI268" s="4"/>
      <c r="AJ268" s="246"/>
      <c r="AK268" s="246"/>
      <c r="AL268" s="129"/>
      <c r="AM268" s="129"/>
      <c r="AN268" s="129"/>
      <c r="AO268" s="246"/>
      <c r="AP268" s="246"/>
      <c r="AQ268" s="249"/>
      <c r="AR268" s="4"/>
      <c r="AS268" s="4"/>
      <c r="AT268" s="4"/>
      <c r="AU268" s="4"/>
      <c r="AV268" s="4"/>
      <c r="AW268" s="4"/>
      <c r="AX268" s="4"/>
      <c r="AY268" s="128"/>
      <c r="AZ268" s="4"/>
      <c r="BA268" s="4"/>
      <c r="BB268" s="4"/>
      <c r="BC268" s="4"/>
      <c r="BD268" s="4"/>
      <c r="BE268" s="4"/>
      <c r="BF268" s="4"/>
      <c r="BG268" s="4"/>
      <c r="BH268" s="4"/>
      <c r="BI268" s="567"/>
    </row>
    <row r="269" spans="1:61" ht="12.75" customHeight="1" x14ac:dyDescent="0.25">
      <c r="A269" s="4"/>
      <c r="B269" s="4"/>
      <c r="C269" s="4"/>
      <c r="D269" s="4"/>
      <c r="E269" s="128"/>
      <c r="F269" s="128"/>
      <c r="G269" s="753"/>
      <c r="H269" s="128"/>
      <c r="I269" s="128"/>
      <c r="J269" s="130"/>
      <c r="K269" s="128"/>
      <c r="L269" s="128"/>
      <c r="M269" s="130"/>
      <c r="N269" s="130"/>
      <c r="O269" s="130"/>
      <c r="P269" s="128"/>
      <c r="Q269" s="128"/>
      <c r="R269" s="128"/>
      <c r="S269" s="298"/>
      <c r="T269" s="4"/>
      <c r="U269" s="4"/>
      <c r="V269" s="4"/>
      <c r="W269" s="4"/>
      <c r="X269" s="4"/>
      <c r="Y269" s="128"/>
      <c r="Z269" s="128"/>
      <c r="AA269" s="128"/>
      <c r="AB269" s="4"/>
      <c r="AC269" s="4"/>
      <c r="AD269" s="4"/>
      <c r="AE269" s="4"/>
      <c r="AF269" s="4"/>
      <c r="AG269" s="4"/>
      <c r="AH269" s="4"/>
      <c r="AI269" s="4"/>
      <c r="AJ269" s="246"/>
      <c r="AK269" s="246"/>
      <c r="AL269" s="129"/>
      <c r="AM269" s="129"/>
      <c r="AN269" s="129"/>
      <c r="AO269" s="246"/>
      <c r="AP269" s="246"/>
      <c r="AQ269" s="249"/>
      <c r="AR269" s="4"/>
      <c r="AS269" s="4"/>
      <c r="AT269" s="4"/>
      <c r="AU269" s="4"/>
      <c r="AV269" s="4"/>
      <c r="AW269" s="4"/>
      <c r="AX269" s="4"/>
      <c r="AY269" s="128"/>
      <c r="AZ269" s="4"/>
      <c r="BA269" s="4"/>
      <c r="BB269" s="4"/>
      <c r="BC269" s="4"/>
      <c r="BD269" s="4"/>
      <c r="BE269" s="4"/>
      <c r="BF269" s="4"/>
      <c r="BG269" s="4"/>
      <c r="BH269" s="4"/>
      <c r="BI269" s="567"/>
    </row>
    <row r="270" spans="1:61" ht="12.75" customHeight="1" x14ac:dyDescent="0.25">
      <c r="A270" s="4"/>
      <c r="B270" s="4"/>
      <c r="C270" s="4"/>
      <c r="D270" s="4"/>
      <c r="E270" s="128"/>
      <c r="F270" s="128"/>
      <c r="G270" s="753"/>
      <c r="H270" s="128"/>
      <c r="I270" s="128"/>
      <c r="J270" s="130"/>
      <c r="K270" s="128"/>
      <c r="L270" s="128"/>
      <c r="M270" s="130"/>
      <c r="N270" s="130"/>
      <c r="O270" s="130"/>
      <c r="P270" s="128"/>
      <c r="Q270" s="128"/>
      <c r="R270" s="128"/>
      <c r="S270" s="298"/>
      <c r="T270" s="4"/>
      <c r="U270" s="4"/>
      <c r="V270" s="4"/>
      <c r="W270" s="4"/>
      <c r="X270" s="4"/>
      <c r="Y270" s="128"/>
      <c r="Z270" s="128"/>
      <c r="AA270" s="128"/>
      <c r="AB270" s="4"/>
      <c r="AC270" s="4"/>
      <c r="AD270" s="4"/>
      <c r="AE270" s="4"/>
      <c r="AF270" s="4"/>
      <c r="AG270" s="4"/>
      <c r="AH270" s="4"/>
      <c r="AI270" s="4"/>
      <c r="AJ270" s="246"/>
      <c r="AK270" s="246"/>
      <c r="AL270" s="129"/>
      <c r="AM270" s="129"/>
      <c r="AN270" s="129"/>
      <c r="AO270" s="246"/>
      <c r="AP270" s="246"/>
      <c r="AQ270" s="249"/>
      <c r="AR270" s="4"/>
      <c r="AS270" s="4"/>
      <c r="AT270" s="4"/>
      <c r="AU270" s="4"/>
      <c r="AV270" s="4"/>
      <c r="AW270" s="4"/>
      <c r="AX270" s="4"/>
      <c r="AY270" s="128"/>
      <c r="AZ270" s="4"/>
      <c r="BA270" s="4"/>
      <c r="BB270" s="4"/>
      <c r="BC270" s="4"/>
      <c r="BD270" s="4"/>
      <c r="BE270" s="4"/>
      <c r="BF270" s="4"/>
      <c r="BG270" s="4"/>
      <c r="BH270" s="4"/>
      <c r="BI270" s="567"/>
    </row>
    <row r="271" spans="1:61" ht="12.75" customHeight="1" x14ac:dyDescent="0.25">
      <c r="A271" s="4"/>
      <c r="B271" s="4"/>
      <c r="C271" s="4"/>
      <c r="D271" s="4"/>
      <c r="E271" s="128"/>
      <c r="F271" s="128"/>
      <c r="G271" s="753"/>
      <c r="H271" s="128"/>
      <c r="I271" s="128"/>
      <c r="J271" s="130"/>
      <c r="K271" s="128"/>
      <c r="L271" s="128"/>
      <c r="M271" s="130"/>
      <c r="N271" s="130"/>
      <c r="O271" s="130"/>
      <c r="P271" s="128"/>
      <c r="Q271" s="128"/>
      <c r="R271" s="128"/>
      <c r="S271" s="298"/>
      <c r="T271" s="4"/>
      <c r="U271" s="4"/>
      <c r="V271" s="4"/>
      <c r="W271" s="4"/>
      <c r="X271" s="4"/>
      <c r="Y271" s="128"/>
      <c r="Z271" s="128"/>
      <c r="AA271" s="128"/>
      <c r="AB271" s="4"/>
      <c r="AC271" s="4"/>
      <c r="AD271" s="4"/>
      <c r="AE271" s="4"/>
      <c r="AF271" s="4"/>
      <c r="AG271" s="4"/>
      <c r="AH271" s="4"/>
      <c r="AI271" s="4"/>
      <c r="AJ271" s="246"/>
      <c r="AK271" s="246"/>
      <c r="AL271" s="129"/>
      <c r="AM271" s="129"/>
      <c r="AN271" s="129"/>
      <c r="AO271" s="246"/>
      <c r="AP271" s="246"/>
      <c r="AQ271" s="249"/>
      <c r="AR271" s="4"/>
      <c r="AS271" s="4"/>
      <c r="AT271" s="4"/>
      <c r="AU271" s="4"/>
      <c r="AV271" s="4"/>
      <c r="AW271" s="4"/>
      <c r="AX271" s="4"/>
      <c r="AY271" s="128"/>
      <c r="AZ271" s="4"/>
      <c r="BA271" s="4"/>
      <c r="BB271" s="4"/>
      <c r="BC271" s="4"/>
      <c r="BD271" s="4"/>
      <c r="BE271" s="4"/>
      <c r="BF271" s="4"/>
      <c r="BG271" s="4"/>
      <c r="BH271" s="4"/>
      <c r="BI271" s="567"/>
    </row>
    <row r="272" spans="1:61" ht="12.75" customHeight="1" x14ac:dyDescent="0.25">
      <c r="A272" s="4"/>
      <c r="B272" s="4"/>
      <c r="C272" s="4"/>
      <c r="D272" s="4"/>
      <c r="E272" s="128"/>
      <c r="F272" s="128"/>
      <c r="G272" s="753"/>
      <c r="H272" s="128"/>
      <c r="I272" s="128"/>
      <c r="J272" s="130"/>
      <c r="K272" s="128"/>
      <c r="L272" s="128"/>
      <c r="M272" s="130"/>
      <c r="N272" s="130"/>
      <c r="O272" s="130"/>
      <c r="P272" s="128"/>
      <c r="Q272" s="128"/>
      <c r="R272" s="128"/>
      <c r="S272" s="298"/>
      <c r="T272" s="4"/>
      <c r="U272" s="4"/>
      <c r="V272" s="4"/>
      <c r="W272" s="4"/>
      <c r="X272" s="4"/>
      <c r="Y272" s="128"/>
      <c r="Z272" s="128"/>
      <c r="AA272" s="128"/>
      <c r="AB272" s="4"/>
      <c r="AC272" s="4"/>
      <c r="AD272" s="4"/>
      <c r="AE272" s="4"/>
      <c r="AF272" s="4"/>
      <c r="AG272" s="4"/>
      <c r="AH272" s="4"/>
      <c r="AI272" s="4"/>
      <c r="AJ272" s="246"/>
      <c r="AK272" s="246"/>
      <c r="AL272" s="129"/>
      <c r="AM272" s="129"/>
      <c r="AN272" s="129"/>
      <c r="AO272" s="246"/>
      <c r="AP272" s="246"/>
      <c r="AQ272" s="249"/>
      <c r="AR272" s="4"/>
      <c r="AS272" s="4"/>
      <c r="AT272" s="4"/>
      <c r="AU272" s="4"/>
      <c r="AV272" s="4"/>
      <c r="AW272" s="4"/>
      <c r="AX272" s="4"/>
      <c r="AY272" s="128"/>
      <c r="AZ272" s="4"/>
      <c r="BA272" s="4"/>
      <c r="BB272" s="4"/>
      <c r="BC272" s="4"/>
      <c r="BD272" s="4"/>
      <c r="BE272" s="4"/>
      <c r="BF272" s="4"/>
      <c r="BG272" s="4"/>
      <c r="BH272" s="4"/>
      <c r="BI272" s="567"/>
    </row>
    <row r="273" spans="1:61" ht="12.75" customHeight="1" x14ac:dyDescent="0.25">
      <c r="A273" s="4"/>
      <c r="B273" s="4"/>
      <c r="C273" s="4"/>
      <c r="D273" s="4"/>
      <c r="E273" s="128"/>
      <c r="F273" s="128"/>
      <c r="G273" s="753"/>
      <c r="H273" s="128"/>
      <c r="I273" s="128"/>
      <c r="J273" s="130"/>
      <c r="K273" s="128"/>
      <c r="L273" s="128"/>
      <c r="M273" s="130"/>
      <c r="N273" s="130"/>
      <c r="O273" s="130"/>
      <c r="P273" s="128"/>
      <c r="Q273" s="128"/>
      <c r="R273" s="128"/>
      <c r="S273" s="298"/>
      <c r="T273" s="4"/>
      <c r="U273" s="4"/>
      <c r="V273" s="4"/>
      <c r="W273" s="4"/>
      <c r="X273" s="4"/>
      <c r="Y273" s="128"/>
      <c r="Z273" s="128"/>
      <c r="AA273" s="128"/>
      <c r="AB273" s="4"/>
      <c r="AC273" s="4"/>
      <c r="AD273" s="4"/>
      <c r="AE273" s="4"/>
      <c r="AF273" s="4"/>
      <c r="AG273" s="4"/>
      <c r="AH273" s="4"/>
      <c r="AI273" s="4"/>
      <c r="AJ273" s="246"/>
      <c r="AK273" s="246"/>
      <c r="AL273" s="129"/>
      <c r="AM273" s="129"/>
      <c r="AN273" s="129"/>
      <c r="AO273" s="246"/>
      <c r="AP273" s="246"/>
      <c r="AQ273" s="249"/>
      <c r="AR273" s="4"/>
      <c r="AS273" s="4"/>
      <c r="AT273" s="4"/>
      <c r="AU273" s="4"/>
      <c r="AV273" s="4"/>
      <c r="AW273" s="4"/>
      <c r="AX273" s="4"/>
      <c r="AY273" s="128"/>
      <c r="AZ273" s="4"/>
      <c r="BA273" s="4"/>
      <c r="BB273" s="4"/>
      <c r="BC273" s="4"/>
      <c r="BD273" s="4"/>
      <c r="BE273" s="4"/>
      <c r="BF273" s="4"/>
      <c r="BG273" s="4"/>
      <c r="BH273" s="4"/>
      <c r="BI273" s="567"/>
    </row>
    <row r="274" spans="1:61" ht="12.75" customHeight="1" x14ac:dyDescent="0.25">
      <c r="A274" s="4"/>
      <c r="B274" s="4"/>
      <c r="C274" s="4"/>
      <c r="D274" s="4"/>
      <c r="E274" s="128"/>
      <c r="F274" s="128"/>
      <c r="G274" s="753"/>
      <c r="H274" s="128"/>
      <c r="I274" s="128"/>
      <c r="J274" s="130"/>
      <c r="K274" s="128"/>
      <c r="L274" s="128"/>
      <c r="M274" s="130"/>
      <c r="N274" s="130"/>
      <c r="O274" s="130"/>
      <c r="P274" s="128"/>
      <c r="Q274" s="128"/>
      <c r="R274" s="128"/>
      <c r="S274" s="298"/>
      <c r="T274" s="4"/>
      <c r="U274" s="4"/>
      <c r="V274" s="4"/>
      <c r="W274" s="4"/>
      <c r="X274" s="4"/>
      <c r="Y274" s="128"/>
      <c r="Z274" s="128"/>
      <c r="AA274" s="128"/>
      <c r="AB274" s="4"/>
      <c r="AC274" s="4"/>
      <c r="AD274" s="4"/>
      <c r="AE274" s="4"/>
      <c r="AF274" s="4"/>
      <c r="AG274" s="4"/>
      <c r="AH274" s="4"/>
      <c r="AI274" s="4"/>
      <c r="AJ274" s="246"/>
      <c r="AK274" s="246"/>
      <c r="AL274" s="129"/>
      <c r="AM274" s="129"/>
      <c r="AN274" s="129"/>
      <c r="AO274" s="246"/>
      <c r="AP274" s="246"/>
      <c r="AQ274" s="249"/>
      <c r="AR274" s="4"/>
      <c r="AS274" s="4"/>
      <c r="AT274" s="4"/>
      <c r="AU274" s="4"/>
      <c r="AV274" s="4"/>
      <c r="AW274" s="4"/>
      <c r="AX274" s="4"/>
      <c r="AY274" s="128"/>
      <c r="AZ274" s="4"/>
      <c r="BA274" s="4"/>
      <c r="BB274" s="4"/>
      <c r="BC274" s="4"/>
      <c r="BD274" s="4"/>
      <c r="BE274" s="4"/>
      <c r="BF274" s="4"/>
      <c r="BG274" s="4"/>
      <c r="BH274" s="4"/>
      <c r="BI274" s="567"/>
    </row>
    <row r="275" spans="1:61" ht="12.75" customHeight="1" x14ac:dyDescent="0.25">
      <c r="A275" s="4"/>
      <c r="B275" s="4"/>
      <c r="C275" s="4"/>
      <c r="D275" s="4"/>
      <c r="E275" s="128"/>
      <c r="F275" s="128"/>
      <c r="G275" s="753"/>
      <c r="H275" s="128"/>
      <c r="I275" s="128"/>
      <c r="J275" s="130"/>
      <c r="K275" s="128"/>
      <c r="L275" s="128"/>
      <c r="M275" s="130"/>
      <c r="N275" s="130"/>
      <c r="O275" s="130"/>
      <c r="P275" s="128"/>
      <c r="Q275" s="128"/>
      <c r="R275" s="128"/>
      <c r="S275" s="298"/>
      <c r="T275" s="4"/>
      <c r="U275" s="4"/>
      <c r="V275" s="4"/>
      <c r="W275" s="4"/>
      <c r="X275" s="4"/>
      <c r="Y275" s="128"/>
      <c r="Z275" s="128"/>
      <c r="AA275" s="128"/>
      <c r="AB275" s="4"/>
      <c r="AC275" s="4"/>
      <c r="AD275" s="4"/>
      <c r="AE275" s="4"/>
      <c r="AF275" s="4"/>
      <c r="AG275" s="4"/>
      <c r="AH275" s="4"/>
      <c r="AI275" s="4"/>
      <c r="AJ275" s="246"/>
      <c r="AK275" s="246"/>
      <c r="AL275" s="129"/>
      <c r="AM275" s="129"/>
      <c r="AN275" s="129"/>
      <c r="AO275" s="246"/>
      <c r="AP275" s="246"/>
      <c r="AQ275" s="249"/>
      <c r="AR275" s="4"/>
      <c r="AS275" s="4"/>
      <c r="AT275" s="4"/>
      <c r="AU275" s="4"/>
      <c r="AV275" s="4"/>
      <c r="AW275" s="4"/>
      <c r="AX275" s="4"/>
      <c r="AY275" s="128"/>
      <c r="AZ275" s="4"/>
      <c r="BA275" s="4"/>
      <c r="BB275" s="4"/>
      <c r="BC275" s="4"/>
      <c r="BD275" s="4"/>
      <c r="BE275" s="4"/>
      <c r="BF275" s="4"/>
      <c r="BG275" s="4"/>
      <c r="BH275" s="4"/>
      <c r="BI275" s="567"/>
    </row>
    <row r="276" spans="1:61" ht="12.75" customHeight="1" x14ac:dyDescent="0.25">
      <c r="A276" s="4"/>
      <c r="B276" s="4"/>
      <c r="C276" s="4"/>
      <c r="D276" s="4"/>
      <c r="E276" s="128"/>
      <c r="F276" s="128"/>
      <c r="G276" s="753"/>
      <c r="H276" s="128"/>
      <c r="I276" s="128"/>
      <c r="J276" s="130"/>
      <c r="K276" s="128"/>
      <c r="L276" s="128"/>
      <c r="M276" s="130"/>
      <c r="N276" s="130"/>
      <c r="O276" s="130"/>
      <c r="P276" s="128"/>
      <c r="Q276" s="128"/>
      <c r="R276" s="128"/>
      <c r="S276" s="298"/>
      <c r="T276" s="4"/>
      <c r="U276" s="4"/>
      <c r="V276" s="4"/>
      <c r="W276" s="4"/>
      <c r="X276" s="4"/>
      <c r="Y276" s="128"/>
      <c r="Z276" s="128"/>
      <c r="AA276" s="128"/>
      <c r="AB276" s="4"/>
      <c r="AC276" s="4"/>
      <c r="AD276" s="4"/>
      <c r="AE276" s="4"/>
      <c r="AF276" s="4"/>
      <c r="AG276" s="4"/>
      <c r="AH276" s="4"/>
      <c r="AI276" s="4"/>
      <c r="AJ276" s="246"/>
      <c r="AK276" s="246"/>
      <c r="AL276" s="129"/>
      <c r="AM276" s="129"/>
      <c r="AN276" s="129"/>
      <c r="AO276" s="246"/>
      <c r="AP276" s="246"/>
      <c r="AQ276" s="249"/>
      <c r="AR276" s="4"/>
      <c r="AS276" s="4"/>
      <c r="AT276" s="4"/>
      <c r="AU276" s="4"/>
      <c r="AV276" s="4"/>
      <c r="AW276" s="4"/>
      <c r="AX276" s="4"/>
      <c r="AY276" s="128"/>
      <c r="AZ276" s="4"/>
      <c r="BA276" s="4"/>
      <c r="BB276" s="4"/>
      <c r="BC276" s="4"/>
      <c r="BD276" s="4"/>
      <c r="BE276" s="4"/>
      <c r="BF276" s="4"/>
      <c r="BG276" s="4"/>
      <c r="BH276" s="4"/>
      <c r="BI276" s="567"/>
    </row>
    <row r="277" spans="1:61" ht="12.75" customHeight="1" x14ac:dyDescent="0.25">
      <c r="A277" s="4"/>
      <c r="B277" s="4"/>
      <c r="C277" s="4"/>
      <c r="D277" s="4"/>
      <c r="E277" s="128"/>
      <c r="F277" s="128"/>
      <c r="G277" s="753"/>
      <c r="H277" s="128"/>
      <c r="I277" s="128"/>
      <c r="J277" s="130"/>
      <c r="K277" s="128"/>
      <c r="L277" s="128"/>
      <c r="M277" s="130"/>
      <c r="N277" s="130"/>
      <c r="O277" s="130"/>
      <c r="P277" s="128"/>
      <c r="Q277" s="128"/>
      <c r="R277" s="128"/>
      <c r="S277" s="298"/>
      <c r="T277" s="4"/>
      <c r="U277" s="4"/>
      <c r="V277" s="4"/>
      <c r="W277" s="4"/>
      <c r="X277" s="4"/>
      <c r="Y277" s="128"/>
      <c r="Z277" s="128"/>
      <c r="AA277" s="128"/>
      <c r="AB277" s="4"/>
      <c r="AC277" s="4"/>
      <c r="AD277" s="4"/>
      <c r="AE277" s="4"/>
      <c r="AF277" s="4"/>
      <c r="AG277" s="4"/>
      <c r="AH277" s="4"/>
      <c r="AI277" s="4"/>
      <c r="AJ277" s="246"/>
      <c r="AK277" s="246"/>
      <c r="AL277" s="129"/>
      <c r="AM277" s="129"/>
      <c r="AN277" s="129"/>
      <c r="AO277" s="246"/>
      <c r="AP277" s="246"/>
      <c r="AQ277" s="249"/>
      <c r="AR277" s="4"/>
      <c r="AS277" s="4"/>
      <c r="AT277" s="4"/>
      <c r="AU277" s="4"/>
      <c r="AV277" s="4"/>
      <c r="AW277" s="4"/>
      <c r="AX277" s="4"/>
      <c r="AY277" s="128"/>
      <c r="AZ277" s="4"/>
      <c r="BA277" s="4"/>
      <c r="BB277" s="4"/>
      <c r="BC277" s="4"/>
      <c r="BD277" s="4"/>
      <c r="BE277" s="4"/>
      <c r="BF277" s="4"/>
      <c r="BG277" s="4"/>
      <c r="BH277" s="4"/>
      <c r="BI277" s="567"/>
    </row>
    <row r="278" spans="1:61" ht="12.75" customHeight="1" x14ac:dyDescent="0.25">
      <c r="A278" s="4"/>
      <c r="B278" s="4"/>
      <c r="C278" s="4"/>
      <c r="D278" s="4"/>
      <c r="E278" s="128"/>
      <c r="F278" s="128"/>
      <c r="G278" s="753"/>
      <c r="H278" s="128"/>
      <c r="I278" s="128"/>
      <c r="J278" s="130"/>
      <c r="K278" s="128"/>
      <c r="L278" s="128"/>
      <c r="M278" s="130"/>
      <c r="N278" s="130"/>
      <c r="O278" s="130"/>
      <c r="P278" s="128"/>
      <c r="Q278" s="128"/>
      <c r="R278" s="128"/>
      <c r="S278" s="298"/>
      <c r="T278" s="4"/>
      <c r="U278" s="4"/>
      <c r="V278" s="4"/>
      <c r="W278" s="4"/>
      <c r="X278" s="4"/>
      <c r="Y278" s="128"/>
      <c r="Z278" s="128"/>
      <c r="AA278" s="128"/>
      <c r="AB278" s="4"/>
      <c r="AC278" s="4"/>
      <c r="AD278" s="4"/>
      <c r="AE278" s="4"/>
      <c r="AF278" s="4"/>
      <c r="AG278" s="4"/>
      <c r="AH278" s="4"/>
      <c r="AI278" s="4"/>
      <c r="AJ278" s="246"/>
      <c r="AK278" s="246"/>
      <c r="AL278" s="129"/>
      <c r="AM278" s="129"/>
      <c r="AN278" s="129"/>
      <c r="AO278" s="246"/>
      <c r="AP278" s="246"/>
      <c r="AQ278" s="249"/>
      <c r="AR278" s="4"/>
      <c r="AS278" s="4"/>
      <c r="AT278" s="4"/>
      <c r="AU278" s="4"/>
      <c r="AV278" s="4"/>
      <c r="AW278" s="4"/>
      <c r="AX278" s="4"/>
      <c r="AY278" s="128"/>
      <c r="AZ278" s="4"/>
      <c r="BA278" s="4"/>
      <c r="BB278" s="4"/>
      <c r="BC278" s="4"/>
      <c r="BD278" s="4"/>
      <c r="BE278" s="4"/>
      <c r="BF278" s="4"/>
      <c r="BG278" s="4"/>
      <c r="BH278" s="4"/>
      <c r="BI278" s="567"/>
    </row>
    <row r="279" spans="1:61" ht="12.75" customHeight="1" x14ac:dyDescent="0.25">
      <c r="A279" s="4"/>
      <c r="B279" s="4"/>
      <c r="C279" s="4"/>
      <c r="D279" s="4"/>
      <c r="E279" s="128"/>
      <c r="F279" s="128"/>
      <c r="G279" s="753"/>
      <c r="H279" s="128"/>
      <c r="I279" s="128"/>
      <c r="J279" s="130"/>
      <c r="K279" s="128"/>
      <c r="L279" s="128"/>
      <c r="M279" s="130"/>
      <c r="N279" s="130"/>
      <c r="O279" s="130"/>
      <c r="P279" s="128"/>
      <c r="Q279" s="128"/>
      <c r="R279" s="128"/>
      <c r="S279" s="298"/>
      <c r="T279" s="4"/>
      <c r="U279" s="4"/>
      <c r="V279" s="4"/>
      <c r="W279" s="4"/>
      <c r="X279" s="4"/>
      <c r="Y279" s="128"/>
      <c r="Z279" s="128"/>
      <c r="AA279" s="128"/>
      <c r="AB279" s="4"/>
      <c r="AC279" s="4"/>
      <c r="AD279" s="4"/>
      <c r="AE279" s="4"/>
      <c r="AF279" s="4"/>
      <c r="AG279" s="4"/>
      <c r="AH279" s="4"/>
      <c r="AI279" s="4"/>
      <c r="AJ279" s="246"/>
      <c r="AK279" s="246"/>
      <c r="AL279" s="129"/>
      <c r="AM279" s="129"/>
      <c r="AN279" s="129"/>
      <c r="AO279" s="246"/>
      <c r="AP279" s="246"/>
      <c r="AQ279" s="249"/>
      <c r="AR279" s="4"/>
      <c r="AS279" s="4"/>
      <c r="AT279" s="4"/>
      <c r="AU279" s="4"/>
      <c r="AV279" s="4"/>
      <c r="AW279" s="4"/>
      <c r="AX279" s="4"/>
      <c r="AY279" s="128"/>
      <c r="AZ279" s="4"/>
      <c r="BA279" s="4"/>
      <c r="BB279" s="4"/>
      <c r="BC279" s="4"/>
      <c r="BD279" s="4"/>
      <c r="BE279" s="4"/>
      <c r="BF279" s="4"/>
      <c r="BG279" s="4"/>
      <c r="BH279" s="4"/>
      <c r="BI279" s="567"/>
    </row>
    <row r="280" spans="1:61" ht="12.75" customHeight="1" x14ac:dyDescent="0.25">
      <c r="A280" s="4"/>
      <c r="B280" s="4"/>
      <c r="C280" s="4"/>
      <c r="D280" s="4"/>
      <c r="E280" s="128"/>
      <c r="F280" s="128"/>
      <c r="G280" s="753"/>
      <c r="H280" s="128"/>
      <c r="I280" s="128"/>
      <c r="J280" s="130"/>
      <c r="K280" s="128"/>
      <c r="L280" s="128"/>
      <c r="M280" s="130"/>
      <c r="N280" s="130"/>
      <c r="O280" s="130"/>
      <c r="P280" s="128"/>
      <c r="Q280" s="128"/>
      <c r="R280" s="128"/>
      <c r="S280" s="298"/>
      <c r="T280" s="4"/>
      <c r="U280" s="4"/>
      <c r="V280" s="4"/>
      <c r="W280" s="4"/>
      <c r="X280" s="4"/>
      <c r="Y280" s="128"/>
      <c r="Z280" s="128"/>
      <c r="AA280" s="128"/>
      <c r="AB280" s="4"/>
      <c r="AC280" s="4"/>
      <c r="AD280" s="4"/>
      <c r="AE280" s="4"/>
      <c r="AF280" s="4"/>
      <c r="AG280" s="4"/>
      <c r="AH280" s="4"/>
      <c r="AI280" s="4"/>
      <c r="AJ280" s="246"/>
      <c r="AK280" s="246"/>
      <c r="AL280" s="129"/>
      <c r="AM280" s="129"/>
      <c r="AN280" s="129"/>
      <c r="AO280" s="246"/>
      <c r="AP280" s="246"/>
      <c r="AQ280" s="249"/>
      <c r="AR280" s="4"/>
      <c r="AS280" s="4"/>
      <c r="AT280" s="4"/>
      <c r="AU280" s="4"/>
      <c r="AV280" s="4"/>
      <c r="AW280" s="4"/>
      <c r="AX280" s="4"/>
      <c r="AY280" s="128"/>
      <c r="AZ280" s="4"/>
      <c r="BA280" s="4"/>
      <c r="BB280" s="4"/>
      <c r="BC280" s="4"/>
      <c r="BD280" s="4"/>
      <c r="BE280" s="4"/>
      <c r="BF280" s="4"/>
      <c r="BG280" s="4"/>
      <c r="BH280" s="4"/>
      <c r="BI280" s="567"/>
    </row>
    <row r="281" spans="1:61" ht="12.75" customHeight="1" x14ac:dyDescent="0.25">
      <c r="A281" s="4"/>
      <c r="B281" s="4"/>
      <c r="C281" s="4"/>
      <c r="D281" s="4"/>
      <c r="E281" s="128"/>
      <c r="F281" s="128"/>
      <c r="G281" s="753"/>
      <c r="H281" s="128"/>
      <c r="I281" s="128"/>
      <c r="J281" s="130"/>
      <c r="K281" s="128"/>
      <c r="L281" s="128"/>
      <c r="M281" s="130"/>
      <c r="N281" s="130"/>
      <c r="O281" s="130"/>
      <c r="P281" s="128"/>
      <c r="Q281" s="128"/>
      <c r="R281" s="128"/>
      <c r="S281" s="298"/>
      <c r="T281" s="4"/>
      <c r="U281" s="4"/>
      <c r="V281" s="4"/>
      <c r="W281" s="4"/>
      <c r="X281" s="4"/>
      <c r="Y281" s="128"/>
      <c r="Z281" s="128"/>
      <c r="AA281" s="128"/>
      <c r="AB281" s="4"/>
      <c r="AC281" s="4"/>
      <c r="AD281" s="4"/>
      <c r="AE281" s="4"/>
      <c r="AF281" s="4"/>
      <c r="AG281" s="4"/>
      <c r="AH281" s="4"/>
      <c r="AI281" s="4"/>
      <c r="AJ281" s="246"/>
      <c r="AK281" s="246"/>
      <c r="AL281" s="129"/>
      <c r="AM281" s="129"/>
      <c r="AN281" s="129"/>
      <c r="AO281" s="246"/>
      <c r="AP281" s="246"/>
      <c r="AQ281" s="249"/>
      <c r="AR281" s="4"/>
      <c r="AS281" s="4"/>
      <c r="AT281" s="4"/>
      <c r="AU281" s="4"/>
      <c r="AV281" s="4"/>
      <c r="AW281" s="4"/>
      <c r="AX281" s="4"/>
      <c r="AY281" s="128"/>
      <c r="AZ281" s="4"/>
      <c r="BA281" s="4"/>
      <c r="BB281" s="4"/>
      <c r="BC281" s="4"/>
      <c r="BD281" s="4"/>
      <c r="BE281" s="4"/>
      <c r="BF281" s="4"/>
      <c r="BG281" s="4"/>
      <c r="BH281" s="4"/>
      <c r="BI281" s="567"/>
    </row>
    <row r="282" spans="1:61" ht="12.75" customHeight="1" x14ac:dyDescent="0.25">
      <c r="A282" s="4"/>
      <c r="B282" s="4"/>
      <c r="C282" s="4"/>
      <c r="D282" s="4"/>
      <c r="E282" s="128"/>
      <c r="F282" s="128"/>
      <c r="G282" s="753"/>
      <c r="H282" s="128"/>
      <c r="I282" s="128"/>
      <c r="J282" s="130"/>
      <c r="K282" s="128"/>
      <c r="L282" s="128"/>
      <c r="M282" s="130"/>
      <c r="N282" s="130"/>
      <c r="O282" s="130"/>
      <c r="P282" s="128"/>
      <c r="Q282" s="128"/>
      <c r="R282" s="128"/>
      <c r="S282" s="298"/>
      <c r="T282" s="4"/>
      <c r="U282" s="4"/>
      <c r="V282" s="4"/>
      <c r="W282" s="4"/>
      <c r="X282" s="4"/>
      <c r="Y282" s="128"/>
      <c r="Z282" s="128"/>
      <c r="AA282" s="128"/>
      <c r="AB282" s="4"/>
      <c r="AC282" s="4"/>
      <c r="AD282" s="4"/>
      <c r="AE282" s="4"/>
      <c r="AF282" s="4"/>
      <c r="AG282" s="4"/>
      <c r="AH282" s="4"/>
      <c r="AI282" s="4"/>
      <c r="AJ282" s="246"/>
      <c r="AK282" s="246"/>
      <c r="AL282" s="129"/>
      <c r="AM282" s="129"/>
      <c r="AN282" s="129"/>
      <c r="AO282" s="246"/>
      <c r="AP282" s="246"/>
      <c r="AQ282" s="249"/>
      <c r="AR282" s="4"/>
      <c r="AS282" s="4"/>
      <c r="AT282" s="4"/>
      <c r="AU282" s="4"/>
      <c r="AV282" s="4"/>
      <c r="AW282" s="4"/>
      <c r="AX282" s="4"/>
      <c r="AY282" s="128"/>
      <c r="AZ282" s="4"/>
      <c r="BA282" s="4"/>
      <c r="BB282" s="4"/>
      <c r="BC282" s="4"/>
      <c r="BD282" s="4"/>
      <c r="BE282" s="4"/>
      <c r="BF282" s="4"/>
      <c r="BG282" s="4"/>
      <c r="BH282" s="4"/>
      <c r="BI282" s="567"/>
    </row>
    <row r="283" spans="1:61" ht="12.75" customHeight="1" x14ac:dyDescent="0.25">
      <c r="A283" s="4"/>
      <c r="B283" s="4"/>
      <c r="C283" s="4"/>
      <c r="D283" s="4"/>
      <c r="E283" s="128"/>
      <c r="F283" s="128"/>
      <c r="G283" s="753"/>
      <c r="H283" s="128"/>
      <c r="I283" s="128"/>
      <c r="J283" s="130"/>
      <c r="K283" s="128"/>
      <c r="L283" s="128"/>
      <c r="M283" s="130"/>
      <c r="N283" s="130"/>
      <c r="O283" s="130"/>
      <c r="P283" s="128"/>
      <c r="Q283" s="128"/>
      <c r="R283" s="128"/>
      <c r="S283" s="298"/>
      <c r="T283" s="4"/>
      <c r="U283" s="4"/>
      <c r="V283" s="4"/>
      <c r="W283" s="4"/>
      <c r="X283" s="4"/>
      <c r="Y283" s="128"/>
      <c r="Z283" s="128"/>
      <c r="AA283" s="128"/>
      <c r="AB283" s="4"/>
      <c r="AC283" s="4"/>
      <c r="AD283" s="4"/>
      <c r="AE283" s="4"/>
      <c r="AF283" s="4"/>
      <c r="AG283" s="4"/>
      <c r="AH283" s="4"/>
      <c r="AI283" s="4"/>
      <c r="AJ283" s="246"/>
      <c r="AK283" s="246"/>
      <c r="AL283" s="129"/>
      <c r="AM283" s="129"/>
      <c r="AN283" s="129"/>
      <c r="AO283" s="246"/>
      <c r="AP283" s="246"/>
      <c r="AQ283" s="249"/>
      <c r="AR283" s="4"/>
      <c r="AS283" s="4"/>
      <c r="AT283" s="4"/>
      <c r="AU283" s="4"/>
      <c r="AV283" s="4"/>
      <c r="AW283" s="4"/>
      <c r="AX283" s="4"/>
      <c r="AY283" s="128"/>
      <c r="AZ283" s="4"/>
      <c r="BA283" s="4"/>
      <c r="BB283" s="4"/>
      <c r="BC283" s="4"/>
      <c r="BD283" s="4"/>
      <c r="BE283" s="4"/>
      <c r="BF283" s="4"/>
      <c r="BG283" s="4"/>
      <c r="BH283" s="4"/>
      <c r="BI283" s="567"/>
    </row>
    <row r="284" spans="1:61" ht="12.75" customHeight="1" x14ac:dyDescent="0.25">
      <c r="A284" s="4"/>
      <c r="B284" s="4"/>
      <c r="C284" s="4"/>
      <c r="D284" s="4"/>
      <c r="E284" s="128"/>
      <c r="F284" s="128"/>
      <c r="G284" s="753"/>
      <c r="H284" s="128"/>
      <c r="I284" s="128"/>
      <c r="J284" s="130"/>
      <c r="K284" s="128"/>
      <c r="L284" s="128"/>
      <c r="M284" s="130"/>
      <c r="N284" s="130"/>
      <c r="O284" s="130"/>
      <c r="P284" s="128"/>
      <c r="Q284" s="128"/>
      <c r="R284" s="128"/>
      <c r="S284" s="298"/>
      <c r="T284" s="4"/>
      <c r="U284" s="4"/>
      <c r="V284" s="4"/>
      <c r="W284" s="4"/>
      <c r="X284" s="4"/>
      <c r="Y284" s="128"/>
      <c r="Z284" s="128"/>
      <c r="AA284" s="128"/>
      <c r="AB284" s="4"/>
      <c r="AC284" s="4"/>
      <c r="AD284" s="4"/>
      <c r="AE284" s="4"/>
      <c r="AF284" s="4"/>
      <c r="AG284" s="4"/>
      <c r="AH284" s="4"/>
      <c r="AI284" s="4"/>
      <c r="AJ284" s="246"/>
      <c r="AK284" s="246"/>
      <c r="AL284" s="129"/>
      <c r="AM284" s="129"/>
      <c r="AN284" s="129"/>
      <c r="AO284" s="246"/>
      <c r="AP284" s="246"/>
      <c r="AQ284" s="249"/>
      <c r="AR284" s="4"/>
      <c r="AS284" s="4"/>
      <c r="AT284" s="4"/>
      <c r="AU284" s="4"/>
      <c r="AV284" s="4"/>
      <c r="AW284" s="4"/>
      <c r="AX284" s="4"/>
      <c r="AY284" s="128"/>
      <c r="AZ284" s="4"/>
      <c r="BA284" s="4"/>
      <c r="BB284" s="4"/>
      <c r="BC284" s="4"/>
      <c r="BD284" s="4"/>
      <c r="BE284" s="4"/>
      <c r="BF284" s="4"/>
      <c r="BG284" s="4"/>
      <c r="BH284" s="4"/>
      <c r="BI284" s="567"/>
    </row>
    <row r="285" spans="1:61" ht="12.75" customHeight="1" x14ac:dyDescent="0.25">
      <c r="A285" s="4"/>
      <c r="B285" s="4"/>
      <c r="C285" s="4"/>
      <c r="D285" s="4"/>
      <c r="E285" s="128"/>
      <c r="F285" s="128"/>
      <c r="G285" s="753"/>
      <c r="H285" s="128"/>
      <c r="I285" s="128"/>
      <c r="J285" s="130"/>
      <c r="K285" s="128"/>
      <c r="L285" s="128"/>
      <c r="M285" s="130"/>
      <c r="N285" s="130"/>
      <c r="O285" s="130"/>
      <c r="P285" s="128"/>
      <c r="Q285" s="128"/>
      <c r="R285" s="128"/>
      <c r="S285" s="298"/>
      <c r="T285" s="4"/>
      <c r="U285" s="4"/>
      <c r="V285" s="4"/>
      <c r="W285" s="4"/>
      <c r="X285" s="4"/>
      <c r="Y285" s="128"/>
      <c r="Z285" s="128"/>
      <c r="AA285" s="128"/>
      <c r="AB285" s="4"/>
      <c r="AC285" s="4"/>
      <c r="AD285" s="4"/>
      <c r="AE285" s="4"/>
      <c r="AF285" s="4"/>
      <c r="AG285" s="4"/>
      <c r="AH285" s="4"/>
      <c r="AI285" s="4"/>
      <c r="AJ285" s="246"/>
      <c r="AK285" s="246"/>
      <c r="AL285" s="129"/>
      <c r="AM285" s="129"/>
      <c r="AN285" s="129"/>
      <c r="AO285" s="246"/>
      <c r="AP285" s="246"/>
      <c r="AQ285" s="249"/>
      <c r="AR285" s="4"/>
      <c r="AS285" s="4"/>
      <c r="AT285" s="4"/>
      <c r="AU285" s="4"/>
      <c r="AV285" s="4"/>
      <c r="AW285" s="4"/>
      <c r="AX285" s="4"/>
      <c r="AY285" s="128"/>
      <c r="AZ285" s="4"/>
      <c r="BA285" s="4"/>
      <c r="BB285" s="4"/>
      <c r="BC285" s="4"/>
      <c r="BD285" s="4"/>
      <c r="BE285" s="4"/>
      <c r="BF285" s="4"/>
      <c r="BG285" s="4"/>
      <c r="BH285" s="4"/>
      <c r="BI285" s="567"/>
    </row>
    <row r="286" spans="1:61" ht="12.75" customHeight="1" x14ac:dyDescent="0.25">
      <c r="A286" s="4"/>
      <c r="B286" s="4"/>
      <c r="C286" s="4"/>
      <c r="D286" s="4"/>
      <c r="E286" s="128"/>
      <c r="F286" s="128"/>
      <c r="G286" s="753"/>
      <c r="H286" s="128"/>
      <c r="I286" s="128"/>
      <c r="J286" s="130"/>
      <c r="K286" s="128"/>
      <c r="L286" s="128"/>
      <c r="M286" s="130"/>
      <c r="N286" s="130"/>
      <c r="O286" s="130"/>
      <c r="P286" s="128"/>
      <c r="Q286" s="128"/>
      <c r="R286" s="128"/>
      <c r="S286" s="298"/>
      <c r="T286" s="4"/>
      <c r="U286" s="4"/>
      <c r="V286" s="4"/>
      <c r="W286" s="4"/>
      <c r="X286" s="4"/>
      <c r="Y286" s="128"/>
      <c r="Z286" s="128"/>
      <c r="AA286" s="128"/>
      <c r="AB286" s="4"/>
      <c r="AC286" s="4"/>
      <c r="AD286" s="4"/>
      <c r="AE286" s="4"/>
      <c r="AF286" s="4"/>
      <c r="AG286" s="4"/>
      <c r="AH286" s="4"/>
      <c r="AI286" s="4"/>
      <c r="AJ286" s="246"/>
      <c r="AK286" s="246"/>
      <c r="AL286" s="129"/>
      <c r="AM286" s="129"/>
      <c r="AN286" s="129"/>
      <c r="AO286" s="246"/>
      <c r="AP286" s="246"/>
      <c r="AQ286" s="249"/>
      <c r="AR286" s="4"/>
      <c r="AS286" s="4"/>
      <c r="AT286" s="4"/>
      <c r="AU286" s="4"/>
      <c r="AV286" s="4"/>
      <c r="AW286" s="4"/>
      <c r="AX286" s="4"/>
      <c r="AY286" s="128"/>
      <c r="AZ286" s="4"/>
      <c r="BA286" s="4"/>
      <c r="BB286" s="4"/>
      <c r="BC286" s="4"/>
      <c r="BD286" s="4"/>
      <c r="BE286" s="4"/>
      <c r="BF286" s="4"/>
      <c r="BG286" s="4"/>
      <c r="BH286" s="4"/>
      <c r="BI286" s="567"/>
    </row>
    <row r="287" spans="1:61" ht="12.75" customHeight="1" x14ac:dyDescent="0.25">
      <c r="A287" s="4"/>
      <c r="B287" s="4"/>
      <c r="C287" s="4"/>
      <c r="D287" s="4"/>
      <c r="E287" s="128"/>
      <c r="F287" s="128"/>
      <c r="G287" s="753"/>
      <c r="H287" s="128"/>
      <c r="I287" s="128"/>
      <c r="J287" s="130"/>
      <c r="K287" s="128"/>
      <c r="L287" s="128"/>
      <c r="M287" s="130"/>
      <c r="N287" s="130"/>
      <c r="O287" s="130"/>
      <c r="P287" s="128"/>
      <c r="Q287" s="128"/>
      <c r="R287" s="128"/>
      <c r="S287" s="298"/>
      <c r="T287" s="4"/>
      <c r="U287" s="4"/>
      <c r="V287" s="4"/>
      <c r="W287" s="4"/>
      <c r="X287" s="4"/>
      <c r="Y287" s="128"/>
      <c r="Z287" s="128"/>
      <c r="AA287" s="128"/>
      <c r="AB287" s="4"/>
      <c r="AC287" s="4"/>
      <c r="AD287" s="4"/>
      <c r="AE287" s="4"/>
      <c r="AF287" s="4"/>
      <c r="AG287" s="4"/>
      <c r="AH287" s="4"/>
      <c r="AI287" s="4"/>
      <c r="AJ287" s="246"/>
      <c r="AK287" s="246"/>
      <c r="AL287" s="129"/>
      <c r="AM287" s="129"/>
      <c r="AN287" s="129"/>
      <c r="AO287" s="246"/>
      <c r="AP287" s="246"/>
      <c r="AQ287" s="249"/>
      <c r="AR287" s="4"/>
      <c r="AS287" s="4"/>
      <c r="AT287" s="4"/>
      <c r="AU287" s="4"/>
      <c r="AV287" s="4"/>
      <c r="AW287" s="4"/>
      <c r="AX287" s="4"/>
      <c r="AY287" s="128"/>
      <c r="AZ287" s="4"/>
      <c r="BA287" s="4"/>
      <c r="BB287" s="4"/>
      <c r="BC287" s="4"/>
      <c r="BD287" s="4"/>
      <c r="BE287" s="4"/>
      <c r="BF287" s="4"/>
      <c r="BG287" s="4"/>
      <c r="BH287" s="4"/>
      <c r="BI287" s="567"/>
    </row>
    <row r="288" spans="1:61" ht="12.75" customHeight="1" x14ac:dyDescent="0.25">
      <c r="A288" s="4"/>
      <c r="B288" s="4"/>
      <c r="C288" s="4"/>
      <c r="D288" s="4"/>
      <c r="E288" s="128"/>
      <c r="F288" s="128"/>
      <c r="G288" s="753"/>
      <c r="H288" s="128"/>
      <c r="I288" s="128"/>
      <c r="J288" s="130"/>
      <c r="K288" s="128"/>
      <c r="L288" s="128"/>
      <c r="M288" s="130"/>
      <c r="N288" s="130"/>
      <c r="O288" s="130"/>
      <c r="P288" s="128"/>
      <c r="Q288" s="128"/>
      <c r="R288" s="128"/>
      <c r="S288" s="298"/>
      <c r="T288" s="4"/>
      <c r="U288" s="4"/>
      <c r="V288" s="4"/>
      <c r="W288" s="4"/>
      <c r="X288" s="4"/>
      <c r="Y288" s="128"/>
      <c r="Z288" s="128"/>
      <c r="AA288" s="128"/>
      <c r="AB288" s="4"/>
      <c r="AC288" s="4"/>
      <c r="AD288" s="4"/>
      <c r="AE288" s="4"/>
      <c r="AF288" s="4"/>
      <c r="AG288" s="4"/>
      <c r="AH288" s="4"/>
      <c r="AI288" s="4"/>
      <c r="AJ288" s="246"/>
      <c r="AK288" s="246"/>
      <c r="AL288" s="129"/>
      <c r="AM288" s="129"/>
      <c r="AN288" s="129"/>
      <c r="AO288" s="246"/>
      <c r="AP288" s="246"/>
      <c r="AQ288" s="249"/>
      <c r="AR288" s="4"/>
      <c r="AS288" s="4"/>
      <c r="AT288" s="4"/>
      <c r="AU288" s="4"/>
      <c r="AV288" s="4"/>
      <c r="AW288" s="4"/>
      <c r="AX288" s="4"/>
      <c r="AY288" s="128"/>
      <c r="AZ288" s="4"/>
      <c r="BA288" s="4"/>
      <c r="BB288" s="4"/>
      <c r="BC288" s="4"/>
      <c r="BD288" s="4"/>
      <c r="BE288" s="4"/>
      <c r="BF288" s="4"/>
      <c r="BG288" s="4"/>
      <c r="BH288" s="4"/>
      <c r="BI288" s="567"/>
    </row>
    <row r="289" spans="1:61" ht="12.75" customHeight="1" x14ac:dyDescent="0.25">
      <c r="A289" s="4"/>
      <c r="B289" s="4"/>
      <c r="C289" s="4"/>
      <c r="D289" s="4"/>
      <c r="E289" s="128"/>
      <c r="F289" s="128"/>
      <c r="G289" s="753"/>
      <c r="H289" s="128"/>
      <c r="I289" s="128"/>
      <c r="J289" s="130"/>
      <c r="K289" s="128"/>
      <c r="L289" s="128"/>
      <c r="M289" s="130"/>
      <c r="N289" s="130"/>
      <c r="O289" s="130"/>
      <c r="P289" s="128"/>
      <c r="Q289" s="128"/>
      <c r="R289" s="128"/>
      <c r="S289" s="298"/>
      <c r="T289" s="4"/>
      <c r="U289" s="4"/>
      <c r="V289" s="4"/>
      <c r="W289" s="4"/>
      <c r="X289" s="4"/>
      <c r="Y289" s="128"/>
      <c r="Z289" s="128"/>
      <c r="AA289" s="128"/>
      <c r="AB289" s="4"/>
      <c r="AC289" s="4"/>
      <c r="AD289" s="4"/>
      <c r="AE289" s="4"/>
      <c r="AF289" s="4"/>
      <c r="AG289" s="4"/>
      <c r="AH289" s="4"/>
      <c r="AI289" s="4"/>
      <c r="AJ289" s="246"/>
      <c r="AK289" s="246"/>
      <c r="AL289" s="129"/>
      <c r="AM289" s="129"/>
      <c r="AN289" s="129"/>
      <c r="AO289" s="246"/>
      <c r="AP289" s="246"/>
      <c r="AQ289" s="249"/>
      <c r="AR289" s="4"/>
      <c r="AS289" s="4"/>
      <c r="AT289" s="4"/>
      <c r="AU289" s="4"/>
      <c r="AV289" s="4"/>
      <c r="AW289" s="4"/>
      <c r="AX289" s="4"/>
      <c r="AY289" s="128"/>
      <c r="AZ289" s="4"/>
      <c r="BA289" s="4"/>
      <c r="BB289" s="4"/>
      <c r="BC289" s="4"/>
      <c r="BD289" s="4"/>
      <c r="BE289" s="4"/>
      <c r="BF289" s="4"/>
      <c r="BG289" s="4"/>
      <c r="BH289" s="4"/>
      <c r="BI289" s="567"/>
    </row>
    <row r="290" spans="1:61" ht="12.75" customHeight="1" x14ac:dyDescent="0.25">
      <c r="A290" s="4"/>
      <c r="B290" s="4"/>
      <c r="C290" s="4"/>
      <c r="D290" s="4"/>
      <c r="E290" s="128"/>
      <c r="F290" s="128"/>
      <c r="G290" s="753"/>
      <c r="H290" s="128"/>
      <c r="I290" s="128"/>
      <c r="J290" s="130"/>
      <c r="K290" s="128"/>
      <c r="L290" s="128"/>
      <c r="M290" s="130"/>
      <c r="N290" s="130"/>
      <c r="O290" s="130"/>
      <c r="P290" s="128"/>
      <c r="Q290" s="128"/>
      <c r="R290" s="128"/>
      <c r="S290" s="298"/>
      <c r="T290" s="4"/>
      <c r="U290" s="4"/>
      <c r="V290" s="4"/>
      <c r="W290" s="4"/>
      <c r="X290" s="4"/>
      <c r="Y290" s="128"/>
      <c r="Z290" s="128"/>
      <c r="AA290" s="128"/>
      <c r="AB290" s="4"/>
      <c r="AC290" s="4"/>
      <c r="AD290" s="4"/>
      <c r="AE290" s="4"/>
      <c r="AF290" s="4"/>
      <c r="AG290" s="4"/>
      <c r="AH290" s="4"/>
      <c r="AI290" s="4"/>
      <c r="AJ290" s="246"/>
      <c r="AK290" s="246"/>
      <c r="AL290" s="129"/>
      <c r="AM290" s="129"/>
      <c r="AN290" s="129"/>
      <c r="AO290" s="246"/>
      <c r="AP290" s="246"/>
      <c r="AQ290" s="249"/>
      <c r="AR290" s="4"/>
      <c r="AS290" s="4"/>
      <c r="AT290" s="4"/>
      <c r="AU290" s="4"/>
      <c r="AV290" s="4"/>
      <c r="AW290" s="4"/>
      <c r="AX290" s="4"/>
      <c r="AY290" s="128"/>
      <c r="AZ290" s="4"/>
      <c r="BA290" s="4"/>
      <c r="BB290" s="4"/>
      <c r="BC290" s="4"/>
      <c r="BD290" s="4"/>
      <c r="BE290" s="4"/>
      <c r="BF290" s="4"/>
      <c r="BG290" s="4"/>
      <c r="BH290" s="4"/>
      <c r="BI290" s="567"/>
    </row>
    <row r="291" spans="1:61" ht="12.75" customHeight="1" x14ac:dyDescent="0.25">
      <c r="A291" s="4"/>
      <c r="B291" s="4"/>
      <c r="C291" s="4"/>
      <c r="D291" s="4"/>
      <c r="E291" s="128"/>
      <c r="F291" s="128"/>
      <c r="G291" s="753"/>
      <c r="H291" s="128"/>
      <c r="I291" s="128"/>
      <c r="J291" s="130"/>
      <c r="K291" s="128"/>
      <c r="L291" s="128"/>
      <c r="M291" s="130"/>
      <c r="N291" s="130"/>
      <c r="O291" s="130"/>
      <c r="P291" s="128"/>
      <c r="Q291" s="128"/>
      <c r="R291" s="128"/>
      <c r="S291" s="298"/>
      <c r="T291" s="4"/>
      <c r="U291" s="4"/>
      <c r="V291" s="4"/>
      <c r="W291" s="4"/>
      <c r="X291" s="4"/>
      <c r="Y291" s="128"/>
      <c r="Z291" s="128"/>
      <c r="AA291" s="128"/>
      <c r="AB291" s="4"/>
      <c r="AC291" s="4"/>
      <c r="AD291" s="4"/>
      <c r="AE291" s="4"/>
      <c r="AF291" s="4"/>
      <c r="AG291" s="4"/>
      <c r="AH291" s="4"/>
      <c r="AI291" s="4"/>
      <c r="AJ291" s="246"/>
      <c r="AK291" s="246"/>
      <c r="AL291" s="129"/>
      <c r="AM291" s="129"/>
      <c r="AN291" s="129"/>
      <c r="AO291" s="246"/>
      <c r="AP291" s="246"/>
      <c r="AQ291" s="249"/>
      <c r="AR291" s="4"/>
      <c r="AS291" s="4"/>
      <c r="AT291" s="4"/>
      <c r="AU291" s="4"/>
      <c r="AV291" s="4"/>
      <c r="AW291" s="4"/>
      <c r="AX291" s="4"/>
      <c r="AY291" s="128"/>
      <c r="AZ291" s="4"/>
      <c r="BA291" s="4"/>
      <c r="BB291" s="4"/>
      <c r="BC291" s="4"/>
      <c r="BD291" s="4"/>
      <c r="BE291" s="4"/>
      <c r="BF291" s="4"/>
      <c r="BG291" s="4"/>
      <c r="BH291" s="4"/>
      <c r="BI291" s="567"/>
    </row>
    <row r="292" spans="1:61" ht="12.75" customHeight="1" x14ac:dyDescent="0.25">
      <c r="A292" s="4"/>
      <c r="B292" s="4"/>
      <c r="C292" s="4"/>
      <c r="D292" s="4"/>
      <c r="E292" s="128"/>
      <c r="F292" s="128"/>
      <c r="G292" s="753"/>
      <c r="H292" s="128"/>
      <c r="I292" s="128"/>
      <c r="J292" s="130"/>
      <c r="K292" s="128"/>
      <c r="L292" s="128"/>
      <c r="M292" s="130"/>
      <c r="N292" s="130"/>
      <c r="O292" s="130"/>
      <c r="P292" s="128"/>
      <c r="Q292" s="128"/>
      <c r="R292" s="128"/>
      <c r="S292" s="298"/>
      <c r="T292" s="4"/>
      <c r="U292" s="4"/>
      <c r="V292" s="4"/>
      <c r="W292" s="4"/>
      <c r="X292" s="4"/>
      <c r="Y292" s="128"/>
      <c r="Z292" s="128"/>
      <c r="AA292" s="128"/>
      <c r="AB292" s="4"/>
      <c r="AC292" s="4"/>
      <c r="AD292" s="4"/>
      <c r="AE292" s="4"/>
      <c r="AF292" s="4"/>
      <c r="AG292" s="4"/>
      <c r="AH292" s="4"/>
      <c r="AI292" s="4"/>
      <c r="AJ292" s="246"/>
      <c r="AK292" s="246"/>
      <c r="AL292" s="129"/>
      <c r="AM292" s="129"/>
      <c r="AN292" s="129"/>
      <c r="AO292" s="246"/>
      <c r="AP292" s="246"/>
      <c r="AQ292" s="249"/>
      <c r="AR292" s="4"/>
      <c r="AS292" s="4"/>
      <c r="AT292" s="4"/>
      <c r="AU292" s="4"/>
      <c r="AV292" s="4"/>
      <c r="AW292" s="4"/>
      <c r="AX292" s="4"/>
      <c r="AY292" s="128"/>
      <c r="AZ292" s="4"/>
      <c r="BA292" s="4"/>
      <c r="BB292" s="4"/>
      <c r="BC292" s="4"/>
      <c r="BD292" s="4"/>
      <c r="BE292" s="4"/>
      <c r="BF292" s="4"/>
      <c r="BG292" s="4"/>
      <c r="BH292" s="4"/>
      <c r="BI292" s="567"/>
    </row>
    <row r="293" spans="1:61" ht="12.75" customHeight="1" x14ac:dyDescent="0.25">
      <c r="A293" s="4"/>
      <c r="B293" s="4"/>
      <c r="C293" s="4"/>
      <c r="D293" s="4"/>
      <c r="E293" s="128"/>
      <c r="F293" s="128"/>
      <c r="G293" s="753"/>
      <c r="H293" s="128"/>
      <c r="I293" s="128"/>
      <c r="J293" s="130"/>
      <c r="K293" s="128"/>
      <c r="L293" s="128"/>
      <c r="M293" s="130"/>
      <c r="N293" s="130"/>
      <c r="O293" s="130"/>
      <c r="P293" s="128"/>
      <c r="Q293" s="128"/>
      <c r="R293" s="128"/>
      <c r="S293" s="298"/>
      <c r="T293" s="4"/>
      <c r="U293" s="4"/>
      <c r="V293" s="4"/>
      <c r="W293" s="4"/>
      <c r="X293" s="4"/>
      <c r="Y293" s="128"/>
      <c r="Z293" s="128"/>
      <c r="AA293" s="128"/>
      <c r="AB293" s="4"/>
      <c r="AC293" s="4"/>
      <c r="AD293" s="4"/>
      <c r="AE293" s="4"/>
      <c r="AF293" s="4"/>
      <c r="AG293" s="4"/>
      <c r="AH293" s="4"/>
      <c r="AI293" s="4"/>
      <c r="AJ293" s="246"/>
      <c r="AK293" s="246"/>
      <c r="AL293" s="129"/>
      <c r="AM293" s="129"/>
      <c r="AN293" s="129"/>
      <c r="AO293" s="246"/>
      <c r="AP293" s="246"/>
      <c r="AQ293" s="249"/>
      <c r="AR293" s="4"/>
      <c r="AS293" s="4"/>
      <c r="AT293" s="4"/>
      <c r="AU293" s="4"/>
      <c r="AV293" s="4"/>
      <c r="AW293" s="4"/>
      <c r="AX293" s="4"/>
      <c r="AY293" s="128"/>
      <c r="AZ293" s="4"/>
      <c r="BA293" s="4"/>
      <c r="BB293" s="4"/>
      <c r="BC293" s="4"/>
      <c r="BD293" s="4"/>
      <c r="BE293" s="4"/>
      <c r="BF293" s="4"/>
      <c r="BG293" s="4"/>
      <c r="BH293" s="4"/>
      <c r="BI293" s="567"/>
    </row>
    <row r="294" spans="1:61" ht="12.75" customHeight="1" x14ac:dyDescent="0.25">
      <c r="A294" s="4"/>
      <c r="B294" s="4"/>
      <c r="C294" s="4"/>
      <c r="D294" s="4"/>
      <c r="E294" s="128"/>
      <c r="F294" s="128"/>
      <c r="G294" s="753"/>
      <c r="H294" s="128"/>
      <c r="I294" s="128"/>
      <c r="J294" s="130"/>
      <c r="K294" s="128"/>
      <c r="L294" s="128"/>
      <c r="M294" s="130"/>
      <c r="N294" s="130"/>
      <c r="O294" s="130"/>
      <c r="P294" s="128"/>
      <c r="Q294" s="128"/>
      <c r="R294" s="128"/>
      <c r="S294" s="298"/>
      <c r="T294" s="4"/>
      <c r="U294" s="4"/>
      <c r="V294" s="4"/>
      <c r="W294" s="4"/>
      <c r="X294" s="4"/>
      <c r="Y294" s="128"/>
      <c r="Z294" s="128"/>
      <c r="AA294" s="128"/>
      <c r="AB294" s="4"/>
      <c r="AC294" s="4"/>
      <c r="AD294" s="4"/>
      <c r="AE294" s="4"/>
      <c r="AF294" s="4"/>
      <c r="AG294" s="4"/>
      <c r="AH294" s="4"/>
      <c r="AI294" s="4"/>
      <c r="AJ294" s="246"/>
      <c r="AK294" s="246"/>
      <c r="AL294" s="129"/>
      <c r="AM294" s="129"/>
      <c r="AN294" s="129"/>
      <c r="AO294" s="246"/>
      <c r="AP294" s="246"/>
      <c r="AQ294" s="249"/>
      <c r="AR294" s="4"/>
      <c r="AS294" s="4"/>
      <c r="AT294" s="4"/>
      <c r="AU294" s="4"/>
      <c r="AV294" s="4"/>
      <c r="AW294" s="4"/>
      <c r="AX294" s="4"/>
      <c r="AY294" s="128"/>
      <c r="AZ294" s="4"/>
      <c r="BA294" s="4"/>
      <c r="BB294" s="4"/>
      <c r="BC294" s="4"/>
      <c r="BD294" s="4"/>
      <c r="BE294" s="4"/>
      <c r="BF294" s="4"/>
      <c r="BG294" s="4"/>
      <c r="BH294" s="4"/>
      <c r="BI294" s="567"/>
    </row>
    <row r="295" spans="1:61" ht="12.75" customHeight="1" x14ac:dyDescent="0.25">
      <c r="A295" s="4"/>
      <c r="B295" s="4"/>
      <c r="C295" s="4"/>
      <c r="D295" s="4"/>
      <c r="E295" s="128"/>
      <c r="F295" s="128"/>
      <c r="G295" s="753"/>
      <c r="H295" s="128"/>
      <c r="I295" s="128"/>
      <c r="J295" s="130"/>
      <c r="K295" s="128"/>
      <c r="L295" s="128"/>
      <c r="M295" s="130"/>
      <c r="N295" s="130"/>
      <c r="O295" s="130"/>
      <c r="P295" s="128"/>
      <c r="Q295" s="128"/>
      <c r="R295" s="128"/>
      <c r="S295" s="298"/>
      <c r="T295" s="4"/>
      <c r="U295" s="4"/>
      <c r="V295" s="4"/>
      <c r="W295" s="4"/>
      <c r="X295" s="4"/>
      <c r="Y295" s="128"/>
      <c r="Z295" s="128"/>
      <c r="AA295" s="128"/>
      <c r="AB295" s="4"/>
      <c r="AC295" s="4"/>
      <c r="AD295" s="4"/>
      <c r="AE295" s="4"/>
      <c r="AF295" s="4"/>
      <c r="AG295" s="4"/>
      <c r="AH295" s="4"/>
      <c r="AI295" s="4"/>
      <c r="AJ295" s="246"/>
      <c r="AK295" s="246"/>
      <c r="AL295" s="129"/>
      <c r="AM295" s="129"/>
      <c r="AN295" s="129"/>
      <c r="AO295" s="246"/>
      <c r="AP295" s="246"/>
      <c r="AQ295" s="249"/>
      <c r="AR295" s="4"/>
      <c r="AS295" s="4"/>
      <c r="AT295" s="4"/>
      <c r="AU295" s="4"/>
      <c r="AV295" s="4"/>
      <c r="AW295" s="4"/>
      <c r="AX295" s="4"/>
      <c r="AY295" s="128"/>
      <c r="AZ295" s="4"/>
      <c r="BA295" s="4"/>
      <c r="BB295" s="4"/>
      <c r="BC295" s="4"/>
      <c r="BD295" s="4"/>
      <c r="BE295" s="4"/>
      <c r="BF295" s="4"/>
      <c r="BG295" s="4"/>
      <c r="BH295" s="4"/>
      <c r="BI295" s="567"/>
    </row>
    <row r="296" spans="1:61" ht="12.75" customHeight="1" x14ac:dyDescent="0.25">
      <c r="A296" s="4"/>
      <c r="B296" s="4"/>
      <c r="C296" s="4"/>
      <c r="D296" s="4"/>
      <c r="E296" s="128"/>
      <c r="F296" s="128"/>
      <c r="G296" s="753"/>
      <c r="H296" s="128"/>
      <c r="I296" s="128"/>
      <c r="J296" s="130"/>
      <c r="K296" s="128"/>
      <c r="L296" s="128"/>
      <c r="M296" s="130"/>
      <c r="N296" s="130"/>
      <c r="O296" s="130"/>
      <c r="P296" s="128"/>
      <c r="Q296" s="128"/>
      <c r="R296" s="128"/>
      <c r="S296" s="298"/>
      <c r="T296" s="4"/>
      <c r="U296" s="4"/>
      <c r="V296" s="4"/>
      <c r="W296" s="4"/>
      <c r="X296" s="4"/>
      <c r="Y296" s="128"/>
      <c r="Z296" s="128"/>
      <c r="AA296" s="128"/>
      <c r="AB296" s="4"/>
      <c r="AC296" s="4"/>
      <c r="AD296" s="4"/>
      <c r="AE296" s="4"/>
      <c r="AF296" s="4"/>
      <c r="AG296" s="4"/>
      <c r="AH296" s="4"/>
      <c r="AI296" s="4"/>
      <c r="AJ296" s="246"/>
      <c r="AK296" s="246"/>
      <c r="AL296" s="129"/>
      <c r="AM296" s="129"/>
      <c r="AN296" s="129"/>
      <c r="AO296" s="246"/>
      <c r="AP296" s="246"/>
      <c r="AQ296" s="249"/>
      <c r="AR296" s="4"/>
      <c r="AS296" s="4"/>
      <c r="AT296" s="4"/>
      <c r="AU296" s="4"/>
      <c r="AV296" s="4"/>
      <c r="AW296" s="4"/>
      <c r="AX296" s="4"/>
      <c r="AY296" s="128"/>
      <c r="AZ296" s="4"/>
      <c r="BA296" s="4"/>
      <c r="BB296" s="4"/>
      <c r="BC296" s="4"/>
      <c r="BD296" s="4"/>
      <c r="BE296" s="4"/>
      <c r="BF296" s="4"/>
      <c r="BG296" s="4"/>
      <c r="BH296" s="4"/>
      <c r="BI296" s="567"/>
    </row>
    <row r="297" spans="1:61" ht="12.75" customHeight="1" x14ac:dyDescent="0.25">
      <c r="A297" s="4"/>
      <c r="B297" s="4"/>
      <c r="C297" s="4"/>
      <c r="D297" s="4"/>
      <c r="E297" s="128"/>
      <c r="F297" s="128"/>
      <c r="G297" s="753"/>
      <c r="H297" s="128"/>
      <c r="I297" s="128"/>
      <c r="J297" s="130"/>
      <c r="K297" s="128"/>
      <c r="L297" s="128"/>
      <c r="M297" s="130"/>
      <c r="N297" s="130"/>
      <c r="O297" s="130"/>
      <c r="P297" s="128"/>
      <c r="Q297" s="128"/>
      <c r="R297" s="128"/>
      <c r="S297" s="298"/>
      <c r="T297" s="4"/>
      <c r="U297" s="4"/>
      <c r="V297" s="4"/>
      <c r="W297" s="4"/>
      <c r="X297" s="4"/>
      <c r="Y297" s="128"/>
      <c r="Z297" s="128"/>
      <c r="AA297" s="128"/>
      <c r="AB297" s="4"/>
      <c r="AC297" s="4"/>
      <c r="AD297" s="4"/>
      <c r="AE297" s="4"/>
      <c r="AF297" s="4"/>
      <c r="AG297" s="4"/>
      <c r="AH297" s="4"/>
      <c r="AI297" s="4"/>
      <c r="AJ297" s="246"/>
      <c r="AK297" s="246"/>
      <c r="AL297" s="129"/>
      <c r="AM297" s="129"/>
      <c r="AN297" s="129"/>
      <c r="AO297" s="246"/>
      <c r="AP297" s="246"/>
      <c r="AQ297" s="249"/>
      <c r="AR297" s="4"/>
      <c r="AS297" s="4"/>
      <c r="AT297" s="4"/>
      <c r="AU297" s="4"/>
      <c r="AV297" s="4"/>
      <c r="AW297" s="4"/>
      <c r="AX297" s="4"/>
      <c r="AY297" s="128"/>
      <c r="AZ297" s="4"/>
      <c r="BA297" s="4"/>
      <c r="BB297" s="4"/>
      <c r="BC297" s="4"/>
      <c r="BD297" s="4"/>
      <c r="BE297" s="4"/>
      <c r="BF297" s="4"/>
      <c r="BG297" s="4"/>
      <c r="BH297" s="4"/>
      <c r="BI297" s="567"/>
    </row>
    <row r="298" spans="1:61" ht="12.75" customHeight="1" x14ac:dyDescent="0.25">
      <c r="A298" s="4"/>
      <c r="B298" s="4"/>
      <c r="C298" s="4"/>
      <c r="D298" s="4"/>
      <c r="E298" s="128"/>
      <c r="F298" s="128"/>
      <c r="G298" s="753"/>
      <c r="H298" s="128"/>
      <c r="I298" s="128"/>
      <c r="J298" s="130"/>
      <c r="K298" s="128"/>
      <c r="L298" s="128"/>
      <c r="M298" s="130"/>
      <c r="N298" s="130"/>
      <c r="O298" s="130"/>
      <c r="P298" s="128"/>
      <c r="Q298" s="128"/>
      <c r="R298" s="128"/>
      <c r="S298" s="298"/>
      <c r="T298" s="4"/>
      <c r="U298" s="4"/>
      <c r="V298" s="4"/>
      <c r="W298" s="4"/>
      <c r="X298" s="4"/>
      <c r="Y298" s="128"/>
      <c r="Z298" s="128"/>
      <c r="AA298" s="128"/>
      <c r="AB298" s="4"/>
      <c r="AC298" s="4"/>
      <c r="AD298" s="4"/>
      <c r="AE298" s="4"/>
      <c r="AF298" s="4"/>
      <c r="AG298" s="4"/>
      <c r="AH298" s="4"/>
      <c r="AI298" s="4"/>
      <c r="AJ298" s="246"/>
      <c r="AK298" s="246"/>
      <c r="AL298" s="129"/>
      <c r="AM298" s="129"/>
      <c r="AN298" s="129"/>
      <c r="AO298" s="246"/>
      <c r="AP298" s="246"/>
      <c r="AQ298" s="249"/>
      <c r="AR298" s="4"/>
      <c r="AS298" s="4"/>
      <c r="AT298" s="4"/>
      <c r="AU298" s="4"/>
      <c r="AV298" s="4"/>
      <c r="AW298" s="4"/>
      <c r="AX298" s="4"/>
      <c r="AY298" s="128"/>
      <c r="AZ298" s="4"/>
      <c r="BA298" s="4"/>
      <c r="BB298" s="4"/>
      <c r="BC298" s="4"/>
      <c r="BD298" s="4"/>
      <c r="BE298" s="4"/>
      <c r="BF298" s="4"/>
      <c r="BG298" s="4"/>
      <c r="BH298" s="4"/>
      <c r="BI298" s="567"/>
    </row>
    <row r="299" spans="1:61" ht="12.75" customHeight="1" x14ac:dyDescent="0.25">
      <c r="A299" s="4"/>
      <c r="B299" s="4"/>
      <c r="C299" s="4"/>
      <c r="D299" s="4"/>
      <c r="E299" s="128"/>
      <c r="F299" s="128"/>
      <c r="G299" s="753"/>
      <c r="H299" s="128"/>
      <c r="I299" s="128"/>
      <c r="J299" s="130"/>
      <c r="K299" s="128"/>
      <c r="L299" s="128"/>
      <c r="M299" s="130"/>
      <c r="N299" s="130"/>
      <c r="O299" s="130"/>
      <c r="P299" s="128"/>
      <c r="Q299" s="128"/>
      <c r="R299" s="128"/>
      <c r="S299" s="298"/>
      <c r="T299" s="4"/>
      <c r="U299" s="4"/>
      <c r="V299" s="4"/>
      <c r="W299" s="4"/>
      <c r="X299" s="4"/>
      <c r="Y299" s="128"/>
      <c r="Z299" s="128"/>
      <c r="AA299" s="128"/>
      <c r="AB299" s="4"/>
      <c r="AC299" s="4"/>
      <c r="AD299" s="4"/>
      <c r="AE299" s="4"/>
      <c r="AF299" s="4"/>
      <c r="AG299" s="4"/>
      <c r="AH299" s="4"/>
      <c r="AI299" s="4"/>
      <c r="AJ299" s="246"/>
      <c r="AK299" s="246"/>
      <c r="AL299" s="129"/>
      <c r="AM299" s="129"/>
      <c r="AN299" s="129"/>
      <c r="AO299" s="246"/>
      <c r="AP299" s="246"/>
      <c r="AQ299" s="249"/>
      <c r="AR299" s="4"/>
      <c r="AS299" s="4"/>
      <c r="AT299" s="4"/>
      <c r="AU299" s="4"/>
      <c r="AV299" s="4"/>
      <c r="AW299" s="4"/>
      <c r="AX299" s="4"/>
      <c r="AY299" s="128"/>
      <c r="AZ299" s="4"/>
      <c r="BA299" s="4"/>
      <c r="BB299" s="4"/>
      <c r="BC299" s="4"/>
      <c r="BD299" s="4"/>
      <c r="BE299" s="4"/>
      <c r="BF299" s="4"/>
      <c r="BG299" s="4"/>
      <c r="BH299" s="4"/>
      <c r="BI299" s="567"/>
    </row>
    <row r="300" spans="1:61" ht="12.75" customHeight="1" x14ac:dyDescent="0.25">
      <c r="A300" s="4"/>
      <c r="B300" s="4"/>
      <c r="C300" s="4"/>
      <c r="D300" s="4"/>
      <c r="E300" s="128"/>
      <c r="F300" s="128"/>
      <c r="G300" s="753"/>
      <c r="H300" s="128"/>
      <c r="I300" s="128"/>
      <c r="J300" s="130"/>
      <c r="K300" s="128"/>
      <c r="L300" s="128"/>
      <c r="M300" s="130"/>
      <c r="N300" s="130"/>
      <c r="O300" s="130"/>
      <c r="P300" s="128"/>
      <c r="Q300" s="128"/>
      <c r="R300" s="128"/>
      <c r="S300" s="298"/>
      <c r="T300" s="4"/>
      <c r="U300" s="4"/>
      <c r="V300" s="4"/>
      <c r="W300" s="4"/>
      <c r="X300" s="4"/>
      <c r="Y300" s="128"/>
      <c r="Z300" s="128"/>
      <c r="AA300" s="128"/>
      <c r="AB300" s="4"/>
      <c r="AC300" s="4"/>
      <c r="AD300" s="4"/>
      <c r="AE300" s="4"/>
      <c r="AF300" s="4"/>
      <c r="AG300" s="4"/>
      <c r="AH300" s="4"/>
      <c r="AI300" s="4"/>
      <c r="AJ300" s="246"/>
      <c r="AK300" s="246"/>
      <c r="AL300" s="129"/>
      <c r="AM300" s="129"/>
      <c r="AN300" s="129"/>
      <c r="AO300" s="246"/>
      <c r="AP300" s="246"/>
      <c r="AQ300" s="249"/>
      <c r="AR300" s="4"/>
      <c r="AS300" s="4"/>
      <c r="AT300" s="4"/>
      <c r="AU300" s="4"/>
      <c r="AV300" s="4"/>
      <c r="AW300" s="4"/>
      <c r="AX300" s="4"/>
      <c r="AY300" s="128"/>
      <c r="AZ300" s="4"/>
      <c r="BA300" s="4"/>
      <c r="BB300" s="4"/>
      <c r="BC300" s="4"/>
      <c r="BD300" s="4"/>
      <c r="BE300" s="4"/>
      <c r="BF300" s="4"/>
      <c r="BG300" s="4"/>
      <c r="BH300" s="4"/>
      <c r="BI300" s="567"/>
    </row>
    <row r="301" spans="1:61" ht="12.75" customHeight="1" x14ac:dyDescent="0.25">
      <c r="A301" s="4"/>
      <c r="B301" s="4"/>
      <c r="C301" s="4"/>
      <c r="D301" s="4"/>
      <c r="E301" s="128"/>
      <c r="F301" s="128"/>
      <c r="G301" s="753"/>
      <c r="H301" s="128"/>
      <c r="I301" s="128"/>
      <c r="J301" s="130"/>
      <c r="K301" s="128"/>
      <c r="L301" s="128"/>
      <c r="M301" s="130"/>
      <c r="N301" s="130"/>
      <c r="O301" s="130"/>
      <c r="P301" s="128"/>
      <c r="Q301" s="128"/>
      <c r="R301" s="128"/>
      <c r="S301" s="298"/>
      <c r="T301" s="4"/>
      <c r="U301" s="4"/>
      <c r="V301" s="4"/>
      <c r="W301" s="4"/>
      <c r="X301" s="4"/>
      <c r="Y301" s="128"/>
      <c r="Z301" s="128"/>
      <c r="AA301" s="128"/>
      <c r="AB301" s="4"/>
      <c r="AC301" s="4"/>
      <c r="AD301" s="4"/>
      <c r="AE301" s="4"/>
      <c r="AF301" s="4"/>
      <c r="AG301" s="4"/>
      <c r="AH301" s="4"/>
      <c r="AI301" s="4"/>
      <c r="AJ301" s="246"/>
      <c r="AK301" s="246"/>
      <c r="AL301" s="129"/>
      <c r="AM301" s="129"/>
      <c r="AN301" s="129"/>
      <c r="AO301" s="246"/>
      <c r="AP301" s="246"/>
      <c r="AQ301" s="249"/>
      <c r="AR301" s="4"/>
      <c r="AS301" s="4"/>
      <c r="AT301" s="4"/>
      <c r="AU301" s="4"/>
      <c r="AV301" s="4"/>
      <c r="AW301" s="4"/>
      <c r="AX301" s="4"/>
      <c r="AY301" s="128"/>
      <c r="AZ301" s="4"/>
      <c r="BA301" s="4"/>
      <c r="BB301" s="4"/>
      <c r="BC301" s="4"/>
      <c r="BD301" s="4"/>
      <c r="BE301" s="4"/>
      <c r="BF301" s="4"/>
      <c r="BG301" s="4"/>
      <c r="BH301" s="4"/>
      <c r="BI301" s="567"/>
    </row>
    <row r="302" spans="1:61" ht="12.75" customHeight="1" x14ac:dyDescent="0.25">
      <c r="A302" s="4"/>
      <c r="B302" s="4"/>
      <c r="C302" s="4"/>
      <c r="D302" s="4"/>
      <c r="E302" s="128"/>
      <c r="F302" s="128"/>
      <c r="G302" s="753"/>
      <c r="H302" s="128"/>
      <c r="I302" s="128"/>
      <c r="J302" s="130"/>
      <c r="K302" s="128"/>
      <c r="L302" s="128"/>
      <c r="M302" s="130"/>
      <c r="N302" s="130"/>
      <c r="O302" s="130"/>
      <c r="P302" s="128"/>
      <c r="Q302" s="128"/>
      <c r="R302" s="128"/>
      <c r="S302" s="298"/>
      <c r="T302" s="4"/>
      <c r="U302" s="4"/>
      <c r="V302" s="4"/>
      <c r="W302" s="4"/>
      <c r="X302" s="4"/>
      <c r="Y302" s="128"/>
      <c r="Z302" s="128"/>
      <c r="AA302" s="128"/>
      <c r="AB302" s="4"/>
      <c r="AC302" s="4"/>
      <c r="AD302" s="4"/>
      <c r="AE302" s="4"/>
      <c r="AF302" s="4"/>
      <c r="AG302" s="4"/>
      <c r="AH302" s="4"/>
      <c r="AI302" s="4"/>
      <c r="AJ302" s="246"/>
      <c r="AK302" s="246"/>
      <c r="AL302" s="129"/>
      <c r="AM302" s="129"/>
      <c r="AN302" s="129"/>
      <c r="AO302" s="246"/>
      <c r="AP302" s="246"/>
      <c r="AQ302" s="249"/>
      <c r="AR302" s="4"/>
      <c r="AS302" s="4"/>
      <c r="AT302" s="4"/>
      <c r="AU302" s="4"/>
      <c r="AV302" s="4"/>
      <c r="AW302" s="4"/>
      <c r="AX302" s="4"/>
      <c r="AY302" s="128"/>
      <c r="AZ302" s="4"/>
      <c r="BA302" s="4"/>
      <c r="BB302" s="4"/>
      <c r="BC302" s="4"/>
      <c r="BD302" s="4"/>
      <c r="BE302" s="4"/>
      <c r="BF302" s="4"/>
      <c r="BG302" s="4"/>
      <c r="BH302" s="4"/>
      <c r="BI302" s="567"/>
    </row>
    <row r="303" spans="1:61" ht="12.75" customHeight="1" x14ac:dyDescent="0.25">
      <c r="A303" s="4"/>
      <c r="B303" s="4"/>
      <c r="C303" s="4"/>
      <c r="D303" s="4"/>
      <c r="E303" s="128"/>
      <c r="F303" s="128"/>
      <c r="G303" s="753"/>
      <c r="H303" s="128"/>
      <c r="I303" s="128"/>
      <c r="J303" s="130"/>
      <c r="K303" s="128"/>
      <c r="L303" s="128"/>
      <c r="M303" s="130"/>
      <c r="N303" s="130"/>
      <c r="O303" s="130"/>
      <c r="P303" s="128"/>
      <c r="Q303" s="128"/>
      <c r="R303" s="128"/>
      <c r="S303" s="298"/>
      <c r="T303" s="4"/>
      <c r="U303" s="4"/>
      <c r="V303" s="4"/>
      <c r="W303" s="4"/>
      <c r="X303" s="4"/>
      <c r="Y303" s="128"/>
      <c r="Z303" s="128"/>
      <c r="AA303" s="128"/>
      <c r="AB303" s="4"/>
      <c r="AC303" s="4"/>
      <c r="AD303" s="4"/>
      <c r="AE303" s="4"/>
      <c r="AF303" s="4"/>
      <c r="AG303" s="4"/>
      <c r="AH303" s="4"/>
      <c r="AI303" s="4"/>
      <c r="AJ303" s="246"/>
      <c r="AK303" s="246"/>
      <c r="AL303" s="129"/>
      <c r="AM303" s="129"/>
      <c r="AN303" s="129"/>
      <c r="AO303" s="246"/>
      <c r="AP303" s="246"/>
      <c r="AQ303" s="249"/>
      <c r="AR303" s="4"/>
      <c r="AS303" s="4"/>
      <c r="AT303" s="4"/>
      <c r="AU303" s="4"/>
      <c r="AV303" s="4"/>
      <c r="AW303" s="4"/>
      <c r="AX303" s="4"/>
      <c r="AY303" s="128"/>
      <c r="AZ303" s="4"/>
      <c r="BA303" s="4"/>
      <c r="BB303" s="4"/>
      <c r="BC303" s="4"/>
      <c r="BD303" s="4"/>
      <c r="BE303" s="4"/>
      <c r="BF303" s="4"/>
      <c r="BG303" s="4"/>
      <c r="BH303" s="4"/>
      <c r="BI303" s="567"/>
    </row>
    <row r="304" spans="1:61" ht="12.75" customHeight="1" x14ac:dyDescent="0.25">
      <c r="A304" s="4"/>
      <c r="B304" s="4"/>
      <c r="C304" s="4"/>
      <c r="D304" s="4"/>
      <c r="E304" s="128"/>
      <c r="F304" s="128"/>
      <c r="G304" s="753"/>
      <c r="H304" s="128"/>
      <c r="I304" s="128"/>
      <c r="J304" s="130"/>
      <c r="K304" s="128"/>
      <c r="L304" s="128"/>
      <c r="M304" s="130"/>
      <c r="N304" s="130"/>
      <c r="O304" s="130"/>
      <c r="P304" s="128"/>
      <c r="Q304" s="128"/>
      <c r="R304" s="128"/>
      <c r="S304" s="298"/>
      <c r="T304" s="4"/>
      <c r="U304" s="4"/>
      <c r="V304" s="4"/>
      <c r="W304" s="4"/>
      <c r="X304" s="4"/>
      <c r="Y304" s="128"/>
      <c r="Z304" s="128"/>
      <c r="AA304" s="128"/>
      <c r="AB304" s="4"/>
      <c r="AC304" s="4"/>
      <c r="AD304" s="4"/>
      <c r="AE304" s="4"/>
      <c r="AF304" s="4"/>
      <c r="AG304" s="4"/>
      <c r="AH304" s="4"/>
      <c r="AI304" s="4"/>
      <c r="AJ304" s="246"/>
      <c r="AK304" s="246"/>
      <c r="AL304" s="129"/>
      <c r="AM304" s="129"/>
      <c r="AN304" s="129"/>
      <c r="AO304" s="246"/>
      <c r="AP304" s="246"/>
      <c r="AQ304" s="249"/>
      <c r="AR304" s="4"/>
      <c r="AS304" s="4"/>
      <c r="AT304" s="4"/>
      <c r="AU304" s="4"/>
      <c r="AV304" s="4"/>
      <c r="AW304" s="4"/>
      <c r="AX304" s="4"/>
      <c r="AY304" s="128"/>
      <c r="AZ304" s="4"/>
      <c r="BA304" s="4"/>
      <c r="BB304" s="4"/>
      <c r="BC304" s="4"/>
      <c r="BD304" s="4"/>
      <c r="BE304" s="4"/>
      <c r="BF304" s="4"/>
      <c r="BG304" s="4"/>
      <c r="BH304" s="4"/>
      <c r="BI304" s="567"/>
    </row>
    <row r="305" spans="1:61" ht="12.75" customHeight="1" x14ac:dyDescent="0.25">
      <c r="A305" s="4"/>
      <c r="B305" s="4"/>
      <c r="C305" s="4"/>
      <c r="D305" s="4"/>
      <c r="E305" s="128"/>
      <c r="F305" s="128"/>
      <c r="G305" s="753"/>
      <c r="H305" s="128"/>
      <c r="I305" s="128"/>
      <c r="J305" s="130"/>
      <c r="K305" s="128"/>
      <c r="L305" s="128"/>
      <c r="M305" s="130"/>
      <c r="N305" s="130"/>
      <c r="O305" s="130"/>
      <c r="P305" s="128"/>
      <c r="Q305" s="128"/>
      <c r="R305" s="128"/>
      <c r="S305" s="298"/>
      <c r="T305" s="4"/>
      <c r="U305" s="4"/>
      <c r="V305" s="4"/>
      <c r="W305" s="4"/>
      <c r="X305" s="4"/>
      <c r="Y305" s="128"/>
      <c r="Z305" s="128"/>
      <c r="AA305" s="128"/>
      <c r="AB305" s="4"/>
      <c r="AC305" s="4"/>
      <c r="AD305" s="4"/>
      <c r="AE305" s="4"/>
      <c r="AF305" s="4"/>
      <c r="AG305" s="4"/>
      <c r="AH305" s="4"/>
      <c r="AI305" s="4"/>
      <c r="AJ305" s="246"/>
      <c r="AK305" s="246"/>
      <c r="AL305" s="129"/>
      <c r="AM305" s="129"/>
      <c r="AN305" s="129"/>
      <c r="AO305" s="246"/>
      <c r="AP305" s="246"/>
      <c r="AQ305" s="249"/>
      <c r="AR305" s="4"/>
      <c r="AS305" s="4"/>
      <c r="AT305" s="4"/>
      <c r="AU305" s="4"/>
      <c r="AV305" s="4"/>
      <c r="AW305" s="4"/>
      <c r="AX305" s="4"/>
      <c r="AY305" s="128"/>
      <c r="AZ305" s="4"/>
      <c r="BA305" s="4"/>
      <c r="BB305" s="4"/>
      <c r="BC305" s="4"/>
      <c r="BD305" s="4"/>
      <c r="BE305" s="4"/>
      <c r="BF305" s="4"/>
      <c r="BG305" s="4"/>
      <c r="BH305" s="4"/>
      <c r="BI305" s="567"/>
    </row>
    <row r="306" spans="1:61" ht="12.75" customHeight="1" x14ac:dyDescent="0.25">
      <c r="A306" s="4"/>
      <c r="B306" s="4"/>
      <c r="C306" s="4"/>
      <c r="D306" s="4"/>
      <c r="E306" s="128"/>
      <c r="F306" s="128"/>
      <c r="G306" s="753"/>
      <c r="H306" s="128"/>
      <c r="I306" s="128"/>
      <c r="J306" s="130"/>
      <c r="K306" s="128"/>
      <c r="L306" s="128"/>
      <c r="M306" s="130"/>
      <c r="N306" s="130"/>
      <c r="O306" s="130"/>
      <c r="P306" s="128"/>
      <c r="Q306" s="128"/>
      <c r="R306" s="128"/>
      <c r="S306" s="298"/>
      <c r="T306" s="4"/>
      <c r="U306" s="4"/>
      <c r="V306" s="4"/>
      <c r="W306" s="4"/>
      <c r="X306" s="4"/>
      <c r="Y306" s="128"/>
      <c r="Z306" s="128"/>
      <c r="AA306" s="128"/>
      <c r="AB306" s="4"/>
      <c r="AC306" s="4"/>
      <c r="AD306" s="4"/>
      <c r="AE306" s="4"/>
      <c r="AF306" s="4"/>
      <c r="AG306" s="4"/>
      <c r="AH306" s="4"/>
      <c r="AI306" s="4"/>
      <c r="AJ306" s="246"/>
      <c r="AK306" s="246"/>
      <c r="AL306" s="129"/>
      <c r="AM306" s="129"/>
      <c r="AN306" s="129"/>
      <c r="AO306" s="246"/>
      <c r="AP306" s="246"/>
      <c r="AQ306" s="249"/>
      <c r="AR306" s="4"/>
      <c r="AS306" s="4"/>
      <c r="AT306" s="4"/>
      <c r="AU306" s="4"/>
      <c r="AV306" s="4"/>
      <c r="AW306" s="4"/>
      <c r="AX306" s="4"/>
      <c r="AY306" s="128"/>
      <c r="AZ306" s="4"/>
      <c r="BA306" s="4"/>
      <c r="BB306" s="4"/>
      <c r="BC306" s="4"/>
      <c r="BD306" s="4"/>
      <c r="BE306" s="4"/>
      <c r="BF306" s="4"/>
      <c r="BG306" s="4"/>
      <c r="BH306" s="4"/>
      <c r="BI306" s="567"/>
    </row>
    <row r="307" spans="1:61" ht="12.75" customHeight="1" x14ac:dyDescent="0.25">
      <c r="A307" s="4"/>
      <c r="B307" s="4"/>
      <c r="C307" s="4"/>
      <c r="D307" s="4"/>
      <c r="E307" s="128"/>
      <c r="F307" s="128"/>
      <c r="G307" s="753"/>
      <c r="H307" s="128"/>
      <c r="I307" s="128"/>
      <c r="J307" s="130"/>
      <c r="K307" s="128"/>
      <c r="L307" s="128"/>
      <c r="M307" s="130"/>
      <c r="N307" s="130"/>
      <c r="O307" s="130"/>
      <c r="P307" s="128"/>
      <c r="Q307" s="128"/>
      <c r="R307" s="128"/>
      <c r="S307" s="298"/>
      <c r="T307" s="4"/>
      <c r="U307" s="4"/>
      <c r="V307" s="4"/>
      <c r="W307" s="4"/>
      <c r="X307" s="4"/>
      <c r="Y307" s="128"/>
      <c r="Z307" s="128"/>
      <c r="AA307" s="128"/>
      <c r="AB307" s="4"/>
      <c r="AC307" s="4"/>
      <c r="AD307" s="4"/>
      <c r="AE307" s="4"/>
      <c r="AF307" s="4"/>
      <c r="AG307" s="4"/>
      <c r="AH307" s="4"/>
      <c r="AI307" s="4"/>
      <c r="AJ307" s="246"/>
      <c r="AK307" s="246"/>
      <c r="AL307" s="129"/>
      <c r="AM307" s="129"/>
      <c r="AN307" s="129"/>
      <c r="AO307" s="246"/>
      <c r="AP307" s="246"/>
      <c r="AQ307" s="249"/>
      <c r="AR307" s="4"/>
      <c r="AS307" s="4"/>
      <c r="AT307" s="4"/>
      <c r="AU307" s="4"/>
      <c r="AV307" s="4"/>
      <c r="AW307" s="4"/>
      <c r="AX307" s="4"/>
      <c r="AY307" s="128"/>
      <c r="AZ307" s="4"/>
      <c r="BA307" s="4"/>
      <c r="BB307" s="4"/>
      <c r="BC307" s="4"/>
      <c r="BD307" s="4"/>
      <c r="BE307" s="4"/>
      <c r="BF307" s="4"/>
      <c r="BG307" s="4"/>
      <c r="BH307" s="4"/>
      <c r="BI307" s="567"/>
    </row>
    <row r="308" spans="1:61" ht="12.75" customHeight="1" x14ac:dyDescent="0.25">
      <c r="A308" s="4"/>
      <c r="B308" s="4"/>
      <c r="C308" s="4"/>
      <c r="D308" s="4"/>
      <c r="E308" s="128"/>
      <c r="F308" s="128"/>
      <c r="G308" s="753"/>
      <c r="H308" s="128"/>
      <c r="I308" s="128"/>
      <c r="J308" s="130"/>
      <c r="K308" s="128"/>
      <c r="L308" s="128"/>
      <c r="M308" s="130"/>
      <c r="N308" s="130"/>
      <c r="O308" s="130"/>
      <c r="P308" s="128"/>
      <c r="Q308" s="128"/>
      <c r="R308" s="128"/>
      <c r="S308" s="298"/>
      <c r="T308" s="4"/>
      <c r="U308" s="4"/>
      <c r="V308" s="4"/>
      <c r="W308" s="4"/>
      <c r="X308" s="4"/>
      <c r="Y308" s="128"/>
      <c r="Z308" s="128"/>
      <c r="AA308" s="128"/>
      <c r="AB308" s="4"/>
      <c r="AC308" s="4"/>
      <c r="AD308" s="4"/>
      <c r="AE308" s="4"/>
      <c r="AF308" s="4"/>
      <c r="AG308" s="4"/>
      <c r="AH308" s="4"/>
      <c r="AI308" s="4"/>
      <c r="AJ308" s="246"/>
      <c r="AK308" s="246"/>
      <c r="AL308" s="129"/>
      <c r="AM308" s="129"/>
      <c r="AN308" s="129"/>
      <c r="AO308" s="246"/>
      <c r="AP308" s="246"/>
      <c r="AQ308" s="249"/>
      <c r="AR308" s="4"/>
      <c r="AS308" s="4"/>
      <c r="AT308" s="4"/>
      <c r="AU308" s="4"/>
      <c r="AV308" s="4"/>
      <c r="AW308" s="4"/>
      <c r="AX308" s="4"/>
      <c r="AY308" s="128"/>
      <c r="AZ308" s="4"/>
      <c r="BA308" s="4"/>
      <c r="BB308" s="4"/>
      <c r="BC308" s="4"/>
      <c r="BD308" s="4"/>
      <c r="BE308" s="4"/>
      <c r="BF308" s="4"/>
      <c r="BG308" s="4"/>
      <c r="BH308" s="4"/>
      <c r="BI308" s="567"/>
    </row>
    <row r="309" spans="1:61" ht="12.75" customHeight="1" x14ac:dyDescent="0.25">
      <c r="A309" s="4"/>
      <c r="B309" s="4"/>
      <c r="C309" s="4"/>
      <c r="D309" s="4"/>
      <c r="E309" s="128"/>
      <c r="F309" s="128"/>
      <c r="G309" s="753"/>
      <c r="H309" s="128"/>
      <c r="I309" s="128"/>
      <c r="J309" s="130"/>
      <c r="K309" s="128"/>
      <c r="L309" s="128"/>
      <c r="M309" s="130"/>
      <c r="N309" s="130"/>
      <c r="O309" s="130"/>
      <c r="P309" s="128"/>
      <c r="Q309" s="128"/>
      <c r="R309" s="128"/>
      <c r="S309" s="298"/>
      <c r="T309" s="4"/>
      <c r="U309" s="4"/>
      <c r="V309" s="4"/>
      <c r="W309" s="4"/>
      <c r="X309" s="4"/>
      <c r="Y309" s="128"/>
      <c r="Z309" s="128"/>
      <c r="AA309" s="128"/>
      <c r="AB309" s="4"/>
      <c r="AC309" s="4"/>
      <c r="AD309" s="4"/>
      <c r="AE309" s="4"/>
      <c r="AF309" s="4"/>
      <c r="AG309" s="4"/>
      <c r="AH309" s="4"/>
      <c r="AI309" s="4"/>
      <c r="AJ309" s="246"/>
      <c r="AK309" s="246"/>
      <c r="AL309" s="129"/>
      <c r="AM309" s="129"/>
      <c r="AN309" s="129"/>
      <c r="AO309" s="246"/>
      <c r="AP309" s="246"/>
      <c r="AQ309" s="249"/>
      <c r="AR309" s="4"/>
      <c r="AS309" s="4"/>
      <c r="AT309" s="4"/>
      <c r="AU309" s="4"/>
      <c r="AV309" s="4"/>
      <c r="AW309" s="4"/>
      <c r="AX309" s="4"/>
      <c r="AY309" s="128"/>
      <c r="AZ309" s="4"/>
      <c r="BA309" s="4"/>
      <c r="BB309" s="4"/>
      <c r="BC309" s="4"/>
      <c r="BD309" s="4"/>
      <c r="BE309" s="4"/>
      <c r="BF309" s="4"/>
      <c r="BG309" s="4"/>
      <c r="BH309" s="4"/>
      <c r="BI309" s="567"/>
    </row>
    <row r="310" spans="1:61" ht="12.75" customHeight="1" x14ac:dyDescent="0.25">
      <c r="A310" s="4"/>
      <c r="B310" s="4"/>
      <c r="C310" s="4"/>
      <c r="D310" s="4"/>
      <c r="E310" s="128"/>
      <c r="F310" s="128"/>
      <c r="G310" s="753"/>
      <c r="H310" s="128"/>
      <c r="I310" s="128"/>
      <c r="J310" s="130"/>
      <c r="K310" s="128"/>
      <c r="L310" s="128"/>
      <c r="M310" s="130"/>
      <c r="N310" s="130"/>
      <c r="O310" s="130"/>
      <c r="P310" s="128"/>
      <c r="Q310" s="128"/>
      <c r="R310" s="128"/>
      <c r="S310" s="298"/>
      <c r="T310" s="4"/>
      <c r="U310" s="4"/>
      <c r="V310" s="4"/>
      <c r="W310" s="4"/>
      <c r="X310" s="4"/>
      <c r="Y310" s="128"/>
      <c r="Z310" s="128"/>
      <c r="AA310" s="128"/>
      <c r="AB310" s="4"/>
      <c r="AC310" s="4"/>
      <c r="AD310" s="4"/>
      <c r="AE310" s="4"/>
      <c r="AF310" s="4"/>
      <c r="AG310" s="4"/>
      <c r="AH310" s="4"/>
      <c r="AI310" s="4"/>
      <c r="AJ310" s="246"/>
      <c r="AK310" s="246"/>
      <c r="AL310" s="129"/>
      <c r="AM310" s="129"/>
      <c r="AN310" s="129"/>
      <c r="AO310" s="246"/>
      <c r="AP310" s="246"/>
      <c r="AQ310" s="249"/>
      <c r="AR310" s="4"/>
      <c r="AS310" s="4"/>
      <c r="AT310" s="4"/>
      <c r="AU310" s="4"/>
      <c r="AV310" s="4"/>
      <c r="AW310" s="4"/>
      <c r="AX310" s="4"/>
      <c r="AY310" s="128"/>
      <c r="AZ310" s="4"/>
      <c r="BA310" s="4"/>
      <c r="BB310" s="4"/>
      <c r="BC310" s="4"/>
      <c r="BD310" s="4"/>
      <c r="BE310" s="4"/>
      <c r="BF310" s="4"/>
      <c r="BG310" s="4"/>
      <c r="BH310" s="4"/>
      <c r="BI310" s="567"/>
    </row>
    <row r="311" spans="1:61" ht="12.75" customHeight="1" x14ac:dyDescent="0.25">
      <c r="A311" s="4"/>
      <c r="B311" s="4"/>
      <c r="C311" s="4"/>
      <c r="D311" s="4"/>
      <c r="E311" s="128"/>
      <c r="F311" s="128"/>
      <c r="G311" s="753"/>
      <c r="H311" s="128"/>
      <c r="I311" s="128"/>
      <c r="J311" s="130"/>
      <c r="K311" s="128"/>
      <c r="L311" s="128"/>
      <c r="M311" s="130"/>
      <c r="N311" s="130"/>
      <c r="O311" s="130"/>
      <c r="P311" s="128"/>
      <c r="Q311" s="128"/>
      <c r="R311" s="128"/>
      <c r="S311" s="298"/>
      <c r="T311" s="4"/>
      <c r="U311" s="4"/>
      <c r="V311" s="4"/>
      <c r="W311" s="4"/>
      <c r="X311" s="4"/>
      <c r="Y311" s="128"/>
      <c r="Z311" s="128"/>
      <c r="AA311" s="128"/>
      <c r="AB311" s="4"/>
      <c r="AC311" s="4"/>
      <c r="AD311" s="4"/>
      <c r="AE311" s="4"/>
      <c r="AF311" s="4"/>
      <c r="AG311" s="4"/>
      <c r="AH311" s="4"/>
      <c r="AI311" s="4"/>
      <c r="AJ311" s="246"/>
      <c r="AK311" s="246"/>
      <c r="AL311" s="129"/>
      <c r="AM311" s="129"/>
      <c r="AN311" s="129"/>
      <c r="AO311" s="246"/>
      <c r="AP311" s="246"/>
      <c r="AQ311" s="249"/>
      <c r="AR311" s="4"/>
      <c r="AS311" s="4"/>
      <c r="AT311" s="4"/>
      <c r="AU311" s="4"/>
      <c r="AV311" s="4"/>
      <c r="AW311" s="4"/>
      <c r="AX311" s="4"/>
      <c r="AY311" s="128"/>
      <c r="AZ311" s="4"/>
      <c r="BA311" s="4"/>
      <c r="BB311" s="4"/>
      <c r="BC311" s="4"/>
      <c r="BD311" s="4"/>
      <c r="BE311" s="4"/>
      <c r="BF311" s="4"/>
      <c r="BG311" s="4"/>
      <c r="BH311" s="4"/>
      <c r="BI311" s="567"/>
    </row>
    <row r="312" spans="1:61" ht="12.75" customHeight="1" x14ac:dyDescent="0.25">
      <c r="A312" s="4"/>
      <c r="B312" s="4"/>
      <c r="C312" s="4"/>
      <c r="D312" s="4"/>
      <c r="E312" s="128"/>
      <c r="F312" s="128"/>
      <c r="G312" s="753"/>
      <c r="H312" s="128"/>
      <c r="I312" s="128"/>
      <c r="J312" s="130"/>
      <c r="K312" s="128"/>
      <c r="L312" s="128"/>
      <c r="M312" s="130"/>
      <c r="N312" s="130"/>
      <c r="O312" s="130"/>
      <c r="P312" s="128"/>
      <c r="Q312" s="128"/>
      <c r="R312" s="128"/>
      <c r="S312" s="298"/>
      <c r="T312" s="4"/>
      <c r="U312" s="4"/>
      <c r="V312" s="4"/>
      <c r="W312" s="4"/>
      <c r="X312" s="4"/>
      <c r="Y312" s="128"/>
      <c r="Z312" s="128"/>
      <c r="AA312" s="128"/>
      <c r="AB312" s="4"/>
      <c r="AC312" s="4"/>
      <c r="AD312" s="4"/>
      <c r="AE312" s="4"/>
      <c r="AF312" s="4"/>
      <c r="AG312" s="4"/>
      <c r="AH312" s="4"/>
      <c r="AI312" s="4"/>
      <c r="AJ312" s="246"/>
      <c r="AK312" s="246"/>
      <c r="AL312" s="129"/>
      <c r="AM312" s="129"/>
      <c r="AN312" s="129"/>
      <c r="AO312" s="246"/>
      <c r="AP312" s="246"/>
      <c r="AQ312" s="249"/>
      <c r="AR312" s="4"/>
      <c r="AS312" s="4"/>
      <c r="AT312" s="4"/>
      <c r="AU312" s="4"/>
      <c r="AV312" s="4"/>
      <c r="AW312" s="4"/>
      <c r="AX312" s="4"/>
      <c r="AY312" s="128"/>
      <c r="AZ312" s="4"/>
      <c r="BA312" s="4"/>
      <c r="BB312" s="4"/>
      <c r="BC312" s="4"/>
      <c r="BD312" s="4"/>
      <c r="BE312" s="4"/>
      <c r="BF312" s="4"/>
      <c r="BG312" s="4"/>
      <c r="BH312" s="4"/>
      <c r="BI312" s="567"/>
    </row>
    <row r="313" spans="1:61" ht="12.75" customHeight="1" x14ac:dyDescent="0.25">
      <c r="A313" s="4"/>
      <c r="B313" s="4"/>
      <c r="C313" s="4"/>
      <c r="D313" s="4"/>
      <c r="E313" s="128"/>
      <c r="F313" s="128"/>
      <c r="G313" s="753"/>
      <c r="H313" s="128"/>
      <c r="I313" s="128"/>
      <c r="J313" s="130"/>
      <c r="K313" s="128"/>
      <c r="L313" s="128"/>
      <c r="M313" s="130"/>
      <c r="N313" s="130"/>
      <c r="O313" s="130"/>
      <c r="P313" s="128"/>
      <c r="Q313" s="128"/>
      <c r="R313" s="128"/>
      <c r="S313" s="298"/>
      <c r="T313" s="4"/>
      <c r="U313" s="4"/>
      <c r="V313" s="4"/>
      <c r="W313" s="4"/>
      <c r="X313" s="4"/>
      <c r="Y313" s="128"/>
      <c r="Z313" s="128"/>
      <c r="AA313" s="128"/>
      <c r="AB313" s="4"/>
      <c r="AC313" s="4"/>
      <c r="AD313" s="4"/>
      <c r="AE313" s="4"/>
      <c r="AF313" s="4"/>
      <c r="AG313" s="4"/>
      <c r="AH313" s="4"/>
      <c r="AI313" s="4"/>
      <c r="AJ313" s="246"/>
      <c r="AK313" s="246"/>
      <c r="AL313" s="129"/>
      <c r="AM313" s="129"/>
      <c r="AN313" s="129"/>
      <c r="AO313" s="246"/>
      <c r="AP313" s="246"/>
      <c r="AQ313" s="249"/>
      <c r="AR313" s="4"/>
      <c r="AS313" s="4"/>
      <c r="AT313" s="4"/>
      <c r="AU313" s="4"/>
      <c r="AV313" s="4"/>
      <c r="AW313" s="4"/>
      <c r="AX313" s="4"/>
      <c r="AY313" s="128"/>
      <c r="AZ313" s="4"/>
      <c r="BA313" s="4"/>
      <c r="BB313" s="4"/>
      <c r="BC313" s="4"/>
      <c r="BD313" s="4"/>
      <c r="BE313" s="4"/>
      <c r="BF313" s="4"/>
      <c r="BG313" s="4"/>
      <c r="BH313" s="4"/>
      <c r="BI313" s="567"/>
    </row>
    <row r="314" spans="1:61" ht="12.75" customHeight="1" x14ac:dyDescent="0.25">
      <c r="A314" s="4"/>
      <c r="B314" s="4"/>
      <c r="C314" s="4"/>
      <c r="D314" s="4"/>
      <c r="E314" s="128"/>
      <c r="F314" s="128"/>
      <c r="G314" s="753"/>
      <c r="H314" s="128"/>
      <c r="I314" s="128"/>
      <c r="J314" s="130"/>
      <c r="K314" s="128"/>
      <c r="L314" s="128"/>
      <c r="M314" s="130"/>
      <c r="N314" s="130"/>
      <c r="O314" s="130"/>
      <c r="P314" s="128"/>
      <c r="Q314" s="128"/>
      <c r="R314" s="128"/>
      <c r="S314" s="298"/>
      <c r="T314" s="4"/>
      <c r="U314" s="4"/>
      <c r="V314" s="4"/>
      <c r="W314" s="4"/>
      <c r="X314" s="4"/>
      <c r="Y314" s="128"/>
      <c r="Z314" s="128"/>
      <c r="AA314" s="128"/>
      <c r="AB314" s="4"/>
      <c r="AC314" s="4"/>
      <c r="AD314" s="4"/>
      <c r="AE314" s="4"/>
      <c r="AF314" s="4"/>
      <c r="AG314" s="4"/>
      <c r="AH314" s="4"/>
      <c r="AI314" s="4"/>
      <c r="AJ314" s="246"/>
      <c r="AK314" s="246"/>
      <c r="AL314" s="129"/>
      <c r="AM314" s="129"/>
      <c r="AN314" s="129"/>
      <c r="AO314" s="246"/>
      <c r="AP314" s="246"/>
      <c r="AQ314" s="249"/>
      <c r="AR314" s="4"/>
      <c r="AS314" s="4"/>
      <c r="AT314" s="4"/>
      <c r="AU314" s="4"/>
      <c r="AV314" s="4"/>
      <c r="AW314" s="4"/>
      <c r="AX314" s="4"/>
      <c r="AY314" s="128"/>
      <c r="AZ314" s="4"/>
      <c r="BA314" s="4"/>
      <c r="BB314" s="4"/>
      <c r="BC314" s="4"/>
      <c r="BD314" s="4"/>
      <c r="BE314" s="4"/>
      <c r="BF314" s="4"/>
      <c r="BG314" s="4"/>
      <c r="BH314" s="4"/>
      <c r="BI314" s="567"/>
    </row>
    <row r="315" spans="1:61" ht="12.75" customHeight="1" x14ac:dyDescent="0.25">
      <c r="A315" s="4"/>
      <c r="B315" s="4"/>
      <c r="C315" s="4"/>
      <c r="D315" s="4"/>
      <c r="E315" s="128"/>
      <c r="F315" s="128"/>
      <c r="G315" s="753"/>
      <c r="H315" s="128"/>
      <c r="I315" s="128"/>
      <c r="J315" s="130"/>
      <c r="K315" s="128"/>
      <c r="L315" s="128"/>
      <c r="M315" s="130"/>
      <c r="N315" s="130"/>
      <c r="O315" s="130"/>
      <c r="P315" s="128"/>
      <c r="Q315" s="128"/>
      <c r="R315" s="128"/>
      <c r="S315" s="298"/>
      <c r="T315" s="4"/>
      <c r="U315" s="4"/>
      <c r="V315" s="4"/>
      <c r="W315" s="4"/>
      <c r="X315" s="4"/>
      <c r="Y315" s="128"/>
      <c r="Z315" s="128"/>
      <c r="AA315" s="128"/>
      <c r="AB315" s="4"/>
      <c r="AC315" s="4"/>
      <c r="AD315" s="4"/>
      <c r="AE315" s="4"/>
      <c r="AF315" s="4"/>
      <c r="AG315" s="4"/>
      <c r="AH315" s="4"/>
      <c r="AI315" s="4"/>
      <c r="AJ315" s="246"/>
      <c r="AK315" s="246"/>
      <c r="AL315" s="129"/>
      <c r="AM315" s="129"/>
      <c r="AN315" s="129"/>
      <c r="AO315" s="246"/>
      <c r="AP315" s="246"/>
      <c r="AQ315" s="249"/>
      <c r="AR315" s="4"/>
      <c r="AS315" s="4"/>
      <c r="AT315" s="4"/>
      <c r="AU315" s="4"/>
      <c r="AV315" s="4"/>
      <c r="AW315" s="4"/>
      <c r="AX315" s="4"/>
      <c r="AY315" s="128"/>
      <c r="AZ315" s="4"/>
      <c r="BA315" s="4"/>
      <c r="BB315" s="4"/>
      <c r="BC315" s="4"/>
      <c r="BD315" s="4"/>
      <c r="BE315" s="4"/>
      <c r="BF315" s="4"/>
      <c r="BG315" s="4"/>
      <c r="BH315" s="4"/>
      <c r="BI315" s="567"/>
    </row>
    <row r="316" spans="1:61" ht="12.75" customHeight="1" x14ac:dyDescent="0.25">
      <c r="A316" s="4"/>
      <c r="B316" s="4"/>
      <c r="C316" s="4"/>
      <c r="D316" s="4"/>
      <c r="E316" s="128"/>
      <c r="F316" s="128"/>
      <c r="G316" s="753"/>
      <c r="H316" s="128"/>
      <c r="I316" s="128"/>
      <c r="J316" s="130"/>
      <c r="K316" s="128"/>
      <c r="L316" s="128"/>
      <c r="M316" s="130"/>
      <c r="N316" s="130"/>
      <c r="O316" s="130"/>
      <c r="P316" s="128"/>
      <c r="Q316" s="128"/>
      <c r="R316" s="128"/>
      <c r="S316" s="298"/>
      <c r="T316" s="4"/>
      <c r="U316" s="4"/>
      <c r="V316" s="4"/>
      <c r="W316" s="4"/>
      <c r="X316" s="4"/>
      <c r="Y316" s="128"/>
      <c r="Z316" s="128"/>
      <c r="AA316" s="128"/>
      <c r="AB316" s="4"/>
      <c r="AC316" s="4"/>
      <c r="AD316" s="4"/>
      <c r="AE316" s="4"/>
      <c r="AF316" s="4"/>
      <c r="AG316" s="4"/>
      <c r="AH316" s="4"/>
      <c r="AI316" s="4"/>
      <c r="AJ316" s="246"/>
      <c r="AK316" s="246"/>
      <c r="AL316" s="129"/>
      <c r="AM316" s="129"/>
      <c r="AN316" s="129"/>
      <c r="AO316" s="246"/>
      <c r="AP316" s="246"/>
      <c r="AQ316" s="249"/>
      <c r="AR316" s="4"/>
      <c r="AS316" s="4"/>
      <c r="AT316" s="4"/>
      <c r="AU316" s="4"/>
      <c r="AV316" s="4"/>
      <c r="AW316" s="4"/>
      <c r="AX316" s="4"/>
      <c r="AY316" s="128"/>
      <c r="AZ316" s="4"/>
      <c r="BA316" s="4"/>
      <c r="BB316" s="4"/>
      <c r="BC316" s="4"/>
      <c r="BD316" s="4"/>
      <c r="BE316" s="4"/>
      <c r="BF316" s="4"/>
      <c r="BG316" s="4"/>
      <c r="BH316" s="4"/>
      <c r="BI316" s="567"/>
    </row>
    <row r="317" spans="1:61" ht="12.75" customHeight="1" x14ac:dyDescent="0.25">
      <c r="A317" s="4"/>
      <c r="B317" s="4"/>
      <c r="C317" s="4"/>
      <c r="D317" s="4"/>
      <c r="E317" s="128"/>
      <c r="F317" s="128"/>
      <c r="G317" s="753"/>
      <c r="H317" s="128"/>
      <c r="I317" s="128"/>
      <c r="J317" s="130"/>
      <c r="K317" s="128"/>
      <c r="L317" s="128"/>
      <c r="M317" s="130"/>
      <c r="N317" s="130"/>
      <c r="O317" s="130"/>
      <c r="P317" s="128"/>
      <c r="Q317" s="128"/>
      <c r="R317" s="128"/>
      <c r="S317" s="298"/>
      <c r="T317" s="4"/>
      <c r="U317" s="4"/>
      <c r="V317" s="4"/>
      <c r="W317" s="4"/>
      <c r="X317" s="4"/>
      <c r="Y317" s="128"/>
      <c r="Z317" s="128"/>
      <c r="AA317" s="128"/>
      <c r="AB317" s="4"/>
      <c r="AC317" s="4"/>
      <c r="AD317" s="4"/>
      <c r="AE317" s="4"/>
      <c r="AF317" s="4"/>
      <c r="AG317" s="4"/>
      <c r="AH317" s="4"/>
      <c r="AI317" s="4"/>
      <c r="AJ317" s="246"/>
      <c r="AK317" s="246"/>
      <c r="AL317" s="129"/>
      <c r="AM317" s="129"/>
      <c r="AN317" s="129"/>
      <c r="AO317" s="246"/>
      <c r="AP317" s="246"/>
      <c r="AQ317" s="249"/>
      <c r="AR317" s="4"/>
      <c r="AS317" s="4"/>
      <c r="AT317" s="4"/>
      <c r="AU317" s="4"/>
      <c r="AV317" s="4"/>
      <c r="AW317" s="4"/>
      <c r="AX317" s="4"/>
      <c r="AY317" s="128"/>
      <c r="AZ317" s="4"/>
      <c r="BA317" s="4"/>
      <c r="BB317" s="4"/>
      <c r="BC317" s="4"/>
      <c r="BD317" s="4"/>
      <c r="BE317" s="4"/>
      <c r="BF317" s="4"/>
      <c r="BG317" s="4"/>
      <c r="BH317" s="4"/>
      <c r="BI317" s="567"/>
    </row>
    <row r="318" spans="1:61" ht="12.75" customHeight="1" x14ac:dyDescent="0.25">
      <c r="A318" s="4"/>
      <c r="B318" s="4"/>
      <c r="C318" s="4"/>
      <c r="D318" s="4"/>
      <c r="E318" s="128"/>
      <c r="F318" s="128"/>
      <c r="G318" s="753"/>
      <c r="H318" s="128"/>
      <c r="I318" s="128"/>
      <c r="J318" s="130"/>
      <c r="K318" s="128"/>
      <c r="L318" s="128"/>
      <c r="M318" s="130"/>
      <c r="N318" s="130"/>
      <c r="O318" s="130"/>
      <c r="P318" s="128"/>
      <c r="Q318" s="128"/>
      <c r="R318" s="128"/>
      <c r="S318" s="298"/>
      <c r="T318" s="4"/>
      <c r="U318" s="4"/>
      <c r="V318" s="4"/>
      <c r="W318" s="4"/>
      <c r="X318" s="4"/>
      <c r="Y318" s="128"/>
      <c r="Z318" s="128"/>
      <c r="AA318" s="128"/>
      <c r="AB318" s="4"/>
      <c r="AC318" s="4"/>
      <c r="AD318" s="4"/>
      <c r="AE318" s="4"/>
      <c r="AF318" s="4"/>
      <c r="AG318" s="4"/>
      <c r="AH318" s="4"/>
      <c r="AI318" s="4"/>
      <c r="AJ318" s="246"/>
      <c r="AK318" s="246"/>
      <c r="AL318" s="129"/>
      <c r="AM318" s="129"/>
      <c r="AN318" s="129"/>
      <c r="AO318" s="246"/>
      <c r="AP318" s="246"/>
      <c r="AQ318" s="249"/>
      <c r="AR318" s="4"/>
      <c r="AS318" s="4"/>
      <c r="AT318" s="4"/>
      <c r="AU318" s="4"/>
      <c r="AV318" s="4"/>
      <c r="AW318" s="4"/>
      <c r="AX318" s="4"/>
      <c r="AY318" s="128"/>
      <c r="AZ318" s="4"/>
      <c r="BA318" s="4"/>
      <c r="BB318" s="4"/>
      <c r="BC318" s="4"/>
      <c r="BD318" s="4"/>
      <c r="BE318" s="4"/>
      <c r="BF318" s="4"/>
      <c r="BG318" s="4"/>
      <c r="BH318" s="4"/>
      <c r="BI318" s="567"/>
    </row>
    <row r="319" spans="1:61" ht="12.75" customHeight="1" x14ac:dyDescent="0.25">
      <c r="A319" s="4"/>
      <c r="B319" s="4"/>
      <c r="C319" s="4"/>
      <c r="D319" s="4"/>
      <c r="E319" s="128"/>
      <c r="F319" s="128"/>
      <c r="G319" s="753"/>
      <c r="H319" s="128"/>
      <c r="I319" s="128"/>
      <c r="J319" s="130"/>
      <c r="K319" s="128"/>
      <c r="L319" s="128"/>
      <c r="M319" s="130"/>
      <c r="N319" s="130"/>
      <c r="O319" s="130"/>
      <c r="P319" s="128"/>
      <c r="Q319" s="128"/>
      <c r="R319" s="128"/>
      <c r="S319" s="298"/>
      <c r="T319" s="4"/>
      <c r="U319" s="4"/>
      <c r="V319" s="4"/>
      <c r="W319" s="4"/>
      <c r="X319" s="4"/>
      <c r="Y319" s="128"/>
      <c r="Z319" s="128"/>
      <c r="AA319" s="128"/>
      <c r="AB319" s="4"/>
      <c r="AC319" s="4"/>
      <c r="AD319" s="4"/>
      <c r="AE319" s="4"/>
      <c r="AF319" s="4"/>
      <c r="AG319" s="4"/>
      <c r="AH319" s="4"/>
      <c r="AI319" s="4"/>
      <c r="AJ319" s="246"/>
      <c r="AK319" s="246"/>
      <c r="AL319" s="129"/>
      <c r="AM319" s="129"/>
      <c r="AN319" s="129"/>
      <c r="AO319" s="246"/>
      <c r="AP319" s="246"/>
      <c r="AQ319" s="249"/>
      <c r="AR319" s="4"/>
      <c r="AS319" s="4"/>
      <c r="AT319" s="4"/>
      <c r="AU319" s="4"/>
      <c r="AV319" s="4"/>
      <c r="AW319" s="4"/>
      <c r="AX319" s="4"/>
      <c r="AY319" s="128"/>
      <c r="AZ319" s="4"/>
      <c r="BA319" s="4"/>
      <c r="BB319" s="4"/>
      <c r="BC319" s="4"/>
      <c r="BD319" s="4"/>
      <c r="BE319" s="4"/>
      <c r="BF319" s="4"/>
      <c r="BG319" s="4"/>
      <c r="BH319" s="4"/>
      <c r="BI319" s="567"/>
    </row>
    <row r="320" spans="1:61" ht="12.75" customHeight="1" x14ac:dyDescent="0.25">
      <c r="A320" s="4"/>
      <c r="B320" s="4"/>
      <c r="C320" s="4"/>
      <c r="D320" s="4"/>
      <c r="E320" s="128"/>
      <c r="F320" s="128"/>
      <c r="G320" s="753"/>
      <c r="H320" s="128"/>
      <c r="I320" s="128"/>
      <c r="J320" s="130"/>
      <c r="K320" s="128"/>
      <c r="L320" s="128"/>
      <c r="M320" s="130"/>
      <c r="N320" s="130"/>
      <c r="O320" s="130"/>
      <c r="P320" s="128"/>
      <c r="Q320" s="128"/>
      <c r="R320" s="128"/>
      <c r="S320" s="298"/>
      <c r="T320" s="4"/>
      <c r="U320" s="4"/>
      <c r="V320" s="4"/>
      <c r="W320" s="4"/>
      <c r="X320" s="4"/>
      <c r="Y320" s="128"/>
      <c r="Z320" s="128"/>
      <c r="AA320" s="128"/>
      <c r="AB320" s="4"/>
      <c r="AC320" s="4"/>
      <c r="AD320" s="4"/>
      <c r="AE320" s="4"/>
      <c r="AF320" s="4"/>
      <c r="AG320" s="4"/>
      <c r="AH320" s="4"/>
      <c r="AI320" s="4"/>
      <c r="AJ320" s="246"/>
      <c r="AK320" s="246"/>
      <c r="AL320" s="129"/>
      <c r="AM320" s="129"/>
      <c r="AN320" s="129"/>
      <c r="AO320" s="246"/>
      <c r="AP320" s="246"/>
      <c r="AQ320" s="249"/>
      <c r="AR320" s="4"/>
      <c r="AS320" s="4"/>
      <c r="AT320" s="4"/>
      <c r="AU320" s="4"/>
      <c r="AV320" s="4"/>
      <c r="AW320" s="4"/>
      <c r="AX320" s="4"/>
      <c r="AY320" s="128"/>
      <c r="AZ320" s="4"/>
      <c r="BA320" s="4"/>
      <c r="BB320" s="4"/>
      <c r="BC320" s="4"/>
      <c r="BD320" s="4"/>
      <c r="BE320" s="4"/>
      <c r="BF320" s="4"/>
      <c r="BG320" s="4"/>
      <c r="BH320" s="4"/>
      <c r="BI320" s="567"/>
    </row>
    <row r="321" spans="1:61" ht="12.75" customHeight="1" x14ac:dyDescent="0.25">
      <c r="A321" s="4"/>
      <c r="B321" s="4"/>
      <c r="C321" s="4"/>
      <c r="D321" s="4"/>
      <c r="E321" s="128"/>
      <c r="F321" s="128"/>
      <c r="G321" s="753"/>
      <c r="H321" s="128"/>
      <c r="I321" s="128"/>
      <c r="J321" s="130"/>
      <c r="K321" s="128"/>
      <c r="L321" s="128"/>
      <c r="M321" s="130"/>
      <c r="N321" s="130"/>
      <c r="O321" s="130"/>
      <c r="P321" s="128"/>
      <c r="Q321" s="128"/>
      <c r="R321" s="128"/>
      <c r="S321" s="298"/>
      <c r="T321" s="4"/>
      <c r="U321" s="4"/>
      <c r="V321" s="4"/>
      <c r="W321" s="4"/>
      <c r="X321" s="4"/>
      <c r="Y321" s="128"/>
      <c r="Z321" s="128"/>
      <c r="AA321" s="128"/>
      <c r="AB321" s="4"/>
      <c r="AC321" s="4"/>
      <c r="AD321" s="4"/>
      <c r="AE321" s="4"/>
      <c r="AF321" s="4"/>
      <c r="AG321" s="4"/>
      <c r="AH321" s="4"/>
      <c r="AI321" s="4"/>
      <c r="AJ321" s="246"/>
      <c r="AK321" s="246"/>
      <c r="AL321" s="129"/>
      <c r="AM321" s="129"/>
      <c r="AN321" s="129"/>
      <c r="AO321" s="246"/>
      <c r="AP321" s="246"/>
      <c r="AQ321" s="249"/>
      <c r="AR321" s="4"/>
      <c r="AS321" s="4"/>
      <c r="AT321" s="4"/>
      <c r="AU321" s="4"/>
      <c r="AV321" s="4"/>
      <c r="AW321" s="4"/>
      <c r="AX321" s="4"/>
      <c r="AY321" s="128"/>
      <c r="AZ321" s="4"/>
      <c r="BA321" s="4"/>
      <c r="BB321" s="4"/>
      <c r="BC321" s="4"/>
      <c r="BD321" s="4"/>
      <c r="BE321" s="4"/>
      <c r="BF321" s="4"/>
      <c r="BG321" s="4"/>
      <c r="BH321" s="4"/>
      <c r="BI321" s="567"/>
    </row>
    <row r="322" spans="1:61" ht="12.75" customHeight="1" x14ac:dyDescent="0.25">
      <c r="A322" s="4"/>
      <c r="B322" s="4"/>
      <c r="C322" s="4"/>
      <c r="D322" s="4"/>
      <c r="E322" s="128"/>
      <c r="F322" s="128"/>
      <c r="G322" s="753"/>
      <c r="H322" s="128"/>
      <c r="I322" s="128"/>
      <c r="J322" s="130"/>
      <c r="K322" s="128"/>
      <c r="L322" s="128"/>
      <c r="M322" s="130"/>
      <c r="N322" s="130"/>
      <c r="O322" s="130"/>
      <c r="P322" s="128"/>
      <c r="Q322" s="128"/>
      <c r="R322" s="128"/>
      <c r="S322" s="298"/>
      <c r="T322" s="4"/>
      <c r="U322" s="4"/>
      <c r="V322" s="4"/>
      <c r="W322" s="4"/>
      <c r="X322" s="4"/>
      <c r="Y322" s="128"/>
      <c r="Z322" s="128"/>
      <c r="AA322" s="128"/>
      <c r="AB322" s="4"/>
      <c r="AC322" s="4"/>
      <c r="AD322" s="4"/>
      <c r="AE322" s="4"/>
      <c r="AF322" s="4"/>
      <c r="AG322" s="4"/>
      <c r="AH322" s="4"/>
      <c r="AI322" s="4"/>
      <c r="AJ322" s="246"/>
      <c r="AK322" s="246"/>
      <c r="AL322" s="129"/>
      <c r="AM322" s="129"/>
      <c r="AN322" s="129"/>
      <c r="AO322" s="246"/>
      <c r="AP322" s="246"/>
      <c r="AQ322" s="249"/>
      <c r="AR322" s="4"/>
      <c r="AS322" s="4"/>
      <c r="AT322" s="4"/>
      <c r="AU322" s="4"/>
      <c r="AV322" s="4"/>
      <c r="AW322" s="4"/>
      <c r="AX322" s="4"/>
      <c r="AY322" s="128"/>
      <c r="AZ322" s="4"/>
      <c r="BA322" s="4"/>
      <c r="BB322" s="4"/>
      <c r="BC322" s="4"/>
      <c r="BD322" s="4"/>
      <c r="BE322" s="4"/>
      <c r="BF322" s="4"/>
      <c r="BG322" s="4"/>
      <c r="BH322" s="4"/>
      <c r="BI322" s="567"/>
    </row>
    <row r="323" spans="1:61" ht="12.75" customHeight="1" x14ac:dyDescent="0.25">
      <c r="A323" s="4"/>
      <c r="B323" s="4"/>
      <c r="C323" s="4"/>
      <c r="D323" s="4"/>
      <c r="E323" s="128"/>
      <c r="F323" s="128"/>
      <c r="G323" s="753"/>
      <c r="H323" s="128"/>
      <c r="I323" s="128"/>
      <c r="J323" s="130"/>
      <c r="K323" s="128"/>
      <c r="L323" s="128"/>
      <c r="M323" s="130"/>
      <c r="N323" s="130"/>
      <c r="O323" s="130"/>
      <c r="P323" s="128"/>
      <c r="Q323" s="128"/>
      <c r="R323" s="128"/>
      <c r="S323" s="298"/>
      <c r="T323" s="4"/>
      <c r="U323" s="4"/>
      <c r="V323" s="4"/>
      <c r="W323" s="4"/>
      <c r="X323" s="4"/>
      <c r="Y323" s="128"/>
      <c r="Z323" s="128"/>
      <c r="AA323" s="128"/>
      <c r="AB323" s="4"/>
      <c r="AC323" s="4"/>
      <c r="AD323" s="4"/>
      <c r="AE323" s="4"/>
      <c r="AF323" s="4"/>
      <c r="AG323" s="4"/>
      <c r="AH323" s="4"/>
      <c r="AI323" s="4"/>
      <c r="AJ323" s="246"/>
      <c r="AK323" s="246"/>
      <c r="AL323" s="129"/>
      <c r="AM323" s="129"/>
      <c r="AN323" s="129"/>
      <c r="AO323" s="246"/>
      <c r="AP323" s="246"/>
      <c r="AQ323" s="249"/>
      <c r="AR323" s="4"/>
      <c r="AS323" s="4"/>
      <c r="AT323" s="4"/>
      <c r="AU323" s="4"/>
      <c r="AV323" s="4"/>
      <c r="AW323" s="4"/>
      <c r="AX323" s="4"/>
      <c r="AY323" s="128"/>
      <c r="AZ323" s="4"/>
      <c r="BA323" s="4"/>
      <c r="BB323" s="4"/>
      <c r="BC323" s="4"/>
      <c r="BD323" s="4"/>
      <c r="BE323" s="4"/>
      <c r="BF323" s="4"/>
      <c r="BG323" s="4"/>
      <c r="BH323" s="4"/>
      <c r="BI323" s="567"/>
    </row>
    <row r="324" spans="1:61" ht="12.75" customHeight="1" x14ac:dyDescent="0.25">
      <c r="A324" s="4"/>
      <c r="B324" s="4"/>
      <c r="C324" s="4"/>
      <c r="D324" s="4"/>
      <c r="E324" s="128"/>
      <c r="F324" s="128"/>
      <c r="G324" s="753"/>
      <c r="H324" s="128"/>
      <c r="I324" s="128"/>
      <c r="J324" s="130"/>
      <c r="K324" s="128"/>
      <c r="L324" s="128"/>
      <c r="M324" s="130"/>
      <c r="N324" s="130"/>
      <c r="O324" s="130"/>
      <c r="P324" s="128"/>
      <c r="Q324" s="128"/>
      <c r="R324" s="128"/>
      <c r="S324" s="298"/>
      <c r="T324" s="4"/>
      <c r="U324" s="4"/>
      <c r="V324" s="4"/>
      <c r="W324" s="4"/>
      <c r="X324" s="4"/>
      <c r="Y324" s="128"/>
      <c r="Z324" s="128"/>
      <c r="AA324" s="128"/>
      <c r="AB324" s="4"/>
      <c r="AC324" s="4"/>
      <c r="AD324" s="4"/>
      <c r="AE324" s="4"/>
      <c r="AF324" s="4"/>
      <c r="AG324" s="4"/>
      <c r="AH324" s="4"/>
      <c r="AI324" s="4"/>
      <c r="AJ324" s="246"/>
      <c r="AK324" s="246"/>
      <c r="AL324" s="129"/>
      <c r="AM324" s="129"/>
      <c r="AN324" s="129"/>
      <c r="AO324" s="246"/>
      <c r="AP324" s="246"/>
      <c r="AQ324" s="249"/>
      <c r="AR324" s="4"/>
      <c r="AS324" s="4"/>
      <c r="AT324" s="4"/>
      <c r="AU324" s="4"/>
      <c r="AV324" s="4"/>
      <c r="AW324" s="4"/>
      <c r="AX324" s="4"/>
      <c r="AY324" s="128"/>
      <c r="AZ324" s="4"/>
      <c r="BA324" s="4"/>
      <c r="BB324" s="4"/>
      <c r="BC324" s="4"/>
      <c r="BD324" s="4"/>
      <c r="BE324" s="4"/>
      <c r="BF324" s="4"/>
      <c r="BG324" s="4"/>
      <c r="BH324" s="4"/>
      <c r="BI324" s="567"/>
    </row>
    <row r="325" spans="1:61" ht="12.75" customHeight="1" x14ac:dyDescent="0.25">
      <c r="A325" s="4"/>
      <c r="B325" s="4"/>
      <c r="C325" s="4"/>
      <c r="D325" s="4"/>
      <c r="E325" s="128"/>
      <c r="F325" s="128"/>
      <c r="G325" s="753"/>
      <c r="H325" s="128"/>
      <c r="I325" s="128"/>
      <c r="J325" s="130"/>
      <c r="K325" s="128"/>
      <c r="L325" s="128"/>
      <c r="M325" s="130"/>
      <c r="N325" s="130"/>
      <c r="O325" s="130"/>
      <c r="P325" s="128"/>
      <c r="Q325" s="128"/>
      <c r="R325" s="128"/>
      <c r="S325" s="298"/>
      <c r="T325" s="4"/>
      <c r="U325" s="4"/>
      <c r="V325" s="4"/>
      <c r="W325" s="4"/>
      <c r="X325" s="4"/>
      <c r="Y325" s="128"/>
      <c r="Z325" s="128"/>
      <c r="AA325" s="128"/>
      <c r="AB325" s="4"/>
      <c r="AC325" s="4"/>
      <c r="AD325" s="4"/>
      <c r="AE325" s="4"/>
      <c r="AF325" s="4"/>
      <c r="AG325" s="4"/>
      <c r="AH325" s="4"/>
      <c r="AI325" s="4"/>
      <c r="AJ325" s="246"/>
      <c r="AK325" s="246"/>
      <c r="AL325" s="129"/>
      <c r="AM325" s="129"/>
      <c r="AN325" s="129"/>
      <c r="AO325" s="246"/>
      <c r="AP325" s="246"/>
      <c r="AQ325" s="249"/>
      <c r="AR325" s="4"/>
      <c r="AS325" s="4"/>
      <c r="AT325" s="4"/>
      <c r="AU325" s="4"/>
      <c r="AV325" s="4"/>
      <c r="AW325" s="4"/>
      <c r="AX325" s="4"/>
      <c r="AY325" s="128"/>
      <c r="AZ325" s="4"/>
      <c r="BA325" s="4"/>
      <c r="BB325" s="4"/>
      <c r="BC325" s="4"/>
      <c r="BD325" s="4"/>
      <c r="BE325" s="4"/>
      <c r="BF325" s="4"/>
      <c r="BG325" s="4"/>
      <c r="BH325" s="4"/>
      <c r="BI325" s="567"/>
    </row>
    <row r="326" spans="1:61" ht="12.75" customHeight="1" x14ac:dyDescent="0.25">
      <c r="A326" s="4"/>
      <c r="B326" s="4"/>
      <c r="C326" s="4"/>
      <c r="D326" s="4"/>
      <c r="E326" s="128"/>
      <c r="F326" s="128"/>
      <c r="G326" s="753"/>
      <c r="H326" s="128"/>
      <c r="I326" s="128"/>
      <c r="J326" s="130"/>
      <c r="K326" s="128"/>
      <c r="L326" s="128"/>
      <c r="M326" s="130"/>
      <c r="N326" s="130"/>
      <c r="O326" s="130"/>
      <c r="P326" s="128"/>
      <c r="Q326" s="128"/>
      <c r="R326" s="128"/>
      <c r="S326" s="298"/>
      <c r="T326" s="4"/>
      <c r="U326" s="4"/>
      <c r="V326" s="4"/>
      <c r="W326" s="4"/>
      <c r="X326" s="4"/>
      <c r="Y326" s="128"/>
      <c r="Z326" s="128"/>
      <c r="AA326" s="128"/>
      <c r="AB326" s="4"/>
      <c r="AC326" s="4"/>
      <c r="AD326" s="4"/>
      <c r="AE326" s="4"/>
      <c r="AF326" s="4"/>
      <c r="AG326" s="4"/>
      <c r="AH326" s="4"/>
      <c r="AI326" s="4"/>
      <c r="AJ326" s="246"/>
      <c r="AK326" s="246"/>
      <c r="AL326" s="129"/>
      <c r="AM326" s="129"/>
      <c r="AN326" s="129"/>
      <c r="AO326" s="246"/>
      <c r="AP326" s="246"/>
      <c r="AQ326" s="249"/>
      <c r="AR326" s="4"/>
      <c r="AS326" s="4"/>
      <c r="AT326" s="4"/>
      <c r="AU326" s="4"/>
      <c r="AV326" s="4"/>
      <c r="AW326" s="4"/>
      <c r="AX326" s="4"/>
      <c r="AY326" s="128"/>
      <c r="AZ326" s="4"/>
      <c r="BA326" s="4"/>
      <c r="BB326" s="4"/>
      <c r="BC326" s="4"/>
      <c r="BD326" s="4"/>
      <c r="BE326" s="4"/>
      <c r="BF326" s="4"/>
      <c r="BG326" s="4"/>
      <c r="BH326" s="4"/>
      <c r="BI326" s="567"/>
    </row>
    <row r="327" spans="1:61" ht="12.75" customHeight="1" x14ac:dyDescent="0.25">
      <c r="A327" s="4"/>
      <c r="B327" s="4"/>
      <c r="C327" s="4"/>
      <c r="D327" s="4"/>
      <c r="E327" s="128"/>
      <c r="F327" s="128"/>
      <c r="G327" s="753"/>
      <c r="H327" s="128"/>
      <c r="I327" s="128"/>
      <c r="J327" s="130"/>
      <c r="K327" s="128"/>
      <c r="L327" s="128"/>
      <c r="M327" s="130"/>
      <c r="N327" s="130"/>
      <c r="O327" s="130"/>
      <c r="P327" s="128"/>
      <c r="Q327" s="128"/>
      <c r="R327" s="128"/>
      <c r="S327" s="298"/>
      <c r="T327" s="4"/>
      <c r="U327" s="4"/>
      <c r="V327" s="4"/>
      <c r="W327" s="4"/>
      <c r="X327" s="4"/>
      <c r="Y327" s="128"/>
      <c r="Z327" s="128"/>
      <c r="AA327" s="128"/>
      <c r="AB327" s="4"/>
      <c r="AC327" s="4"/>
      <c r="AD327" s="4"/>
      <c r="AE327" s="4"/>
      <c r="AF327" s="4"/>
      <c r="AG327" s="4"/>
      <c r="AH327" s="4"/>
      <c r="AI327" s="4"/>
      <c r="AJ327" s="246"/>
      <c r="AK327" s="246"/>
      <c r="AL327" s="129"/>
      <c r="AM327" s="129"/>
      <c r="AN327" s="129"/>
      <c r="AO327" s="246"/>
      <c r="AP327" s="246"/>
      <c r="AQ327" s="249"/>
      <c r="AR327" s="4"/>
      <c r="AS327" s="4"/>
      <c r="AT327" s="4"/>
      <c r="AU327" s="4"/>
      <c r="AV327" s="4"/>
      <c r="AW327" s="4"/>
      <c r="AX327" s="4"/>
      <c r="AY327" s="128"/>
      <c r="AZ327" s="4"/>
      <c r="BA327" s="4"/>
      <c r="BB327" s="4"/>
      <c r="BC327" s="4"/>
      <c r="BD327" s="4"/>
      <c r="BE327" s="4"/>
      <c r="BF327" s="4"/>
      <c r="BG327" s="4"/>
      <c r="BH327" s="4"/>
      <c r="BI327" s="567"/>
    </row>
    <row r="328" spans="1:61" ht="12.75" customHeight="1" x14ac:dyDescent="0.25">
      <c r="A328" s="4"/>
      <c r="B328" s="4"/>
      <c r="C328" s="4"/>
      <c r="D328" s="4"/>
      <c r="E328" s="128"/>
      <c r="F328" s="128"/>
      <c r="G328" s="753"/>
      <c r="H328" s="128"/>
      <c r="I328" s="128"/>
      <c r="J328" s="130"/>
      <c r="K328" s="128"/>
      <c r="L328" s="128"/>
      <c r="M328" s="130"/>
      <c r="N328" s="130"/>
      <c r="O328" s="130"/>
      <c r="P328" s="128"/>
      <c r="Q328" s="128"/>
      <c r="R328" s="128"/>
      <c r="S328" s="298"/>
      <c r="T328" s="4"/>
      <c r="U328" s="4"/>
      <c r="V328" s="4"/>
      <c r="W328" s="4"/>
      <c r="X328" s="4"/>
      <c r="Y328" s="128"/>
      <c r="Z328" s="128"/>
      <c r="AA328" s="128"/>
      <c r="AB328" s="4"/>
      <c r="AC328" s="4"/>
      <c r="AD328" s="4"/>
      <c r="AE328" s="4"/>
      <c r="AF328" s="4"/>
      <c r="AG328" s="4"/>
      <c r="AH328" s="4"/>
      <c r="AI328" s="4"/>
      <c r="AJ328" s="246"/>
      <c r="AK328" s="246"/>
      <c r="AL328" s="129"/>
      <c r="AM328" s="129"/>
      <c r="AN328" s="129"/>
      <c r="AO328" s="246"/>
      <c r="AP328" s="246"/>
      <c r="AQ328" s="249"/>
      <c r="AR328" s="4"/>
      <c r="AS328" s="4"/>
      <c r="AT328" s="4"/>
      <c r="AU328" s="4"/>
      <c r="AV328" s="4"/>
      <c r="AW328" s="4"/>
      <c r="AX328" s="4"/>
      <c r="AY328" s="128"/>
      <c r="AZ328" s="4"/>
      <c r="BA328" s="4"/>
      <c r="BB328" s="4"/>
      <c r="BC328" s="4"/>
      <c r="BD328" s="4"/>
      <c r="BE328" s="4"/>
      <c r="BF328" s="4"/>
      <c r="BG328" s="4"/>
      <c r="BH328" s="4"/>
      <c r="BI328" s="567"/>
    </row>
    <row r="329" spans="1:61" ht="12.75" customHeight="1" x14ac:dyDescent="0.25">
      <c r="A329" s="4"/>
      <c r="B329" s="4"/>
      <c r="C329" s="4"/>
      <c r="D329" s="4"/>
      <c r="E329" s="128"/>
      <c r="F329" s="128"/>
      <c r="G329" s="753"/>
      <c r="H329" s="128"/>
      <c r="I329" s="128"/>
      <c r="J329" s="130"/>
      <c r="K329" s="128"/>
      <c r="L329" s="128"/>
      <c r="M329" s="130"/>
      <c r="N329" s="130"/>
      <c r="O329" s="130"/>
      <c r="P329" s="128"/>
      <c r="Q329" s="128"/>
      <c r="R329" s="128"/>
      <c r="S329" s="298"/>
      <c r="T329" s="4"/>
      <c r="U329" s="4"/>
      <c r="V329" s="4"/>
      <c r="W329" s="4"/>
      <c r="X329" s="4"/>
      <c r="Y329" s="128"/>
      <c r="Z329" s="128"/>
      <c r="AA329" s="128"/>
      <c r="AB329" s="4"/>
      <c r="AC329" s="4"/>
      <c r="AD329" s="4"/>
      <c r="AE329" s="4"/>
      <c r="AF329" s="4"/>
      <c r="AG329" s="4"/>
      <c r="AH329" s="4"/>
      <c r="AI329" s="4"/>
      <c r="AJ329" s="246"/>
      <c r="AK329" s="246"/>
      <c r="AL329" s="129"/>
      <c r="AM329" s="129"/>
      <c r="AN329" s="129"/>
      <c r="AO329" s="246"/>
      <c r="AP329" s="246"/>
      <c r="AQ329" s="249"/>
      <c r="AR329" s="4"/>
      <c r="AS329" s="4"/>
      <c r="AT329" s="4"/>
      <c r="AU329" s="4"/>
      <c r="AV329" s="4"/>
      <c r="AW329" s="4"/>
      <c r="AX329" s="4"/>
      <c r="AY329" s="128"/>
      <c r="AZ329" s="4"/>
      <c r="BA329" s="4"/>
      <c r="BB329" s="4"/>
      <c r="BC329" s="4"/>
      <c r="BD329" s="4"/>
      <c r="BE329" s="4"/>
      <c r="BF329" s="4"/>
      <c r="BG329" s="4"/>
      <c r="BH329" s="4"/>
      <c r="BI329" s="567"/>
    </row>
    <row r="330" spans="1:61" ht="12.75" customHeight="1" x14ac:dyDescent="0.25">
      <c r="A330" s="4"/>
      <c r="B330" s="4"/>
      <c r="C330" s="4"/>
      <c r="D330" s="4"/>
      <c r="E330" s="128"/>
      <c r="F330" s="128"/>
      <c r="G330" s="753"/>
      <c r="H330" s="128"/>
      <c r="I330" s="128"/>
      <c r="J330" s="130"/>
      <c r="K330" s="128"/>
      <c r="L330" s="128"/>
      <c r="M330" s="130"/>
      <c r="N330" s="130"/>
      <c r="O330" s="130"/>
      <c r="P330" s="128"/>
      <c r="Q330" s="128"/>
      <c r="R330" s="128"/>
      <c r="S330" s="298"/>
      <c r="T330" s="4"/>
      <c r="U330" s="4"/>
      <c r="V330" s="4"/>
      <c r="W330" s="4"/>
      <c r="X330" s="4"/>
      <c r="Y330" s="128"/>
      <c r="Z330" s="128"/>
      <c r="AA330" s="128"/>
      <c r="AB330" s="4"/>
      <c r="AC330" s="4"/>
      <c r="AD330" s="4"/>
      <c r="AE330" s="4"/>
      <c r="AF330" s="4"/>
      <c r="AG330" s="4"/>
      <c r="AH330" s="4"/>
      <c r="AI330" s="4"/>
      <c r="AJ330" s="246"/>
      <c r="AK330" s="246"/>
      <c r="AL330" s="129"/>
      <c r="AM330" s="129"/>
      <c r="AN330" s="129"/>
      <c r="AO330" s="246"/>
      <c r="AP330" s="246"/>
      <c r="AQ330" s="249"/>
      <c r="AR330" s="4"/>
      <c r="AS330" s="4"/>
      <c r="AT330" s="4"/>
      <c r="AU330" s="4"/>
      <c r="AV330" s="4"/>
      <c r="AW330" s="4"/>
      <c r="AX330" s="4"/>
      <c r="AY330" s="128"/>
      <c r="AZ330" s="4"/>
      <c r="BA330" s="4"/>
      <c r="BB330" s="4"/>
      <c r="BC330" s="4"/>
      <c r="BD330" s="4"/>
      <c r="BE330" s="4"/>
      <c r="BF330" s="4"/>
      <c r="BG330" s="4"/>
      <c r="BH330" s="4"/>
      <c r="BI330" s="567"/>
    </row>
    <row r="331" spans="1:61" ht="12.75" customHeight="1" x14ac:dyDescent="0.25">
      <c r="A331" s="4"/>
      <c r="B331" s="4"/>
      <c r="C331" s="4"/>
      <c r="D331" s="4"/>
      <c r="E331" s="128"/>
      <c r="F331" s="128"/>
      <c r="G331" s="753"/>
      <c r="H331" s="128"/>
      <c r="I331" s="128"/>
      <c r="J331" s="130"/>
      <c r="K331" s="128"/>
      <c r="L331" s="128"/>
      <c r="M331" s="130"/>
      <c r="N331" s="130"/>
      <c r="O331" s="130"/>
      <c r="P331" s="128"/>
      <c r="Q331" s="128"/>
      <c r="R331" s="128"/>
      <c r="S331" s="298"/>
      <c r="T331" s="4"/>
      <c r="U331" s="4"/>
      <c r="V331" s="4"/>
      <c r="W331" s="4"/>
      <c r="X331" s="4"/>
      <c r="Y331" s="128"/>
      <c r="Z331" s="128"/>
      <c r="AA331" s="128"/>
      <c r="AB331" s="4"/>
      <c r="AC331" s="4"/>
      <c r="AD331" s="4"/>
      <c r="AE331" s="4"/>
      <c r="AF331" s="4"/>
      <c r="AG331" s="4"/>
      <c r="AH331" s="4"/>
      <c r="AI331" s="4"/>
      <c r="AJ331" s="246"/>
      <c r="AK331" s="246"/>
      <c r="AL331" s="129"/>
      <c r="AM331" s="129"/>
      <c r="AN331" s="129"/>
      <c r="AO331" s="246"/>
      <c r="AP331" s="246"/>
      <c r="AQ331" s="249"/>
      <c r="AR331" s="4"/>
      <c r="AS331" s="4"/>
      <c r="AT331" s="4"/>
      <c r="AU331" s="4"/>
      <c r="AV331" s="4"/>
      <c r="AW331" s="4"/>
      <c r="AX331" s="4"/>
      <c r="AY331" s="128"/>
      <c r="AZ331" s="4"/>
      <c r="BA331" s="4"/>
      <c r="BB331" s="4"/>
      <c r="BC331" s="4"/>
      <c r="BD331" s="4"/>
      <c r="BE331" s="4"/>
      <c r="BF331" s="4"/>
      <c r="BG331" s="4"/>
      <c r="BH331" s="4"/>
      <c r="BI331" s="567"/>
    </row>
    <row r="332" spans="1:61" ht="12.75" customHeight="1" x14ac:dyDescent="0.25">
      <c r="A332" s="4"/>
      <c r="B332" s="4"/>
      <c r="C332" s="4"/>
      <c r="D332" s="4"/>
      <c r="E332" s="128"/>
      <c r="F332" s="128"/>
      <c r="G332" s="753"/>
      <c r="H332" s="128"/>
      <c r="I332" s="128"/>
      <c r="J332" s="130"/>
      <c r="K332" s="128"/>
      <c r="L332" s="128"/>
      <c r="M332" s="130"/>
      <c r="N332" s="130"/>
      <c r="O332" s="130"/>
      <c r="P332" s="128"/>
      <c r="Q332" s="128"/>
      <c r="R332" s="128"/>
      <c r="S332" s="298"/>
      <c r="T332" s="4"/>
      <c r="U332" s="4"/>
      <c r="V332" s="4"/>
      <c r="W332" s="4"/>
      <c r="X332" s="4"/>
      <c r="Y332" s="128"/>
      <c r="Z332" s="128"/>
      <c r="AA332" s="128"/>
      <c r="AB332" s="4"/>
      <c r="AC332" s="4"/>
      <c r="AD332" s="4"/>
      <c r="AE332" s="4"/>
      <c r="AF332" s="4"/>
      <c r="AG332" s="4"/>
      <c r="AH332" s="4"/>
      <c r="AI332" s="4"/>
      <c r="AJ332" s="246"/>
      <c r="AK332" s="246"/>
      <c r="AL332" s="129"/>
      <c r="AM332" s="129"/>
      <c r="AN332" s="129"/>
      <c r="AO332" s="246"/>
      <c r="AP332" s="246"/>
      <c r="AQ332" s="249"/>
      <c r="AR332" s="4"/>
      <c r="AS332" s="4"/>
      <c r="AT332" s="4"/>
      <c r="AU332" s="4"/>
      <c r="AV332" s="4"/>
      <c r="AW332" s="4"/>
      <c r="AX332" s="4"/>
      <c r="AY332" s="128"/>
      <c r="AZ332" s="4"/>
      <c r="BA332" s="4"/>
      <c r="BB332" s="4"/>
      <c r="BC332" s="4"/>
      <c r="BD332" s="4"/>
      <c r="BE332" s="4"/>
      <c r="BF332" s="4"/>
      <c r="BG332" s="4"/>
      <c r="BH332" s="4"/>
      <c r="BI332" s="567"/>
    </row>
    <row r="333" spans="1:61" ht="12.75" customHeight="1" x14ac:dyDescent="0.25">
      <c r="A333" s="4"/>
      <c r="B333" s="4"/>
      <c r="C333" s="4"/>
      <c r="D333" s="4"/>
      <c r="E333" s="128"/>
      <c r="F333" s="128"/>
      <c r="G333" s="753"/>
      <c r="H333" s="128"/>
      <c r="I333" s="128"/>
      <c r="J333" s="130"/>
      <c r="K333" s="128"/>
      <c r="L333" s="128"/>
      <c r="M333" s="130"/>
      <c r="N333" s="130"/>
      <c r="O333" s="130"/>
      <c r="P333" s="128"/>
      <c r="Q333" s="128"/>
      <c r="R333" s="128"/>
      <c r="S333" s="298"/>
      <c r="T333" s="4"/>
      <c r="U333" s="4"/>
      <c r="V333" s="4"/>
      <c r="W333" s="4"/>
      <c r="X333" s="4"/>
      <c r="Y333" s="128"/>
      <c r="Z333" s="128"/>
      <c r="AA333" s="128"/>
      <c r="AB333" s="4"/>
      <c r="AC333" s="4"/>
      <c r="AD333" s="4"/>
      <c r="AE333" s="4"/>
      <c r="AF333" s="4"/>
      <c r="AG333" s="4"/>
      <c r="AH333" s="4"/>
      <c r="AI333" s="4"/>
      <c r="AJ333" s="246"/>
      <c r="AK333" s="246"/>
      <c r="AL333" s="129"/>
      <c r="AM333" s="129"/>
      <c r="AN333" s="129"/>
      <c r="AO333" s="246"/>
      <c r="AP333" s="246"/>
      <c r="AQ333" s="249"/>
      <c r="AR333" s="4"/>
      <c r="AS333" s="4"/>
      <c r="AT333" s="4"/>
      <c r="AU333" s="4"/>
      <c r="AV333" s="4"/>
      <c r="AW333" s="4"/>
      <c r="AX333" s="4"/>
      <c r="AY333" s="128"/>
      <c r="AZ333" s="4"/>
      <c r="BA333" s="4"/>
      <c r="BB333" s="4"/>
      <c r="BC333" s="4"/>
      <c r="BD333" s="4"/>
      <c r="BE333" s="4"/>
      <c r="BF333" s="4"/>
      <c r="BG333" s="4"/>
      <c r="BH333" s="4"/>
      <c r="BI333" s="567"/>
    </row>
    <row r="334" spans="1:61" ht="12.75" customHeight="1" x14ac:dyDescent="0.25">
      <c r="A334" s="4"/>
      <c r="B334" s="4"/>
      <c r="C334" s="4"/>
      <c r="D334" s="4"/>
      <c r="E334" s="128"/>
      <c r="F334" s="128"/>
      <c r="G334" s="753"/>
      <c r="H334" s="128"/>
      <c r="I334" s="128"/>
      <c r="J334" s="130"/>
      <c r="K334" s="128"/>
      <c r="L334" s="128"/>
      <c r="M334" s="130"/>
      <c r="N334" s="130"/>
      <c r="O334" s="130"/>
      <c r="P334" s="128"/>
      <c r="Q334" s="128"/>
      <c r="R334" s="128"/>
      <c r="S334" s="298"/>
      <c r="T334" s="4"/>
      <c r="U334" s="4"/>
      <c r="V334" s="4"/>
      <c r="W334" s="4"/>
      <c r="X334" s="4"/>
      <c r="Y334" s="128"/>
      <c r="Z334" s="128"/>
      <c r="AA334" s="128"/>
      <c r="AB334" s="4"/>
      <c r="AC334" s="4"/>
      <c r="AD334" s="4"/>
      <c r="AE334" s="4"/>
      <c r="AF334" s="4"/>
      <c r="AG334" s="4"/>
      <c r="AH334" s="4"/>
      <c r="AI334" s="4"/>
      <c r="AJ334" s="246"/>
      <c r="AK334" s="246"/>
      <c r="AL334" s="129"/>
      <c r="AM334" s="129"/>
      <c r="AN334" s="129"/>
      <c r="AO334" s="246"/>
      <c r="AP334" s="246"/>
      <c r="AQ334" s="249"/>
      <c r="AR334" s="4"/>
      <c r="AS334" s="4"/>
      <c r="AT334" s="4"/>
      <c r="AU334" s="4"/>
      <c r="AV334" s="4"/>
      <c r="AW334" s="4"/>
      <c r="AX334" s="4"/>
      <c r="AY334" s="128"/>
      <c r="AZ334" s="4"/>
      <c r="BA334" s="4"/>
      <c r="BB334" s="4"/>
      <c r="BC334" s="4"/>
      <c r="BD334" s="4"/>
      <c r="BE334" s="4"/>
      <c r="BF334" s="4"/>
      <c r="BG334" s="4"/>
      <c r="BH334" s="4"/>
      <c r="BI334" s="567"/>
    </row>
    <row r="335" spans="1:61" ht="12.75" customHeight="1" x14ac:dyDescent="0.25">
      <c r="A335" s="4"/>
      <c r="B335" s="4"/>
      <c r="C335" s="4"/>
      <c r="D335" s="4"/>
      <c r="E335" s="128"/>
      <c r="F335" s="128"/>
      <c r="G335" s="753"/>
      <c r="H335" s="128"/>
      <c r="I335" s="128"/>
      <c r="J335" s="130"/>
      <c r="K335" s="128"/>
      <c r="L335" s="128"/>
      <c r="M335" s="130"/>
      <c r="N335" s="130"/>
      <c r="O335" s="130"/>
      <c r="P335" s="128"/>
      <c r="Q335" s="128"/>
      <c r="R335" s="128"/>
      <c r="S335" s="298"/>
      <c r="T335" s="4"/>
      <c r="U335" s="4"/>
      <c r="V335" s="4"/>
      <c r="W335" s="4"/>
      <c r="X335" s="4"/>
      <c r="Y335" s="128"/>
      <c r="Z335" s="128"/>
      <c r="AA335" s="128"/>
      <c r="AB335" s="4"/>
      <c r="AC335" s="4"/>
      <c r="AD335" s="4"/>
      <c r="AE335" s="4"/>
      <c r="AF335" s="4"/>
      <c r="AG335" s="4"/>
      <c r="AH335" s="4"/>
      <c r="AI335" s="4"/>
      <c r="AJ335" s="246"/>
      <c r="AK335" s="246"/>
      <c r="AL335" s="129"/>
      <c r="AM335" s="129"/>
      <c r="AN335" s="129"/>
      <c r="AO335" s="246"/>
      <c r="AP335" s="246"/>
      <c r="AQ335" s="249"/>
      <c r="AR335" s="4"/>
      <c r="AS335" s="4"/>
      <c r="AT335" s="4"/>
      <c r="AU335" s="4"/>
      <c r="AV335" s="4"/>
      <c r="AW335" s="4"/>
      <c r="AX335" s="4"/>
      <c r="AY335" s="128"/>
      <c r="AZ335" s="4"/>
      <c r="BA335" s="4"/>
      <c r="BB335" s="4"/>
      <c r="BC335" s="4"/>
      <c r="BD335" s="4"/>
      <c r="BE335" s="4"/>
      <c r="BF335" s="4"/>
      <c r="BG335" s="4"/>
      <c r="BH335" s="4"/>
      <c r="BI335" s="567"/>
    </row>
    <row r="336" spans="1:61" ht="12.75" customHeight="1" x14ac:dyDescent="0.25">
      <c r="A336" s="4"/>
      <c r="B336" s="4"/>
      <c r="C336" s="4"/>
      <c r="D336" s="4"/>
      <c r="E336" s="128"/>
      <c r="F336" s="128"/>
      <c r="G336" s="753"/>
      <c r="H336" s="128"/>
      <c r="I336" s="128"/>
      <c r="J336" s="130"/>
      <c r="K336" s="128"/>
      <c r="L336" s="128"/>
      <c r="M336" s="130"/>
      <c r="N336" s="130"/>
      <c r="O336" s="130"/>
      <c r="P336" s="128"/>
      <c r="Q336" s="128"/>
      <c r="R336" s="128"/>
      <c r="S336" s="298"/>
      <c r="T336" s="4"/>
      <c r="U336" s="4"/>
      <c r="V336" s="4"/>
      <c r="W336" s="4"/>
      <c r="X336" s="4"/>
      <c r="Y336" s="128"/>
      <c r="Z336" s="128"/>
      <c r="AA336" s="128"/>
      <c r="AB336" s="4"/>
      <c r="AC336" s="4"/>
      <c r="AD336" s="4"/>
      <c r="AE336" s="4"/>
      <c r="AF336" s="4"/>
      <c r="AG336" s="4"/>
      <c r="AH336" s="4"/>
      <c r="AI336" s="4"/>
      <c r="AJ336" s="246"/>
      <c r="AK336" s="246"/>
      <c r="AL336" s="129"/>
      <c r="AM336" s="129"/>
      <c r="AN336" s="129"/>
      <c r="AO336" s="246"/>
      <c r="AP336" s="246"/>
      <c r="AQ336" s="249"/>
      <c r="AR336" s="4"/>
      <c r="AS336" s="4"/>
      <c r="AT336" s="4"/>
      <c r="AU336" s="4"/>
      <c r="AV336" s="4"/>
      <c r="AW336" s="4"/>
      <c r="AX336" s="4"/>
      <c r="AY336" s="128"/>
      <c r="AZ336" s="4"/>
      <c r="BA336" s="4"/>
      <c r="BB336" s="4"/>
      <c r="BC336" s="4"/>
      <c r="BD336" s="4"/>
      <c r="BE336" s="4"/>
      <c r="BF336" s="4"/>
      <c r="BG336" s="4"/>
      <c r="BH336" s="4"/>
      <c r="BI336" s="567"/>
    </row>
    <row r="337" spans="1:61" ht="12.75" customHeight="1" x14ac:dyDescent="0.25">
      <c r="A337" s="4"/>
      <c r="B337" s="4"/>
      <c r="C337" s="4"/>
      <c r="D337" s="4"/>
      <c r="E337" s="128"/>
      <c r="F337" s="128"/>
      <c r="G337" s="753"/>
      <c r="H337" s="128"/>
      <c r="I337" s="128"/>
      <c r="J337" s="130"/>
      <c r="K337" s="128"/>
      <c r="L337" s="128"/>
      <c r="M337" s="130"/>
      <c r="N337" s="130"/>
      <c r="O337" s="130"/>
      <c r="P337" s="128"/>
      <c r="Q337" s="128"/>
      <c r="R337" s="128"/>
      <c r="S337" s="298"/>
      <c r="T337" s="4"/>
      <c r="U337" s="4"/>
      <c r="V337" s="4"/>
      <c r="W337" s="4"/>
      <c r="X337" s="4"/>
      <c r="Y337" s="128"/>
      <c r="Z337" s="128"/>
      <c r="AA337" s="128"/>
      <c r="AB337" s="4"/>
      <c r="AC337" s="4"/>
      <c r="AD337" s="4"/>
      <c r="AE337" s="4"/>
      <c r="AF337" s="4"/>
      <c r="AG337" s="4"/>
      <c r="AH337" s="4"/>
      <c r="AI337" s="4"/>
      <c r="AJ337" s="246"/>
      <c r="AK337" s="246"/>
      <c r="AL337" s="129"/>
      <c r="AM337" s="129"/>
      <c r="AN337" s="129"/>
      <c r="AO337" s="246"/>
      <c r="AP337" s="246"/>
      <c r="AQ337" s="249"/>
      <c r="AR337" s="4"/>
      <c r="AS337" s="4"/>
      <c r="AT337" s="4"/>
      <c r="AU337" s="4"/>
      <c r="AV337" s="4"/>
      <c r="AW337" s="4"/>
      <c r="AX337" s="4"/>
      <c r="AY337" s="128"/>
      <c r="AZ337" s="4"/>
      <c r="BA337" s="4"/>
      <c r="BB337" s="4"/>
      <c r="BC337" s="4"/>
      <c r="BD337" s="4"/>
      <c r="BE337" s="4"/>
      <c r="BF337" s="4"/>
      <c r="BG337" s="4"/>
      <c r="BH337" s="4"/>
      <c r="BI337" s="567"/>
    </row>
    <row r="338" spans="1:61" ht="12.75" customHeight="1" x14ac:dyDescent="0.25">
      <c r="A338" s="4"/>
      <c r="B338" s="4"/>
      <c r="C338" s="4"/>
      <c r="D338" s="4"/>
      <c r="E338" s="128"/>
      <c r="F338" s="128"/>
      <c r="G338" s="753"/>
      <c r="H338" s="128"/>
      <c r="I338" s="128"/>
      <c r="J338" s="130"/>
      <c r="K338" s="128"/>
      <c r="L338" s="128"/>
      <c r="M338" s="130"/>
      <c r="N338" s="130"/>
      <c r="O338" s="130"/>
      <c r="P338" s="128"/>
      <c r="Q338" s="128"/>
      <c r="R338" s="128"/>
      <c r="S338" s="298"/>
      <c r="T338" s="4"/>
      <c r="U338" s="4"/>
      <c r="V338" s="4"/>
      <c r="W338" s="4"/>
      <c r="X338" s="4"/>
      <c r="Y338" s="128"/>
      <c r="Z338" s="128"/>
      <c r="AA338" s="128"/>
      <c r="AB338" s="4"/>
      <c r="AC338" s="4"/>
      <c r="AD338" s="4"/>
      <c r="AE338" s="4"/>
      <c r="AF338" s="4"/>
      <c r="AG338" s="4"/>
      <c r="AH338" s="4"/>
      <c r="AI338" s="4"/>
      <c r="AJ338" s="246"/>
      <c r="AK338" s="246"/>
      <c r="AL338" s="129"/>
      <c r="AM338" s="129"/>
      <c r="AN338" s="129"/>
      <c r="AO338" s="246"/>
      <c r="AP338" s="246"/>
      <c r="AQ338" s="249"/>
      <c r="AR338" s="4"/>
      <c r="AS338" s="4"/>
      <c r="AT338" s="4"/>
      <c r="AU338" s="4"/>
      <c r="AV338" s="4"/>
      <c r="AW338" s="4"/>
      <c r="AX338" s="4"/>
      <c r="AY338" s="128"/>
      <c r="AZ338" s="4"/>
      <c r="BA338" s="4"/>
      <c r="BB338" s="4"/>
      <c r="BC338" s="4"/>
      <c r="BD338" s="4"/>
      <c r="BE338" s="4"/>
      <c r="BF338" s="4"/>
      <c r="BG338" s="4"/>
      <c r="BH338" s="4"/>
      <c r="BI338" s="567"/>
    </row>
    <row r="339" spans="1:61" ht="12.75" customHeight="1" x14ac:dyDescent="0.25">
      <c r="A339" s="4"/>
      <c r="B339" s="4"/>
      <c r="C339" s="4"/>
      <c r="D339" s="4"/>
      <c r="E339" s="128"/>
      <c r="F339" s="128"/>
      <c r="G339" s="753"/>
      <c r="H339" s="128"/>
      <c r="I339" s="128"/>
      <c r="J339" s="130"/>
      <c r="K339" s="128"/>
      <c r="L339" s="128"/>
      <c r="M339" s="130"/>
      <c r="N339" s="130"/>
      <c r="O339" s="130"/>
      <c r="P339" s="128"/>
      <c r="Q339" s="128"/>
      <c r="R339" s="128"/>
      <c r="S339" s="298"/>
      <c r="T339" s="4"/>
      <c r="U339" s="4"/>
      <c r="V339" s="4"/>
      <c r="W339" s="4"/>
      <c r="X339" s="4"/>
      <c r="Y339" s="128"/>
      <c r="Z339" s="128"/>
      <c r="AA339" s="128"/>
      <c r="AB339" s="4"/>
      <c r="AC339" s="4"/>
      <c r="AD339" s="4"/>
      <c r="AE339" s="4"/>
      <c r="AF339" s="4"/>
      <c r="AG339" s="4"/>
      <c r="AH339" s="4"/>
      <c r="AI339" s="4"/>
      <c r="AJ339" s="246"/>
      <c r="AK339" s="246"/>
      <c r="AL339" s="129"/>
      <c r="AM339" s="129"/>
      <c r="AN339" s="129"/>
      <c r="AO339" s="246"/>
      <c r="AP339" s="246"/>
      <c r="AQ339" s="249"/>
      <c r="AR339" s="4"/>
      <c r="AS339" s="4"/>
      <c r="AT339" s="4"/>
      <c r="AU339" s="4"/>
      <c r="AV339" s="4"/>
      <c r="AW339" s="4"/>
      <c r="AX339" s="4"/>
      <c r="AY339" s="128"/>
      <c r="AZ339" s="4"/>
      <c r="BA339" s="4"/>
      <c r="BB339" s="4"/>
      <c r="BC339" s="4"/>
      <c r="BD339" s="4"/>
      <c r="BE339" s="4"/>
      <c r="BF339" s="4"/>
      <c r="BG339" s="4"/>
      <c r="BH339" s="4"/>
      <c r="BI339" s="567"/>
    </row>
    <row r="340" spans="1:61" ht="12.75" customHeight="1" x14ac:dyDescent="0.25">
      <c r="A340" s="4"/>
      <c r="B340" s="4"/>
      <c r="C340" s="4"/>
      <c r="D340" s="4"/>
      <c r="E340" s="128"/>
      <c r="F340" s="128"/>
      <c r="G340" s="753"/>
      <c r="H340" s="128"/>
      <c r="I340" s="128"/>
      <c r="J340" s="130"/>
      <c r="K340" s="128"/>
      <c r="L340" s="128"/>
      <c r="M340" s="130"/>
      <c r="N340" s="130"/>
      <c r="O340" s="130"/>
      <c r="P340" s="128"/>
      <c r="Q340" s="128"/>
      <c r="R340" s="128"/>
      <c r="S340" s="298"/>
      <c r="T340" s="4"/>
      <c r="U340" s="4"/>
      <c r="V340" s="4"/>
      <c r="W340" s="4"/>
      <c r="X340" s="4"/>
      <c r="Y340" s="128"/>
      <c r="Z340" s="128"/>
      <c r="AA340" s="128"/>
      <c r="AB340" s="4"/>
      <c r="AC340" s="4"/>
      <c r="AD340" s="4"/>
      <c r="AE340" s="4"/>
      <c r="AF340" s="4"/>
      <c r="AG340" s="4"/>
      <c r="AH340" s="4"/>
      <c r="AI340" s="4"/>
      <c r="AJ340" s="246"/>
      <c r="AK340" s="246"/>
      <c r="AL340" s="129"/>
      <c r="AM340" s="129"/>
      <c r="AN340" s="129"/>
      <c r="AO340" s="246"/>
      <c r="AP340" s="246"/>
      <c r="AQ340" s="249"/>
      <c r="AR340" s="4"/>
      <c r="AS340" s="4"/>
      <c r="AT340" s="4"/>
      <c r="AU340" s="4"/>
      <c r="AV340" s="4"/>
      <c r="AW340" s="4"/>
      <c r="AX340" s="4"/>
      <c r="AY340" s="128"/>
      <c r="AZ340" s="4"/>
      <c r="BA340" s="4"/>
      <c r="BB340" s="4"/>
      <c r="BC340" s="4"/>
      <c r="BD340" s="4"/>
      <c r="BE340" s="4"/>
      <c r="BF340" s="4"/>
      <c r="BG340" s="4"/>
      <c r="BH340" s="4"/>
      <c r="BI340" s="567"/>
    </row>
    <row r="341" spans="1:61" ht="12.75" customHeight="1" x14ac:dyDescent="0.25">
      <c r="A341" s="4"/>
      <c r="B341" s="4"/>
      <c r="C341" s="4"/>
      <c r="D341" s="4"/>
      <c r="E341" s="128"/>
      <c r="F341" s="128"/>
      <c r="G341" s="753"/>
      <c r="H341" s="128"/>
      <c r="I341" s="128"/>
      <c r="J341" s="130"/>
      <c r="K341" s="128"/>
      <c r="L341" s="128"/>
      <c r="M341" s="130"/>
      <c r="N341" s="130"/>
      <c r="O341" s="130"/>
      <c r="P341" s="128"/>
      <c r="Q341" s="128"/>
      <c r="R341" s="128"/>
      <c r="S341" s="298"/>
      <c r="T341" s="4"/>
      <c r="U341" s="4"/>
      <c r="V341" s="4"/>
      <c r="W341" s="4"/>
      <c r="X341" s="4"/>
      <c r="Y341" s="128"/>
      <c r="Z341" s="128"/>
      <c r="AA341" s="128"/>
      <c r="AB341" s="4"/>
      <c r="AC341" s="4"/>
      <c r="AD341" s="4"/>
      <c r="AE341" s="4"/>
      <c r="AF341" s="4"/>
      <c r="AG341" s="4"/>
      <c r="AH341" s="4"/>
      <c r="AI341" s="4"/>
      <c r="AJ341" s="246"/>
      <c r="AK341" s="246"/>
      <c r="AL341" s="129"/>
      <c r="AM341" s="129"/>
      <c r="AN341" s="129"/>
      <c r="AO341" s="246"/>
      <c r="AP341" s="246"/>
      <c r="AQ341" s="249"/>
      <c r="AR341" s="4"/>
      <c r="AS341" s="4"/>
      <c r="AT341" s="4"/>
      <c r="AU341" s="4"/>
      <c r="AV341" s="4"/>
      <c r="AW341" s="4"/>
      <c r="AX341" s="4"/>
      <c r="AY341" s="128"/>
      <c r="AZ341" s="4"/>
      <c r="BA341" s="4"/>
      <c r="BB341" s="4"/>
      <c r="BC341" s="4"/>
      <c r="BD341" s="4"/>
      <c r="BE341" s="4"/>
      <c r="BF341" s="4"/>
      <c r="BG341" s="4"/>
      <c r="BH341" s="4"/>
      <c r="BI341" s="567"/>
    </row>
    <row r="342" spans="1:61" ht="12.75" customHeight="1" x14ac:dyDescent="0.25">
      <c r="A342" s="4"/>
      <c r="B342" s="4"/>
      <c r="C342" s="4"/>
      <c r="D342" s="4"/>
      <c r="E342" s="128"/>
      <c r="F342" s="128"/>
      <c r="G342" s="753"/>
      <c r="H342" s="128"/>
      <c r="I342" s="128"/>
      <c r="J342" s="130"/>
      <c r="K342" s="128"/>
      <c r="L342" s="128"/>
      <c r="M342" s="130"/>
      <c r="N342" s="130"/>
      <c r="O342" s="130"/>
      <c r="P342" s="128"/>
      <c r="Q342" s="128"/>
      <c r="R342" s="128"/>
      <c r="S342" s="298"/>
      <c r="T342" s="4"/>
      <c r="U342" s="4"/>
      <c r="V342" s="4"/>
      <c r="W342" s="4"/>
      <c r="X342" s="4"/>
      <c r="Y342" s="128"/>
      <c r="Z342" s="128"/>
      <c r="AA342" s="128"/>
      <c r="AB342" s="4"/>
      <c r="AC342" s="4"/>
      <c r="AD342" s="4"/>
      <c r="AE342" s="4"/>
      <c r="AF342" s="4"/>
      <c r="AG342" s="4"/>
      <c r="AH342" s="4"/>
      <c r="AI342" s="4"/>
      <c r="AJ342" s="246"/>
      <c r="AK342" s="246"/>
      <c r="AL342" s="129"/>
      <c r="AM342" s="129"/>
      <c r="AN342" s="129"/>
      <c r="AO342" s="246"/>
      <c r="AP342" s="246"/>
      <c r="AQ342" s="249"/>
      <c r="AR342" s="4"/>
      <c r="AS342" s="4"/>
      <c r="AT342" s="4"/>
      <c r="AU342" s="4"/>
      <c r="AV342" s="4"/>
      <c r="AW342" s="4"/>
      <c r="AX342" s="4"/>
      <c r="AY342" s="128"/>
      <c r="AZ342" s="4"/>
      <c r="BA342" s="4"/>
      <c r="BB342" s="4"/>
      <c r="BC342" s="4"/>
      <c r="BD342" s="4"/>
      <c r="BE342" s="4"/>
      <c r="BF342" s="4"/>
      <c r="BG342" s="4"/>
      <c r="BH342" s="4"/>
      <c r="BI342" s="567"/>
    </row>
    <row r="343" spans="1:61" ht="12.75" customHeight="1" x14ac:dyDescent="0.25">
      <c r="A343" s="4"/>
      <c r="B343" s="4"/>
      <c r="C343" s="4"/>
      <c r="D343" s="4"/>
      <c r="E343" s="128"/>
      <c r="F343" s="128"/>
      <c r="G343" s="753"/>
      <c r="H343" s="128"/>
      <c r="I343" s="128"/>
      <c r="J343" s="130"/>
      <c r="K343" s="128"/>
      <c r="L343" s="128"/>
      <c r="M343" s="130"/>
      <c r="N343" s="130"/>
      <c r="O343" s="130"/>
      <c r="P343" s="128"/>
      <c r="Q343" s="128"/>
      <c r="R343" s="128"/>
      <c r="S343" s="298"/>
      <c r="T343" s="4"/>
      <c r="U343" s="4"/>
      <c r="V343" s="4"/>
      <c r="W343" s="4"/>
      <c r="X343" s="4"/>
      <c r="Y343" s="128"/>
      <c r="Z343" s="128"/>
      <c r="AA343" s="128"/>
      <c r="AB343" s="4"/>
      <c r="AC343" s="4"/>
      <c r="AD343" s="4"/>
      <c r="AE343" s="4"/>
      <c r="AF343" s="4"/>
      <c r="AG343" s="4"/>
      <c r="AH343" s="4"/>
      <c r="AI343" s="4"/>
      <c r="AJ343" s="246"/>
      <c r="AK343" s="246"/>
      <c r="AL343" s="129"/>
      <c r="AM343" s="129"/>
      <c r="AN343" s="129"/>
      <c r="AO343" s="246"/>
      <c r="AP343" s="246"/>
      <c r="AQ343" s="249"/>
      <c r="AR343" s="4"/>
      <c r="AS343" s="4"/>
      <c r="AT343" s="4"/>
      <c r="AU343" s="4"/>
      <c r="AV343" s="4"/>
      <c r="AW343" s="4"/>
      <c r="AX343" s="4"/>
      <c r="AY343" s="128"/>
      <c r="AZ343" s="4"/>
      <c r="BA343" s="4"/>
      <c r="BB343" s="4"/>
      <c r="BC343" s="4"/>
      <c r="BD343" s="4"/>
      <c r="BE343" s="4"/>
      <c r="BF343" s="4"/>
      <c r="BG343" s="4"/>
      <c r="BH343" s="4"/>
      <c r="BI343" s="567"/>
    </row>
    <row r="344" spans="1:61" ht="12.75" customHeight="1" x14ac:dyDescent="0.25">
      <c r="A344" s="4"/>
      <c r="B344" s="4"/>
      <c r="C344" s="4"/>
      <c r="D344" s="4"/>
      <c r="E344" s="128"/>
      <c r="F344" s="128"/>
      <c r="G344" s="753"/>
      <c r="H344" s="128"/>
      <c r="I344" s="128"/>
      <c r="J344" s="130"/>
      <c r="K344" s="128"/>
      <c r="L344" s="128"/>
      <c r="M344" s="130"/>
      <c r="N344" s="130"/>
      <c r="O344" s="130"/>
      <c r="P344" s="128"/>
      <c r="Q344" s="128"/>
      <c r="R344" s="128"/>
      <c r="S344" s="298"/>
      <c r="T344" s="4"/>
      <c r="U344" s="4"/>
      <c r="V344" s="4"/>
      <c r="W344" s="4"/>
      <c r="X344" s="4"/>
      <c r="Y344" s="128"/>
      <c r="Z344" s="128"/>
      <c r="AA344" s="128"/>
      <c r="AB344" s="4"/>
      <c r="AC344" s="4"/>
      <c r="AD344" s="4"/>
      <c r="AE344" s="4"/>
      <c r="AF344" s="4"/>
      <c r="AG344" s="4"/>
      <c r="AH344" s="4"/>
      <c r="AI344" s="4"/>
      <c r="AJ344" s="246"/>
      <c r="AK344" s="246"/>
      <c r="AL344" s="129"/>
      <c r="AM344" s="129"/>
      <c r="AN344" s="129"/>
      <c r="AO344" s="246"/>
      <c r="AP344" s="246"/>
      <c r="AQ344" s="249"/>
      <c r="AR344" s="4"/>
      <c r="AS344" s="4"/>
      <c r="AT344" s="4"/>
      <c r="AU344" s="4"/>
      <c r="AV344" s="4"/>
      <c r="AW344" s="4"/>
      <c r="AX344" s="4"/>
      <c r="AY344" s="128"/>
      <c r="AZ344" s="4"/>
      <c r="BA344" s="4"/>
      <c r="BB344" s="4"/>
      <c r="BC344" s="4"/>
      <c r="BD344" s="4"/>
      <c r="BE344" s="4"/>
      <c r="BF344" s="4"/>
      <c r="BG344" s="4"/>
      <c r="BH344" s="4"/>
      <c r="BI344" s="567"/>
    </row>
    <row r="345" spans="1:61" ht="12.75" customHeight="1" x14ac:dyDescent="0.25">
      <c r="A345" s="4"/>
      <c r="B345" s="4"/>
      <c r="C345" s="4"/>
      <c r="D345" s="4"/>
      <c r="E345" s="128"/>
      <c r="F345" s="128"/>
      <c r="G345" s="753"/>
      <c r="H345" s="128"/>
      <c r="I345" s="128"/>
      <c r="J345" s="130"/>
      <c r="K345" s="128"/>
      <c r="L345" s="128"/>
      <c r="M345" s="130"/>
      <c r="N345" s="130"/>
      <c r="O345" s="130"/>
      <c r="P345" s="128"/>
      <c r="Q345" s="128"/>
      <c r="R345" s="128"/>
      <c r="S345" s="298"/>
      <c r="T345" s="4"/>
      <c r="U345" s="4"/>
      <c r="V345" s="4"/>
      <c r="W345" s="4"/>
      <c r="X345" s="4"/>
      <c r="Y345" s="128"/>
      <c r="Z345" s="128"/>
      <c r="AA345" s="128"/>
      <c r="AB345" s="4"/>
      <c r="AC345" s="4"/>
      <c r="AD345" s="4"/>
      <c r="AE345" s="4"/>
      <c r="AF345" s="4"/>
      <c r="AG345" s="4"/>
      <c r="AH345" s="4"/>
      <c r="AI345" s="4"/>
      <c r="AJ345" s="246"/>
      <c r="AK345" s="246"/>
      <c r="AL345" s="129"/>
      <c r="AM345" s="129"/>
      <c r="AN345" s="129"/>
      <c r="AO345" s="246"/>
      <c r="AP345" s="246"/>
      <c r="AQ345" s="249"/>
      <c r="AR345" s="4"/>
      <c r="AS345" s="4"/>
      <c r="AT345" s="4"/>
      <c r="AU345" s="4"/>
      <c r="AV345" s="4"/>
      <c r="AW345" s="4"/>
      <c r="AX345" s="4"/>
      <c r="AY345" s="128"/>
      <c r="AZ345" s="4"/>
      <c r="BA345" s="4"/>
      <c r="BB345" s="4"/>
      <c r="BC345" s="4"/>
      <c r="BD345" s="4"/>
      <c r="BE345" s="4"/>
      <c r="BF345" s="4"/>
      <c r="BG345" s="4"/>
      <c r="BH345" s="4"/>
      <c r="BI345" s="567"/>
    </row>
    <row r="346" spans="1:61" ht="12.75" customHeight="1" x14ac:dyDescent="0.25">
      <c r="A346" s="4"/>
      <c r="B346" s="4"/>
      <c r="C346" s="4"/>
      <c r="D346" s="4"/>
      <c r="E346" s="128"/>
      <c r="F346" s="128"/>
      <c r="G346" s="753"/>
      <c r="H346" s="128"/>
      <c r="I346" s="128"/>
      <c r="J346" s="130"/>
      <c r="K346" s="128"/>
      <c r="L346" s="128"/>
      <c r="M346" s="130"/>
      <c r="N346" s="130"/>
      <c r="O346" s="130"/>
      <c r="P346" s="128"/>
      <c r="Q346" s="128"/>
      <c r="R346" s="128"/>
      <c r="S346" s="298"/>
      <c r="T346" s="4"/>
      <c r="U346" s="4"/>
      <c r="V346" s="4"/>
      <c r="W346" s="4"/>
      <c r="X346" s="4"/>
      <c r="Y346" s="128"/>
      <c r="Z346" s="128"/>
      <c r="AA346" s="128"/>
      <c r="AB346" s="4"/>
      <c r="AC346" s="4"/>
      <c r="AD346" s="4"/>
      <c r="AE346" s="4"/>
      <c r="AF346" s="4"/>
      <c r="AG346" s="4"/>
      <c r="AH346" s="4"/>
      <c r="AI346" s="4"/>
      <c r="AJ346" s="246"/>
      <c r="AK346" s="246"/>
      <c r="AL346" s="129"/>
      <c r="AM346" s="129"/>
      <c r="AN346" s="129"/>
      <c r="AO346" s="246"/>
      <c r="AP346" s="246"/>
      <c r="AQ346" s="249"/>
      <c r="AR346" s="4"/>
      <c r="AS346" s="4"/>
      <c r="AT346" s="4"/>
      <c r="AU346" s="4"/>
      <c r="AV346" s="4"/>
      <c r="AW346" s="4"/>
      <c r="AX346" s="4"/>
      <c r="AY346" s="128"/>
      <c r="AZ346" s="4"/>
      <c r="BA346" s="4"/>
      <c r="BB346" s="4"/>
      <c r="BC346" s="4"/>
      <c r="BD346" s="4"/>
      <c r="BE346" s="4"/>
      <c r="BF346" s="4"/>
      <c r="BG346" s="4"/>
      <c r="BH346" s="4"/>
      <c r="BI346" s="567"/>
    </row>
    <row r="347" spans="1:61" ht="12.75" customHeight="1" x14ac:dyDescent="0.25">
      <c r="A347" s="4"/>
      <c r="B347" s="4"/>
      <c r="C347" s="4"/>
      <c r="D347" s="4"/>
      <c r="E347" s="128"/>
      <c r="F347" s="128"/>
      <c r="G347" s="753"/>
      <c r="H347" s="128"/>
      <c r="I347" s="128"/>
      <c r="J347" s="130"/>
      <c r="K347" s="128"/>
      <c r="L347" s="128"/>
      <c r="M347" s="130"/>
      <c r="N347" s="130"/>
      <c r="O347" s="130"/>
      <c r="P347" s="128"/>
      <c r="Q347" s="128"/>
      <c r="R347" s="128"/>
      <c r="S347" s="298"/>
      <c r="T347" s="4"/>
      <c r="U347" s="4"/>
      <c r="V347" s="4"/>
      <c r="W347" s="4"/>
      <c r="X347" s="4"/>
      <c r="Y347" s="128"/>
      <c r="Z347" s="128"/>
      <c r="AA347" s="128"/>
      <c r="AB347" s="4"/>
      <c r="AC347" s="4"/>
      <c r="AD347" s="4"/>
      <c r="AE347" s="4"/>
      <c r="AF347" s="4"/>
      <c r="AG347" s="4"/>
      <c r="AH347" s="4"/>
      <c r="AI347" s="4"/>
      <c r="AJ347" s="246"/>
      <c r="AK347" s="246"/>
      <c r="AL347" s="129"/>
      <c r="AM347" s="129"/>
      <c r="AN347" s="129"/>
      <c r="AO347" s="246"/>
      <c r="AP347" s="246"/>
      <c r="AQ347" s="249"/>
      <c r="AR347" s="4"/>
      <c r="AS347" s="4"/>
      <c r="AT347" s="4"/>
      <c r="AU347" s="4"/>
      <c r="AV347" s="4"/>
      <c r="AW347" s="4"/>
      <c r="AX347" s="4"/>
      <c r="AY347" s="128"/>
      <c r="AZ347" s="4"/>
      <c r="BA347" s="4"/>
      <c r="BB347" s="4"/>
      <c r="BC347" s="4"/>
      <c r="BD347" s="4"/>
      <c r="BE347" s="4"/>
      <c r="BF347" s="4"/>
      <c r="BG347" s="4"/>
      <c r="BH347" s="4"/>
      <c r="BI347" s="567"/>
    </row>
    <row r="348" spans="1:61" ht="12.75" customHeight="1" x14ac:dyDescent="0.25">
      <c r="A348" s="4"/>
      <c r="B348" s="4"/>
      <c r="C348" s="4"/>
      <c r="D348" s="4"/>
      <c r="E348" s="128"/>
      <c r="F348" s="128"/>
      <c r="G348" s="753"/>
      <c r="H348" s="128"/>
      <c r="I348" s="128"/>
      <c r="J348" s="130"/>
      <c r="K348" s="128"/>
      <c r="L348" s="128"/>
      <c r="M348" s="130"/>
      <c r="N348" s="130"/>
      <c r="O348" s="130"/>
      <c r="P348" s="128"/>
      <c r="Q348" s="128"/>
      <c r="R348" s="128"/>
      <c r="S348" s="298"/>
      <c r="T348" s="4"/>
      <c r="U348" s="4"/>
      <c r="V348" s="4"/>
      <c r="W348" s="4"/>
      <c r="X348" s="4"/>
      <c r="Y348" s="128"/>
      <c r="Z348" s="128"/>
      <c r="AA348" s="128"/>
      <c r="AB348" s="4"/>
      <c r="AC348" s="4"/>
      <c r="AD348" s="4"/>
      <c r="AE348" s="4"/>
      <c r="AF348" s="4"/>
      <c r="AG348" s="4"/>
      <c r="AH348" s="4"/>
      <c r="AI348" s="4"/>
      <c r="AJ348" s="246"/>
      <c r="AK348" s="246"/>
      <c r="AL348" s="129"/>
      <c r="AM348" s="129"/>
      <c r="AN348" s="129"/>
      <c r="AO348" s="246"/>
      <c r="AP348" s="246"/>
      <c r="AQ348" s="249"/>
      <c r="AR348" s="4"/>
      <c r="AS348" s="4"/>
      <c r="AT348" s="4"/>
      <c r="AU348" s="4"/>
      <c r="AV348" s="4"/>
      <c r="AW348" s="4"/>
      <c r="AX348" s="4"/>
      <c r="AY348" s="128"/>
      <c r="AZ348" s="4"/>
      <c r="BA348" s="4"/>
      <c r="BB348" s="4"/>
      <c r="BC348" s="4"/>
      <c r="BD348" s="4"/>
      <c r="BE348" s="4"/>
      <c r="BF348" s="4"/>
      <c r="BG348" s="4"/>
      <c r="BH348" s="4"/>
      <c r="BI348" s="567"/>
    </row>
    <row r="349" spans="1:61" ht="12.75" customHeight="1" x14ac:dyDescent="0.25">
      <c r="A349" s="4"/>
      <c r="B349" s="4"/>
      <c r="C349" s="4"/>
      <c r="D349" s="4"/>
      <c r="E349" s="128"/>
      <c r="F349" s="128"/>
      <c r="G349" s="753"/>
      <c r="H349" s="128"/>
      <c r="I349" s="128"/>
      <c r="J349" s="130"/>
      <c r="K349" s="128"/>
      <c r="L349" s="128"/>
      <c r="M349" s="130"/>
      <c r="N349" s="130"/>
      <c r="O349" s="130"/>
      <c r="P349" s="128"/>
      <c r="Q349" s="128"/>
      <c r="R349" s="128"/>
      <c r="S349" s="298"/>
      <c r="T349" s="4"/>
      <c r="U349" s="4"/>
      <c r="V349" s="4"/>
      <c r="W349" s="4"/>
      <c r="X349" s="4"/>
      <c r="Y349" s="128"/>
      <c r="Z349" s="128"/>
      <c r="AA349" s="128"/>
      <c r="AB349" s="4"/>
      <c r="AC349" s="4"/>
      <c r="AD349" s="4"/>
      <c r="AE349" s="4"/>
      <c r="AF349" s="4"/>
      <c r="AG349" s="4"/>
      <c r="AH349" s="4"/>
      <c r="AI349" s="4"/>
      <c r="AJ349" s="246"/>
      <c r="AK349" s="246"/>
      <c r="AL349" s="129"/>
      <c r="AM349" s="129"/>
      <c r="AN349" s="129"/>
      <c r="AO349" s="246"/>
      <c r="AP349" s="246"/>
      <c r="AQ349" s="249"/>
      <c r="AR349" s="4"/>
      <c r="AS349" s="4"/>
      <c r="AT349" s="4"/>
      <c r="AU349" s="4"/>
      <c r="AV349" s="4"/>
      <c r="AW349" s="4"/>
      <c r="AX349" s="4"/>
      <c r="AY349" s="128"/>
      <c r="AZ349" s="4"/>
      <c r="BA349" s="4"/>
      <c r="BB349" s="4"/>
      <c r="BC349" s="4"/>
      <c r="BD349" s="4"/>
      <c r="BE349" s="4"/>
      <c r="BF349" s="4"/>
      <c r="BG349" s="4"/>
      <c r="BH349" s="4"/>
      <c r="BI349" s="567"/>
    </row>
    <row r="350" spans="1:61" ht="12.75" customHeight="1" x14ac:dyDescent="0.25">
      <c r="A350" s="4"/>
      <c r="B350" s="4"/>
      <c r="C350" s="4"/>
      <c r="D350" s="4"/>
      <c r="E350" s="128"/>
      <c r="F350" s="128"/>
      <c r="G350" s="753"/>
      <c r="H350" s="128"/>
      <c r="I350" s="128"/>
      <c r="J350" s="130"/>
      <c r="K350" s="128"/>
      <c r="L350" s="128"/>
      <c r="M350" s="130"/>
      <c r="N350" s="130"/>
      <c r="O350" s="130"/>
      <c r="P350" s="128"/>
      <c r="Q350" s="128"/>
      <c r="R350" s="128"/>
      <c r="S350" s="298"/>
      <c r="T350" s="4"/>
      <c r="U350" s="4"/>
      <c r="V350" s="4"/>
      <c r="W350" s="4"/>
      <c r="X350" s="4"/>
      <c r="Y350" s="128"/>
      <c r="Z350" s="128"/>
      <c r="AA350" s="128"/>
      <c r="AB350" s="4"/>
      <c r="AC350" s="4"/>
      <c r="AD350" s="4"/>
      <c r="AE350" s="4"/>
      <c r="AF350" s="4"/>
      <c r="AG350" s="4"/>
      <c r="AH350" s="4"/>
      <c r="AI350" s="4"/>
      <c r="AJ350" s="246"/>
      <c r="AK350" s="246"/>
      <c r="AL350" s="129"/>
      <c r="AM350" s="129"/>
      <c r="AN350" s="129"/>
      <c r="AO350" s="246"/>
      <c r="AP350" s="246"/>
      <c r="AQ350" s="249"/>
      <c r="AR350" s="4"/>
      <c r="AS350" s="4"/>
      <c r="AT350" s="4"/>
      <c r="AU350" s="4"/>
      <c r="AV350" s="4"/>
      <c r="AW350" s="4"/>
      <c r="AX350" s="4"/>
      <c r="AY350" s="128"/>
      <c r="AZ350" s="4"/>
      <c r="BA350" s="4"/>
      <c r="BB350" s="4"/>
      <c r="BC350" s="4"/>
      <c r="BD350" s="4"/>
      <c r="BE350" s="4"/>
      <c r="BF350" s="4"/>
      <c r="BG350" s="4"/>
      <c r="BH350" s="4"/>
      <c r="BI350" s="567"/>
    </row>
    <row r="351" spans="1:61" ht="12.75" customHeight="1" x14ac:dyDescent="0.25">
      <c r="A351" s="4"/>
      <c r="B351" s="4"/>
      <c r="C351" s="4"/>
      <c r="D351" s="4"/>
      <c r="E351" s="128"/>
      <c r="F351" s="128"/>
      <c r="G351" s="753"/>
      <c r="H351" s="128"/>
      <c r="I351" s="128"/>
      <c r="J351" s="130"/>
      <c r="K351" s="128"/>
      <c r="L351" s="128"/>
      <c r="M351" s="130"/>
      <c r="N351" s="130"/>
      <c r="O351" s="130"/>
      <c r="P351" s="128"/>
      <c r="Q351" s="128"/>
      <c r="R351" s="128"/>
      <c r="S351" s="298"/>
      <c r="T351" s="4"/>
      <c r="U351" s="4"/>
      <c r="V351" s="4"/>
      <c r="W351" s="4"/>
      <c r="X351" s="4"/>
      <c r="Y351" s="128"/>
      <c r="Z351" s="128"/>
      <c r="AA351" s="128"/>
      <c r="AB351" s="4"/>
      <c r="AC351" s="4"/>
      <c r="AD351" s="4"/>
      <c r="AE351" s="4"/>
      <c r="AF351" s="4"/>
      <c r="AG351" s="4"/>
      <c r="AH351" s="4"/>
      <c r="AI351" s="4"/>
      <c r="AJ351" s="246"/>
      <c r="AK351" s="246"/>
      <c r="AL351" s="129"/>
      <c r="AM351" s="129"/>
      <c r="AN351" s="129"/>
      <c r="AO351" s="246"/>
      <c r="AP351" s="246"/>
      <c r="AQ351" s="249"/>
      <c r="AR351" s="4"/>
      <c r="AS351" s="4"/>
      <c r="AT351" s="4"/>
      <c r="AU351" s="4"/>
      <c r="AV351" s="4"/>
      <c r="AW351" s="4"/>
      <c r="AX351" s="4"/>
      <c r="AY351" s="128"/>
      <c r="AZ351" s="4"/>
      <c r="BA351" s="4"/>
      <c r="BB351" s="4"/>
      <c r="BC351" s="4"/>
      <c r="BD351" s="4"/>
      <c r="BE351" s="4"/>
      <c r="BF351" s="4"/>
      <c r="BG351" s="4"/>
      <c r="BH351" s="4"/>
      <c r="BI351" s="567"/>
    </row>
    <row r="352" spans="1:61" ht="12.75" customHeight="1" x14ac:dyDescent="0.25">
      <c r="A352" s="4"/>
      <c r="B352" s="4"/>
      <c r="C352" s="4"/>
      <c r="D352" s="4"/>
      <c r="E352" s="128"/>
      <c r="F352" s="128"/>
      <c r="G352" s="753"/>
      <c r="H352" s="128"/>
      <c r="I352" s="128"/>
      <c r="J352" s="130"/>
      <c r="K352" s="128"/>
      <c r="L352" s="128"/>
      <c r="M352" s="130"/>
      <c r="N352" s="130"/>
      <c r="O352" s="130"/>
      <c r="P352" s="128"/>
      <c r="Q352" s="128"/>
      <c r="R352" s="128"/>
      <c r="S352" s="298"/>
      <c r="T352" s="4"/>
      <c r="U352" s="4"/>
      <c r="V352" s="4"/>
      <c r="W352" s="4"/>
      <c r="X352" s="4"/>
      <c r="Y352" s="128"/>
      <c r="Z352" s="128"/>
      <c r="AA352" s="128"/>
      <c r="AB352" s="4"/>
      <c r="AC352" s="4"/>
      <c r="AD352" s="4"/>
      <c r="AE352" s="4"/>
      <c r="AF352" s="4"/>
      <c r="AG352" s="4"/>
      <c r="AH352" s="4"/>
      <c r="AI352" s="4"/>
      <c r="AJ352" s="246"/>
      <c r="AK352" s="246"/>
      <c r="AL352" s="129"/>
      <c r="AM352" s="129"/>
      <c r="AN352" s="129"/>
      <c r="AO352" s="246"/>
      <c r="AP352" s="246"/>
      <c r="AQ352" s="249"/>
      <c r="AR352" s="4"/>
      <c r="AS352" s="4"/>
      <c r="AT352" s="4"/>
      <c r="AU352" s="4"/>
      <c r="AV352" s="4"/>
      <c r="AW352" s="4"/>
      <c r="AX352" s="4"/>
      <c r="AY352" s="128"/>
      <c r="AZ352" s="4"/>
      <c r="BA352" s="4"/>
      <c r="BB352" s="4"/>
      <c r="BC352" s="4"/>
      <c r="BD352" s="4"/>
      <c r="BE352" s="4"/>
      <c r="BF352" s="4"/>
      <c r="BG352" s="4"/>
      <c r="BH352" s="4"/>
      <c r="BI352" s="567"/>
    </row>
    <row r="353" spans="1:61" ht="12.75" customHeight="1" x14ac:dyDescent="0.25">
      <c r="A353" s="4"/>
      <c r="B353" s="4"/>
      <c r="C353" s="4"/>
      <c r="D353" s="4"/>
      <c r="E353" s="128"/>
      <c r="F353" s="128"/>
      <c r="G353" s="753"/>
      <c r="H353" s="128"/>
      <c r="I353" s="128"/>
      <c r="J353" s="130"/>
      <c r="K353" s="128"/>
      <c r="L353" s="128"/>
      <c r="M353" s="130"/>
      <c r="N353" s="130"/>
      <c r="O353" s="130"/>
      <c r="P353" s="128"/>
      <c r="Q353" s="128"/>
      <c r="R353" s="128"/>
      <c r="S353" s="298"/>
      <c r="T353" s="4"/>
      <c r="U353" s="4"/>
      <c r="V353" s="4"/>
      <c r="W353" s="4"/>
      <c r="X353" s="4"/>
      <c r="Y353" s="128"/>
      <c r="Z353" s="128"/>
      <c r="AA353" s="128"/>
      <c r="AB353" s="4"/>
      <c r="AC353" s="4"/>
      <c r="AD353" s="4"/>
      <c r="AE353" s="4"/>
      <c r="AF353" s="4"/>
      <c r="AG353" s="4"/>
      <c r="AH353" s="4"/>
      <c r="AI353" s="4"/>
      <c r="AJ353" s="246"/>
      <c r="AK353" s="246"/>
      <c r="AL353" s="129"/>
      <c r="AM353" s="129"/>
      <c r="AN353" s="129"/>
      <c r="AO353" s="246"/>
      <c r="AP353" s="246"/>
      <c r="AQ353" s="249"/>
      <c r="AR353" s="4"/>
      <c r="AS353" s="4"/>
      <c r="AT353" s="4"/>
      <c r="AU353" s="4"/>
      <c r="AV353" s="4"/>
      <c r="AW353" s="4"/>
      <c r="AX353" s="4"/>
      <c r="AY353" s="128"/>
      <c r="AZ353" s="4"/>
      <c r="BA353" s="4"/>
      <c r="BB353" s="4"/>
      <c r="BC353" s="4"/>
      <c r="BD353" s="4"/>
      <c r="BE353" s="4"/>
      <c r="BF353" s="4"/>
      <c r="BG353" s="4"/>
      <c r="BH353" s="4"/>
      <c r="BI353" s="567"/>
    </row>
    <row r="354" spans="1:61" ht="12.75" customHeight="1" x14ac:dyDescent="0.25">
      <c r="A354" s="4"/>
      <c r="B354" s="4"/>
      <c r="C354" s="4"/>
      <c r="D354" s="4"/>
      <c r="E354" s="128"/>
      <c r="F354" s="128"/>
      <c r="G354" s="753"/>
      <c r="H354" s="128"/>
      <c r="I354" s="128"/>
      <c r="J354" s="130"/>
      <c r="K354" s="128"/>
      <c r="L354" s="128"/>
      <c r="M354" s="130"/>
      <c r="N354" s="130"/>
      <c r="O354" s="130"/>
      <c r="P354" s="128"/>
      <c r="Q354" s="128"/>
      <c r="R354" s="128"/>
      <c r="S354" s="298"/>
      <c r="T354" s="4"/>
      <c r="U354" s="4"/>
      <c r="V354" s="4"/>
      <c r="W354" s="4"/>
      <c r="X354" s="4"/>
      <c r="Y354" s="128"/>
      <c r="Z354" s="128"/>
      <c r="AA354" s="128"/>
      <c r="AB354" s="4"/>
      <c r="AC354" s="4"/>
      <c r="AD354" s="4"/>
      <c r="AE354" s="4"/>
      <c r="AF354" s="4"/>
      <c r="AG354" s="4"/>
      <c r="AH354" s="4"/>
      <c r="AI354" s="4"/>
      <c r="AJ354" s="246"/>
      <c r="AK354" s="246"/>
      <c r="AL354" s="129"/>
      <c r="AM354" s="129"/>
      <c r="AN354" s="129"/>
      <c r="AO354" s="246"/>
      <c r="AP354" s="246"/>
      <c r="AQ354" s="249"/>
      <c r="AR354" s="4"/>
      <c r="AS354" s="4"/>
      <c r="AT354" s="4"/>
      <c r="AU354" s="4"/>
      <c r="AV354" s="4"/>
      <c r="AW354" s="4"/>
      <c r="AX354" s="4"/>
      <c r="AY354" s="128"/>
      <c r="AZ354" s="4"/>
      <c r="BA354" s="4"/>
      <c r="BB354" s="4"/>
      <c r="BC354" s="4"/>
      <c r="BD354" s="4"/>
      <c r="BE354" s="4"/>
      <c r="BF354" s="4"/>
      <c r="BG354" s="4"/>
      <c r="BH354" s="4"/>
      <c r="BI354" s="567"/>
    </row>
    <row r="355" spans="1:61" ht="12.75" customHeight="1" x14ac:dyDescent="0.25">
      <c r="A355" s="4"/>
      <c r="B355" s="4"/>
      <c r="C355" s="4"/>
      <c r="D355" s="4"/>
      <c r="E355" s="128"/>
      <c r="F355" s="128"/>
      <c r="G355" s="753"/>
      <c r="H355" s="128"/>
      <c r="I355" s="128"/>
      <c r="J355" s="130"/>
      <c r="K355" s="128"/>
      <c r="L355" s="128"/>
      <c r="M355" s="130"/>
      <c r="N355" s="130"/>
      <c r="O355" s="130"/>
      <c r="P355" s="128"/>
      <c r="Q355" s="128"/>
      <c r="R355" s="128"/>
      <c r="S355" s="298"/>
      <c r="T355" s="4"/>
      <c r="U355" s="4"/>
      <c r="V355" s="4"/>
      <c r="W355" s="4"/>
      <c r="X355" s="4"/>
      <c r="Y355" s="128"/>
      <c r="Z355" s="128"/>
      <c r="AA355" s="128"/>
      <c r="AB355" s="4"/>
      <c r="AC355" s="4"/>
      <c r="AD355" s="4"/>
      <c r="AE355" s="4"/>
      <c r="AF355" s="4"/>
      <c r="AG355" s="4"/>
      <c r="AH355" s="4"/>
      <c r="AI355" s="4"/>
      <c r="AJ355" s="246"/>
      <c r="AK355" s="246"/>
      <c r="AL355" s="129"/>
      <c r="AM355" s="129"/>
      <c r="AN355" s="129"/>
      <c r="AO355" s="246"/>
      <c r="AP355" s="246"/>
      <c r="AQ355" s="249"/>
      <c r="AR355" s="4"/>
      <c r="AS355" s="4"/>
      <c r="AT355" s="4"/>
      <c r="AU355" s="4"/>
      <c r="AV355" s="4"/>
      <c r="AW355" s="4"/>
      <c r="AX355" s="4"/>
      <c r="AY355" s="128"/>
      <c r="AZ355" s="4"/>
      <c r="BA355" s="4"/>
      <c r="BB355" s="4"/>
      <c r="BC355" s="4"/>
      <c r="BD355" s="4"/>
      <c r="BE355" s="4"/>
      <c r="BF355" s="4"/>
      <c r="BG355" s="4"/>
      <c r="BH355" s="4"/>
      <c r="BI355" s="567"/>
    </row>
    <row r="356" spans="1:61" ht="12.75" customHeight="1" x14ac:dyDescent="0.25">
      <c r="A356" s="4"/>
      <c r="B356" s="4"/>
      <c r="C356" s="4"/>
      <c r="D356" s="4"/>
      <c r="E356" s="128"/>
      <c r="F356" s="128"/>
      <c r="G356" s="753"/>
      <c r="H356" s="128"/>
      <c r="I356" s="128"/>
      <c r="J356" s="130"/>
      <c r="K356" s="128"/>
      <c r="L356" s="128"/>
      <c r="M356" s="130"/>
      <c r="N356" s="130"/>
      <c r="O356" s="130"/>
      <c r="P356" s="128"/>
      <c r="Q356" s="128"/>
      <c r="R356" s="128"/>
      <c r="S356" s="298"/>
      <c r="T356" s="4"/>
      <c r="U356" s="4"/>
      <c r="V356" s="4"/>
      <c r="W356" s="4"/>
      <c r="X356" s="4"/>
      <c r="Y356" s="128"/>
      <c r="Z356" s="128"/>
      <c r="AA356" s="128"/>
      <c r="AB356" s="4"/>
      <c r="AC356" s="4"/>
      <c r="AD356" s="4"/>
      <c r="AE356" s="4"/>
      <c r="AF356" s="4"/>
      <c r="AG356" s="4"/>
      <c r="AH356" s="4"/>
      <c r="AI356" s="4"/>
      <c r="AJ356" s="246"/>
      <c r="AK356" s="246"/>
      <c r="AL356" s="129"/>
      <c r="AM356" s="129"/>
      <c r="AN356" s="129"/>
      <c r="AO356" s="246"/>
      <c r="AP356" s="246"/>
      <c r="AQ356" s="249"/>
      <c r="AR356" s="4"/>
      <c r="AS356" s="4"/>
      <c r="AT356" s="4"/>
      <c r="AU356" s="4"/>
      <c r="AV356" s="4"/>
      <c r="AW356" s="4"/>
      <c r="AX356" s="4"/>
      <c r="AY356" s="128"/>
      <c r="AZ356" s="4"/>
      <c r="BA356" s="4"/>
      <c r="BB356" s="4"/>
      <c r="BC356" s="4"/>
      <c r="BD356" s="4"/>
      <c r="BE356" s="4"/>
      <c r="BF356" s="4"/>
      <c r="BG356" s="4"/>
      <c r="BH356" s="4"/>
      <c r="BI356" s="567"/>
    </row>
    <row r="357" spans="1:61" ht="12.75" customHeight="1" x14ac:dyDescent="0.25">
      <c r="A357" s="4"/>
      <c r="B357" s="4"/>
      <c r="C357" s="4"/>
      <c r="D357" s="4"/>
      <c r="E357" s="128"/>
      <c r="F357" s="128"/>
      <c r="G357" s="753"/>
      <c r="H357" s="128"/>
      <c r="I357" s="128"/>
      <c r="J357" s="130"/>
      <c r="K357" s="128"/>
      <c r="L357" s="128"/>
      <c r="M357" s="130"/>
      <c r="N357" s="130"/>
      <c r="O357" s="130"/>
      <c r="P357" s="128"/>
      <c r="Q357" s="128"/>
      <c r="R357" s="128"/>
      <c r="S357" s="298"/>
      <c r="T357" s="4"/>
      <c r="U357" s="4"/>
      <c r="V357" s="4"/>
      <c r="W357" s="4"/>
      <c r="X357" s="4"/>
      <c r="Y357" s="128"/>
      <c r="Z357" s="128"/>
      <c r="AA357" s="128"/>
      <c r="AB357" s="4"/>
      <c r="AC357" s="4"/>
      <c r="AD357" s="4"/>
      <c r="AE357" s="4"/>
      <c r="AF357" s="4"/>
      <c r="AG357" s="4"/>
      <c r="AH357" s="4"/>
      <c r="AI357" s="4"/>
      <c r="AJ357" s="246"/>
      <c r="AK357" s="246"/>
      <c r="AL357" s="129"/>
      <c r="AM357" s="129"/>
      <c r="AN357" s="129"/>
      <c r="AO357" s="246"/>
      <c r="AP357" s="246"/>
      <c r="AQ357" s="249"/>
      <c r="AR357" s="4"/>
      <c r="AS357" s="4"/>
      <c r="AT357" s="4"/>
      <c r="AU357" s="4"/>
      <c r="AV357" s="4"/>
      <c r="AW357" s="4"/>
      <c r="AX357" s="4"/>
      <c r="AY357" s="128"/>
      <c r="AZ357" s="4"/>
      <c r="BA357" s="4"/>
      <c r="BB357" s="4"/>
      <c r="BC357" s="4"/>
      <c r="BD357" s="4"/>
      <c r="BE357" s="4"/>
      <c r="BF357" s="4"/>
      <c r="BG357" s="4"/>
      <c r="BH357" s="4"/>
      <c r="BI357" s="567"/>
    </row>
    <row r="358" spans="1:61" ht="12.75" customHeight="1" x14ac:dyDescent="0.25">
      <c r="A358" s="4"/>
      <c r="B358" s="4"/>
      <c r="C358" s="4"/>
      <c r="D358" s="4"/>
      <c r="E358" s="128"/>
      <c r="F358" s="128"/>
      <c r="G358" s="753"/>
      <c r="H358" s="128"/>
      <c r="I358" s="128"/>
      <c r="J358" s="130"/>
      <c r="K358" s="128"/>
      <c r="L358" s="128"/>
      <c r="M358" s="130"/>
      <c r="N358" s="130"/>
      <c r="O358" s="130"/>
      <c r="P358" s="128"/>
      <c r="Q358" s="128"/>
      <c r="R358" s="128"/>
      <c r="S358" s="298"/>
      <c r="T358" s="4"/>
      <c r="U358" s="4"/>
      <c r="V358" s="4"/>
      <c r="W358" s="4"/>
      <c r="X358" s="4"/>
      <c r="Y358" s="128"/>
      <c r="Z358" s="128"/>
      <c r="AA358" s="128"/>
      <c r="AB358" s="4"/>
      <c r="AC358" s="4"/>
      <c r="AD358" s="4"/>
      <c r="AE358" s="4"/>
      <c r="AF358" s="4"/>
      <c r="AG358" s="4"/>
      <c r="AH358" s="4"/>
      <c r="AI358" s="4"/>
      <c r="AJ358" s="246"/>
      <c r="AK358" s="246"/>
      <c r="AL358" s="129"/>
      <c r="AM358" s="129"/>
      <c r="AN358" s="129"/>
      <c r="AO358" s="246"/>
      <c r="AP358" s="246"/>
      <c r="AQ358" s="249"/>
      <c r="AR358" s="4"/>
      <c r="AS358" s="4"/>
      <c r="AT358" s="4"/>
      <c r="AU358" s="4"/>
      <c r="AV358" s="4"/>
      <c r="AW358" s="4"/>
      <c r="AX358" s="4"/>
      <c r="AY358" s="128"/>
      <c r="AZ358" s="4"/>
      <c r="BA358" s="4"/>
      <c r="BB358" s="4"/>
      <c r="BC358" s="4"/>
      <c r="BD358" s="4"/>
      <c r="BE358" s="4"/>
      <c r="BF358" s="4"/>
      <c r="BG358" s="4"/>
      <c r="BH358" s="4"/>
      <c r="BI358" s="567"/>
    </row>
    <row r="359" spans="1:61" ht="12.75" customHeight="1" x14ac:dyDescent="0.25">
      <c r="A359" s="4"/>
      <c r="B359" s="4"/>
      <c r="C359" s="4"/>
      <c r="D359" s="4"/>
      <c r="E359" s="128"/>
      <c r="F359" s="128"/>
      <c r="G359" s="753"/>
      <c r="H359" s="128"/>
      <c r="I359" s="128"/>
      <c r="J359" s="130"/>
      <c r="K359" s="128"/>
      <c r="L359" s="128"/>
      <c r="M359" s="130"/>
      <c r="N359" s="130"/>
      <c r="O359" s="130"/>
      <c r="P359" s="128"/>
      <c r="Q359" s="128"/>
      <c r="R359" s="128"/>
      <c r="S359" s="298"/>
      <c r="T359" s="4"/>
      <c r="U359" s="4"/>
      <c r="V359" s="4"/>
      <c r="W359" s="4"/>
      <c r="X359" s="4"/>
      <c r="Y359" s="128"/>
      <c r="Z359" s="128"/>
      <c r="AA359" s="128"/>
      <c r="AB359" s="4"/>
      <c r="AC359" s="4"/>
      <c r="AD359" s="4"/>
      <c r="AE359" s="4"/>
      <c r="AF359" s="4"/>
      <c r="AG359" s="4"/>
      <c r="AH359" s="4"/>
      <c r="AI359" s="4"/>
      <c r="AJ359" s="246"/>
      <c r="AK359" s="246"/>
      <c r="AL359" s="129"/>
      <c r="AM359" s="129"/>
      <c r="AN359" s="129"/>
      <c r="AO359" s="246"/>
      <c r="AP359" s="246"/>
      <c r="AQ359" s="249"/>
      <c r="AR359" s="4"/>
      <c r="AS359" s="4"/>
      <c r="AT359" s="4"/>
      <c r="AU359" s="4"/>
      <c r="AV359" s="4"/>
      <c r="AW359" s="4"/>
      <c r="AX359" s="4"/>
      <c r="AY359" s="128"/>
      <c r="AZ359" s="4"/>
      <c r="BA359" s="4"/>
      <c r="BB359" s="4"/>
      <c r="BC359" s="4"/>
      <c r="BD359" s="4"/>
      <c r="BE359" s="4"/>
      <c r="BF359" s="4"/>
      <c r="BG359" s="4"/>
      <c r="BH359" s="4"/>
      <c r="BI359" s="567"/>
    </row>
    <row r="360" spans="1:61" ht="12.75" customHeight="1" x14ac:dyDescent="0.25">
      <c r="A360" s="4"/>
      <c r="B360" s="4"/>
      <c r="C360" s="4"/>
      <c r="D360" s="4"/>
      <c r="E360" s="128"/>
      <c r="F360" s="128"/>
      <c r="G360" s="753"/>
      <c r="H360" s="128"/>
      <c r="I360" s="128"/>
      <c r="J360" s="130"/>
      <c r="K360" s="128"/>
      <c r="L360" s="128"/>
      <c r="M360" s="130"/>
      <c r="N360" s="130"/>
      <c r="O360" s="130"/>
      <c r="P360" s="128"/>
      <c r="Q360" s="128"/>
      <c r="R360" s="128"/>
      <c r="S360" s="298"/>
      <c r="T360" s="4"/>
      <c r="U360" s="4"/>
      <c r="V360" s="4"/>
      <c r="W360" s="4"/>
      <c r="X360" s="4"/>
      <c r="Y360" s="128"/>
      <c r="Z360" s="128"/>
      <c r="AA360" s="128"/>
      <c r="AB360" s="4"/>
      <c r="AC360" s="4"/>
      <c r="AD360" s="4"/>
      <c r="AE360" s="4"/>
      <c r="AF360" s="4"/>
      <c r="AG360" s="4"/>
      <c r="AH360" s="4"/>
      <c r="AI360" s="4"/>
      <c r="AJ360" s="246"/>
      <c r="AK360" s="246"/>
      <c r="AL360" s="129"/>
      <c r="AM360" s="129"/>
      <c r="AN360" s="129"/>
      <c r="AO360" s="246"/>
      <c r="AP360" s="246"/>
      <c r="AQ360" s="249"/>
      <c r="AR360" s="4"/>
      <c r="AS360" s="4"/>
      <c r="AT360" s="4"/>
      <c r="AU360" s="4"/>
      <c r="AV360" s="4"/>
      <c r="AW360" s="4"/>
      <c r="AX360" s="4"/>
      <c r="AY360" s="128"/>
      <c r="AZ360" s="4"/>
      <c r="BA360" s="4"/>
      <c r="BB360" s="4"/>
      <c r="BC360" s="4"/>
      <c r="BD360" s="4"/>
      <c r="BE360" s="4"/>
      <c r="BF360" s="4"/>
      <c r="BG360" s="4"/>
      <c r="BH360" s="4"/>
      <c r="BI360" s="567"/>
    </row>
    <row r="361" spans="1:61" ht="12.75" customHeight="1" x14ac:dyDescent="0.25">
      <c r="A361" s="4"/>
      <c r="B361" s="4"/>
      <c r="C361" s="4"/>
      <c r="D361" s="4"/>
      <c r="E361" s="128"/>
      <c r="F361" s="128"/>
      <c r="G361" s="753"/>
      <c r="H361" s="128"/>
      <c r="I361" s="128"/>
      <c r="J361" s="130"/>
      <c r="K361" s="128"/>
      <c r="L361" s="128"/>
      <c r="M361" s="130"/>
      <c r="N361" s="130"/>
      <c r="O361" s="130"/>
      <c r="P361" s="128"/>
      <c r="Q361" s="128"/>
      <c r="R361" s="128"/>
      <c r="S361" s="298"/>
      <c r="T361" s="4"/>
      <c r="U361" s="4"/>
      <c r="V361" s="4"/>
      <c r="W361" s="4"/>
      <c r="X361" s="4"/>
      <c r="Y361" s="128"/>
      <c r="Z361" s="128"/>
      <c r="AA361" s="128"/>
      <c r="AB361" s="4"/>
      <c r="AC361" s="4"/>
      <c r="AD361" s="4"/>
      <c r="AE361" s="4"/>
      <c r="AF361" s="4"/>
      <c r="AG361" s="4"/>
      <c r="AH361" s="4"/>
      <c r="AI361" s="4"/>
      <c r="AJ361" s="246"/>
      <c r="AK361" s="246"/>
      <c r="AL361" s="129"/>
      <c r="AM361" s="129"/>
      <c r="AN361" s="129"/>
      <c r="AO361" s="246"/>
      <c r="AP361" s="246"/>
      <c r="AQ361" s="249"/>
      <c r="AR361" s="4"/>
      <c r="AS361" s="4"/>
      <c r="AT361" s="4"/>
      <c r="AU361" s="4"/>
      <c r="AV361" s="4"/>
      <c r="AW361" s="4"/>
      <c r="AX361" s="4"/>
      <c r="AY361" s="128"/>
      <c r="AZ361" s="4"/>
      <c r="BA361" s="4"/>
      <c r="BB361" s="4"/>
      <c r="BC361" s="4"/>
      <c r="BD361" s="4"/>
      <c r="BE361" s="4"/>
      <c r="BF361" s="4"/>
      <c r="BG361" s="4"/>
      <c r="BH361" s="4"/>
      <c r="BI361" s="567"/>
    </row>
    <row r="362" spans="1:61" ht="12.75" customHeight="1" x14ac:dyDescent="0.25">
      <c r="A362" s="4"/>
      <c r="B362" s="4"/>
      <c r="C362" s="4"/>
      <c r="D362" s="4"/>
      <c r="E362" s="128"/>
      <c r="F362" s="128"/>
      <c r="G362" s="753"/>
      <c r="H362" s="128"/>
      <c r="I362" s="128"/>
      <c r="J362" s="130"/>
      <c r="K362" s="128"/>
      <c r="L362" s="128"/>
      <c r="M362" s="130"/>
      <c r="N362" s="130"/>
      <c r="O362" s="130"/>
      <c r="P362" s="128"/>
      <c r="Q362" s="128"/>
      <c r="R362" s="128"/>
      <c r="S362" s="298"/>
      <c r="T362" s="4"/>
      <c r="U362" s="4"/>
      <c r="V362" s="4"/>
      <c r="W362" s="4"/>
      <c r="X362" s="4"/>
      <c r="Y362" s="128"/>
      <c r="Z362" s="128"/>
      <c r="AA362" s="128"/>
      <c r="AB362" s="4"/>
      <c r="AC362" s="4"/>
      <c r="AD362" s="4"/>
      <c r="AE362" s="4"/>
      <c r="AF362" s="4"/>
      <c r="AG362" s="4"/>
      <c r="AH362" s="4"/>
      <c r="AI362" s="4"/>
      <c r="AJ362" s="246"/>
      <c r="AK362" s="246"/>
      <c r="AL362" s="129"/>
      <c r="AM362" s="129"/>
      <c r="AN362" s="129"/>
      <c r="AO362" s="246"/>
      <c r="AP362" s="246"/>
      <c r="AQ362" s="249"/>
      <c r="AR362" s="4"/>
      <c r="AS362" s="4"/>
      <c r="AT362" s="4"/>
      <c r="AU362" s="4"/>
      <c r="AV362" s="4"/>
      <c r="AW362" s="4"/>
      <c r="AX362" s="4"/>
      <c r="AY362" s="128"/>
      <c r="AZ362" s="4"/>
      <c r="BA362" s="4"/>
      <c r="BB362" s="4"/>
      <c r="BC362" s="4"/>
      <c r="BD362" s="4"/>
      <c r="BE362" s="4"/>
      <c r="BF362" s="4"/>
      <c r="BG362" s="4"/>
      <c r="BH362" s="4"/>
      <c r="BI362" s="567"/>
    </row>
    <row r="363" spans="1:61" ht="12.75" customHeight="1" x14ac:dyDescent="0.25">
      <c r="A363" s="4"/>
      <c r="B363" s="4"/>
      <c r="C363" s="4"/>
      <c r="D363" s="4"/>
      <c r="E363" s="128"/>
      <c r="F363" s="128"/>
      <c r="G363" s="753"/>
      <c r="H363" s="128"/>
      <c r="I363" s="128"/>
      <c r="J363" s="130"/>
      <c r="K363" s="128"/>
      <c r="L363" s="128"/>
      <c r="M363" s="130"/>
      <c r="N363" s="130"/>
      <c r="O363" s="130"/>
      <c r="P363" s="128"/>
      <c r="Q363" s="128"/>
      <c r="R363" s="128"/>
      <c r="S363" s="298"/>
      <c r="T363" s="4"/>
      <c r="U363" s="4"/>
      <c r="V363" s="4"/>
      <c r="W363" s="4"/>
      <c r="X363" s="4"/>
      <c r="Y363" s="128"/>
      <c r="Z363" s="128"/>
      <c r="AA363" s="128"/>
      <c r="AB363" s="4"/>
      <c r="AC363" s="4"/>
      <c r="AD363" s="4"/>
      <c r="AE363" s="4"/>
      <c r="AF363" s="4"/>
      <c r="AG363" s="4"/>
      <c r="AH363" s="4"/>
      <c r="AI363" s="4"/>
      <c r="AJ363" s="246"/>
      <c r="AK363" s="246"/>
      <c r="AL363" s="129"/>
      <c r="AM363" s="129"/>
      <c r="AN363" s="129"/>
      <c r="AO363" s="246"/>
      <c r="AP363" s="246"/>
      <c r="AQ363" s="249"/>
      <c r="AR363" s="4"/>
      <c r="AS363" s="4"/>
      <c r="AT363" s="4"/>
      <c r="AU363" s="4"/>
      <c r="AV363" s="4"/>
      <c r="AW363" s="4"/>
      <c r="AX363" s="4"/>
      <c r="AY363" s="128"/>
      <c r="AZ363" s="4"/>
      <c r="BA363" s="4"/>
      <c r="BB363" s="4"/>
      <c r="BC363" s="4"/>
      <c r="BD363" s="4"/>
      <c r="BE363" s="4"/>
      <c r="BF363" s="4"/>
      <c r="BG363" s="4"/>
      <c r="BH363" s="4"/>
      <c r="BI363" s="567"/>
    </row>
    <row r="364" spans="1:61" ht="12.75" customHeight="1" x14ac:dyDescent="0.25">
      <c r="A364" s="4"/>
      <c r="B364" s="4"/>
      <c r="C364" s="4"/>
      <c r="D364" s="4"/>
      <c r="E364" s="128"/>
      <c r="F364" s="128"/>
      <c r="G364" s="753"/>
      <c r="H364" s="128"/>
      <c r="I364" s="128"/>
      <c r="J364" s="130"/>
      <c r="K364" s="128"/>
      <c r="L364" s="128"/>
      <c r="M364" s="130"/>
      <c r="N364" s="130"/>
      <c r="O364" s="130"/>
      <c r="P364" s="128"/>
      <c r="Q364" s="128"/>
      <c r="R364" s="128"/>
      <c r="S364" s="298"/>
      <c r="T364" s="4"/>
      <c r="U364" s="4"/>
      <c r="V364" s="4"/>
      <c r="W364" s="4"/>
      <c r="X364" s="4"/>
      <c r="Y364" s="128"/>
      <c r="Z364" s="128"/>
      <c r="AA364" s="128"/>
      <c r="AB364" s="4"/>
      <c r="AC364" s="4"/>
      <c r="AD364" s="4"/>
      <c r="AE364" s="4"/>
      <c r="AF364" s="4"/>
      <c r="AG364" s="4"/>
      <c r="AH364" s="4"/>
      <c r="AI364" s="4"/>
      <c r="AJ364" s="246"/>
      <c r="AK364" s="246"/>
      <c r="AL364" s="129"/>
      <c r="AM364" s="129"/>
      <c r="AN364" s="129"/>
      <c r="AO364" s="246"/>
      <c r="AP364" s="246"/>
      <c r="AQ364" s="249"/>
      <c r="AR364" s="4"/>
      <c r="AS364" s="4"/>
      <c r="AT364" s="4"/>
      <c r="AU364" s="4"/>
      <c r="AV364" s="4"/>
      <c r="AW364" s="4"/>
      <c r="AX364" s="4"/>
      <c r="AY364" s="128"/>
      <c r="AZ364" s="4"/>
      <c r="BA364" s="4"/>
      <c r="BB364" s="4"/>
      <c r="BC364" s="4"/>
      <c r="BD364" s="4"/>
      <c r="BE364" s="4"/>
      <c r="BF364" s="4"/>
      <c r="BG364" s="4"/>
      <c r="BH364" s="4"/>
      <c r="BI364" s="567"/>
    </row>
    <row r="365" spans="1:61" ht="12.75" customHeight="1" x14ac:dyDescent="0.25">
      <c r="A365" s="4"/>
      <c r="B365" s="4"/>
      <c r="C365" s="4"/>
      <c r="D365" s="4"/>
      <c r="E365" s="128"/>
      <c r="F365" s="128"/>
      <c r="G365" s="753"/>
      <c r="H365" s="128"/>
      <c r="I365" s="128"/>
      <c r="J365" s="130"/>
      <c r="K365" s="128"/>
      <c r="L365" s="128"/>
      <c r="M365" s="130"/>
      <c r="N365" s="130"/>
      <c r="O365" s="130"/>
      <c r="P365" s="128"/>
      <c r="Q365" s="128"/>
      <c r="R365" s="128"/>
      <c r="S365" s="298"/>
      <c r="T365" s="4"/>
      <c r="U365" s="4"/>
      <c r="V365" s="4"/>
      <c r="W365" s="4"/>
      <c r="X365" s="4"/>
      <c r="Y365" s="128"/>
      <c r="Z365" s="128"/>
      <c r="AA365" s="128"/>
      <c r="AB365" s="4"/>
      <c r="AC365" s="4"/>
      <c r="AD365" s="4"/>
      <c r="AE365" s="4"/>
      <c r="AF365" s="4"/>
      <c r="AG365" s="4"/>
      <c r="AH365" s="4"/>
      <c r="AI365" s="4"/>
      <c r="AJ365" s="246"/>
      <c r="AK365" s="246"/>
      <c r="AL365" s="129"/>
      <c r="AM365" s="129"/>
      <c r="AN365" s="129"/>
      <c r="AO365" s="246"/>
      <c r="AP365" s="246"/>
      <c r="AQ365" s="249"/>
      <c r="AR365" s="4"/>
      <c r="AS365" s="4"/>
      <c r="AT365" s="4"/>
      <c r="AU365" s="4"/>
      <c r="AV365" s="4"/>
      <c r="AW365" s="4"/>
      <c r="AX365" s="4"/>
      <c r="AY365" s="128"/>
      <c r="AZ365" s="4"/>
      <c r="BA365" s="4"/>
      <c r="BB365" s="4"/>
      <c r="BC365" s="4"/>
      <c r="BD365" s="4"/>
      <c r="BE365" s="4"/>
      <c r="BF365" s="4"/>
      <c r="BG365" s="4"/>
      <c r="BH365" s="4"/>
      <c r="BI365" s="567"/>
    </row>
    <row r="366" spans="1:61" ht="12.75" customHeight="1" x14ac:dyDescent="0.25">
      <c r="A366" s="4"/>
      <c r="B366" s="4"/>
      <c r="C366" s="4"/>
      <c r="D366" s="4"/>
      <c r="E366" s="128"/>
      <c r="F366" s="128"/>
      <c r="G366" s="753"/>
      <c r="H366" s="128"/>
      <c r="I366" s="128"/>
      <c r="J366" s="130"/>
      <c r="K366" s="128"/>
      <c r="L366" s="128"/>
      <c r="M366" s="130"/>
      <c r="N366" s="130"/>
      <c r="O366" s="130"/>
      <c r="P366" s="128"/>
      <c r="Q366" s="128"/>
      <c r="R366" s="128"/>
      <c r="S366" s="298"/>
      <c r="T366" s="4"/>
      <c r="U366" s="4"/>
      <c r="V366" s="4"/>
      <c r="W366" s="4"/>
      <c r="X366" s="4"/>
      <c r="Y366" s="128"/>
      <c r="Z366" s="128"/>
      <c r="AA366" s="128"/>
      <c r="AB366" s="4"/>
      <c r="AC366" s="4"/>
      <c r="AD366" s="4"/>
      <c r="AE366" s="4"/>
      <c r="AF366" s="4"/>
      <c r="AG366" s="4"/>
      <c r="AH366" s="4"/>
      <c r="AI366" s="4"/>
      <c r="AJ366" s="246"/>
      <c r="AK366" s="246"/>
      <c r="AL366" s="129"/>
      <c r="AM366" s="129"/>
      <c r="AN366" s="129"/>
      <c r="AO366" s="246"/>
      <c r="AP366" s="246"/>
      <c r="AQ366" s="249"/>
      <c r="AR366" s="4"/>
      <c r="AS366" s="4"/>
      <c r="AT366" s="4"/>
      <c r="AU366" s="4"/>
      <c r="AV366" s="4"/>
      <c r="AW366" s="4"/>
      <c r="AX366" s="4"/>
      <c r="AY366" s="128"/>
      <c r="AZ366" s="4"/>
      <c r="BA366" s="4"/>
      <c r="BB366" s="4"/>
      <c r="BC366" s="4"/>
      <c r="BD366" s="4"/>
      <c r="BE366" s="4"/>
      <c r="BF366" s="4"/>
      <c r="BG366" s="4"/>
      <c r="BH366" s="4"/>
      <c r="BI366" s="567"/>
    </row>
    <row r="367" spans="1:61" ht="12.75" customHeight="1" x14ac:dyDescent="0.25">
      <c r="A367" s="4"/>
      <c r="B367" s="4"/>
      <c r="C367" s="4"/>
      <c r="D367" s="4"/>
      <c r="E367" s="128"/>
      <c r="F367" s="128"/>
      <c r="G367" s="753"/>
      <c r="H367" s="128"/>
      <c r="I367" s="128"/>
      <c r="J367" s="130"/>
      <c r="K367" s="128"/>
      <c r="L367" s="128"/>
      <c r="M367" s="130"/>
      <c r="N367" s="130"/>
      <c r="O367" s="130"/>
      <c r="P367" s="128"/>
      <c r="Q367" s="128"/>
      <c r="R367" s="128"/>
      <c r="S367" s="298"/>
      <c r="T367" s="4"/>
      <c r="U367" s="4"/>
      <c r="V367" s="4"/>
      <c r="W367" s="4"/>
      <c r="X367" s="4"/>
      <c r="Y367" s="128"/>
      <c r="Z367" s="128"/>
      <c r="AA367" s="128"/>
      <c r="AB367" s="4"/>
      <c r="AC367" s="4"/>
      <c r="AD367" s="4"/>
      <c r="AE367" s="4"/>
      <c r="AF367" s="4"/>
      <c r="AG367" s="4"/>
      <c r="AH367" s="4"/>
      <c r="AI367" s="4"/>
      <c r="AJ367" s="246"/>
      <c r="AK367" s="246"/>
      <c r="AL367" s="129"/>
      <c r="AM367" s="129"/>
      <c r="AN367" s="129"/>
      <c r="AO367" s="246"/>
      <c r="AP367" s="246"/>
      <c r="AQ367" s="249"/>
      <c r="AR367" s="4"/>
      <c r="AS367" s="4"/>
      <c r="AT367" s="4"/>
      <c r="AU367" s="4"/>
      <c r="AV367" s="4"/>
      <c r="AW367" s="4"/>
      <c r="AX367" s="4"/>
      <c r="AY367" s="128"/>
      <c r="AZ367" s="4"/>
      <c r="BA367" s="4"/>
      <c r="BB367" s="4"/>
      <c r="BC367" s="4"/>
      <c r="BD367" s="4"/>
      <c r="BE367" s="4"/>
      <c r="BF367" s="4"/>
      <c r="BG367" s="4"/>
      <c r="BH367" s="4"/>
      <c r="BI367" s="567"/>
    </row>
    <row r="368" spans="1:61" ht="12.75" customHeight="1" x14ac:dyDescent="0.25">
      <c r="A368" s="4"/>
      <c r="B368" s="4"/>
      <c r="C368" s="4"/>
      <c r="D368" s="4"/>
      <c r="E368" s="128"/>
      <c r="F368" s="128"/>
      <c r="G368" s="753"/>
      <c r="H368" s="128"/>
      <c r="I368" s="128"/>
      <c r="J368" s="130"/>
      <c r="K368" s="128"/>
      <c r="L368" s="128"/>
      <c r="M368" s="130"/>
      <c r="N368" s="130"/>
      <c r="O368" s="130"/>
      <c r="P368" s="128"/>
      <c r="Q368" s="128"/>
      <c r="R368" s="128"/>
      <c r="S368" s="298"/>
      <c r="T368" s="4"/>
      <c r="U368" s="4"/>
      <c r="V368" s="4"/>
      <c r="W368" s="4"/>
      <c r="X368" s="4"/>
      <c r="Y368" s="128"/>
      <c r="Z368" s="128"/>
      <c r="AA368" s="128"/>
      <c r="AB368" s="4"/>
      <c r="AC368" s="4"/>
      <c r="AD368" s="4"/>
      <c r="AE368" s="4"/>
      <c r="AF368" s="4"/>
      <c r="AG368" s="4"/>
      <c r="AH368" s="4"/>
      <c r="AI368" s="4"/>
      <c r="AJ368" s="246"/>
      <c r="AK368" s="246"/>
      <c r="AL368" s="129"/>
      <c r="AM368" s="129"/>
      <c r="AN368" s="129"/>
      <c r="AO368" s="246"/>
      <c r="AP368" s="246"/>
      <c r="AQ368" s="249"/>
      <c r="AR368" s="4"/>
      <c r="AS368" s="4"/>
      <c r="AT368" s="4"/>
      <c r="AU368" s="4"/>
      <c r="AV368" s="4"/>
      <c r="AW368" s="4"/>
      <c r="AX368" s="4"/>
      <c r="AY368" s="128"/>
      <c r="AZ368" s="4"/>
      <c r="BA368" s="4"/>
      <c r="BB368" s="4"/>
      <c r="BC368" s="4"/>
      <c r="BD368" s="4"/>
      <c r="BE368" s="4"/>
      <c r="BF368" s="4"/>
      <c r="BG368" s="4"/>
      <c r="BH368" s="4"/>
      <c r="BI368" s="567"/>
    </row>
    <row r="369" spans="1:61" ht="12.75" customHeight="1" x14ac:dyDescent="0.25">
      <c r="A369" s="4"/>
      <c r="B369" s="4"/>
      <c r="C369" s="4"/>
      <c r="D369" s="4"/>
      <c r="E369" s="128"/>
      <c r="F369" s="128"/>
      <c r="G369" s="753"/>
      <c r="H369" s="128"/>
      <c r="I369" s="128"/>
      <c r="J369" s="130"/>
      <c r="K369" s="128"/>
      <c r="L369" s="128"/>
      <c r="M369" s="130"/>
      <c r="N369" s="130"/>
      <c r="O369" s="130"/>
      <c r="P369" s="128"/>
      <c r="Q369" s="128"/>
      <c r="R369" s="128"/>
      <c r="S369" s="298"/>
      <c r="T369" s="4"/>
      <c r="U369" s="4"/>
      <c r="V369" s="4"/>
      <c r="W369" s="4"/>
      <c r="X369" s="4"/>
      <c r="Y369" s="128"/>
      <c r="Z369" s="128"/>
      <c r="AA369" s="128"/>
      <c r="AB369" s="4"/>
      <c r="AC369" s="4"/>
      <c r="AD369" s="4"/>
      <c r="AE369" s="4"/>
      <c r="AF369" s="4"/>
      <c r="AG369" s="4"/>
      <c r="AH369" s="4"/>
      <c r="AI369" s="4"/>
      <c r="AJ369" s="246"/>
      <c r="AK369" s="246"/>
      <c r="AL369" s="129"/>
      <c r="AM369" s="129"/>
      <c r="AN369" s="129"/>
      <c r="AO369" s="246"/>
      <c r="AP369" s="246"/>
      <c r="AQ369" s="249"/>
      <c r="AR369" s="4"/>
      <c r="AS369" s="4"/>
      <c r="AT369" s="4"/>
      <c r="AU369" s="4"/>
      <c r="AV369" s="4"/>
      <c r="AW369" s="4"/>
      <c r="AX369" s="4"/>
      <c r="AY369" s="128"/>
      <c r="AZ369" s="4"/>
      <c r="BA369" s="4"/>
      <c r="BB369" s="4"/>
      <c r="BC369" s="4"/>
      <c r="BD369" s="4"/>
      <c r="BE369" s="4"/>
      <c r="BF369" s="4"/>
      <c r="BG369" s="4"/>
      <c r="BH369" s="4"/>
      <c r="BI369" s="567"/>
    </row>
    <row r="370" spans="1:61" ht="12.75" customHeight="1" x14ac:dyDescent="0.25">
      <c r="A370" s="4"/>
      <c r="B370" s="4"/>
      <c r="C370" s="4"/>
      <c r="D370" s="4"/>
      <c r="E370" s="128"/>
      <c r="F370" s="128"/>
      <c r="G370" s="753"/>
      <c r="H370" s="128"/>
      <c r="I370" s="128"/>
      <c r="J370" s="130"/>
      <c r="K370" s="128"/>
      <c r="L370" s="128"/>
      <c r="M370" s="130"/>
      <c r="N370" s="130"/>
      <c r="O370" s="130"/>
      <c r="P370" s="128"/>
      <c r="Q370" s="128"/>
      <c r="R370" s="128"/>
      <c r="S370" s="298"/>
      <c r="T370" s="4"/>
      <c r="U370" s="4"/>
      <c r="V370" s="4"/>
      <c r="W370" s="4"/>
      <c r="X370" s="4"/>
      <c r="Y370" s="128"/>
      <c r="Z370" s="128"/>
      <c r="AA370" s="128"/>
      <c r="AB370" s="4"/>
      <c r="AC370" s="4"/>
      <c r="AD370" s="4"/>
      <c r="AE370" s="4"/>
      <c r="AF370" s="4"/>
      <c r="AG370" s="4"/>
      <c r="AH370" s="4"/>
      <c r="AI370" s="4"/>
      <c r="AJ370" s="246"/>
      <c r="AK370" s="246"/>
      <c r="AL370" s="129"/>
      <c r="AM370" s="129"/>
      <c r="AN370" s="129"/>
      <c r="AO370" s="246"/>
      <c r="AP370" s="246"/>
      <c r="AQ370" s="249"/>
      <c r="AR370" s="4"/>
      <c r="AS370" s="4"/>
      <c r="AT370" s="4"/>
      <c r="AU370" s="4"/>
      <c r="AV370" s="4"/>
      <c r="AW370" s="4"/>
      <c r="AX370" s="4"/>
      <c r="AY370" s="128"/>
      <c r="AZ370" s="4"/>
      <c r="BA370" s="4"/>
      <c r="BB370" s="4"/>
      <c r="BC370" s="4"/>
      <c r="BD370" s="4"/>
      <c r="BE370" s="4"/>
      <c r="BF370" s="4"/>
      <c r="BG370" s="4"/>
      <c r="BH370" s="4"/>
      <c r="BI370" s="567"/>
    </row>
    <row r="371" spans="1:61" ht="12.75" customHeight="1" x14ac:dyDescent="0.25">
      <c r="A371" s="4"/>
      <c r="B371" s="4"/>
      <c r="C371" s="4"/>
      <c r="D371" s="4"/>
      <c r="E371" s="128"/>
      <c r="F371" s="128"/>
      <c r="G371" s="753"/>
      <c r="H371" s="128"/>
      <c r="I371" s="128"/>
      <c r="J371" s="130"/>
      <c r="K371" s="128"/>
      <c r="L371" s="128"/>
      <c r="M371" s="130"/>
      <c r="N371" s="130"/>
      <c r="O371" s="130"/>
      <c r="P371" s="128"/>
      <c r="Q371" s="128"/>
      <c r="R371" s="128"/>
      <c r="S371" s="298"/>
      <c r="T371" s="4"/>
      <c r="U371" s="4"/>
      <c r="V371" s="4"/>
      <c r="W371" s="4"/>
      <c r="X371" s="4"/>
      <c r="Y371" s="128"/>
      <c r="Z371" s="128"/>
      <c r="AA371" s="128"/>
      <c r="AB371" s="4"/>
      <c r="AC371" s="4"/>
      <c r="AD371" s="4"/>
      <c r="AE371" s="4"/>
      <c r="AF371" s="4"/>
      <c r="AG371" s="4"/>
      <c r="AH371" s="4"/>
      <c r="AI371" s="4"/>
      <c r="AJ371" s="246"/>
      <c r="AK371" s="246"/>
      <c r="AL371" s="129"/>
      <c r="AM371" s="129"/>
      <c r="AN371" s="129"/>
      <c r="AO371" s="246"/>
      <c r="AP371" s="246"/>
      <c r="AQ371" s="249"/>
      <c r="AR371" s="4"/>
      <c r="AS371" s="4"/>
      <c r="AT371" s="4"/>
      <c r="AU371" s="4"/>
      <c r="AV371" s="4"/>
      <c r="AW371" s="4"/>
      <c r="AX371" s="4"/>
      <c r="AY371" s="128"/>
      <c r="AZ371" s="4"/>
      <c r="BA371" s="4"/>
      <c r="BB371" s="4"/>
      <c r="BC371" s="4"/>
      <c r="BD371" s="4"/>
      <c r="BE371" s="4"/>
      <c r="BF371" s="4"/>
      <c r="BG371" s="4"/>
      <c r="BH371" s="4"/>
      <c r="BI371" s="567"/>
    </row>
    <row r="372" spans="1:61" ht="12.75" customHeight="1" x14ac:dyDescent="0.25">
      <c r="A372" s="4"/>
      <c r="B372" s="4"/>
      <c r="C372" s="4"/>
      <c r="D372" s="4"/>
      <c r="E372" s="128"/>
      <c r="F372" s="128"/>
      <c r="G372" s="753"/>
      <c r="H372" s="128"/>
      <c r="I372" s="128"/>
      <c r="J372" s="130"/>
      <c r="K372" s="128"/>
      <c r="L372" s="128"/>
      <c r="M372" s="130"/>
      <c r="N372" s="130"/>
      <c r="O372" s="130"/>
      <c r="P372" s="128"/>
      <c r="Q372" s="128"/>
      <c r="R372" s="128"/>
      <c r="S372" s="298"/>
      <c r="T372" s="4"/>
      <c r="U372" s="4"/>
      <c r="V372" s="4"/>
      <c r="W372" s="4"/>
      <c r="X372" s="4"/>
      <c r="Y372" s="128"/>
      <c r="Z372" s="128"/>
      <c r="AA372" s="128"/>
      <c r="AB372" s="4"/>
      <c r="AC372" s="4"/>
      <c r="AD372" s="4"/>
      <c r="AE372" s="4"/>
      <c r="AF372" s="4"/>
      <c r="AG372" s="4"/>
      <c r="AH372" s="4"/>
      <c r="AI372" s="4"/>
      <c r="AJ372" s="246"/>
      <c r="AK372" s="246"/>
      <c r="AL372" s="129"/>
      <c r="AM372" s="129"/>
      <c r="AN372" s="129"/>
      <c r="AO372" s="246"/>
      <c r="AP372" s="246"/>
      <c r="AQ372" s="249"/>
      <c r="AR372" s="4"/>
      <c r="AS372" s="4"/>
      <c r="AT372" s="4"/>
      <c r="AU372" s="4"/>
      <c r="AV372" s="4"/>
      <c r="AW372" s="4"/>
      <c r="AX372" s="4"/>
      <c r="AY372" s="128"/>
      <c r="AZ372" s="4"/>
      <c r="BA372" s="4"/>
      <c r="BB372" s="4"/>
      <c r="BC372" s="4"/>
      <c r="BD372" s="4"/>
      <c r="BE372" s="4"/>
      <c r="BF372" s="4"/>
      <c r="BG372" s="4"/>
      <c r="BH372" s="4"/>
      <c r="BI372" s="567"/>
    </row>
    <row r="373" spans="1:61" ht="12.75" customHeight="1" x14ac:dyDescent="0.25">
      <c r="A373" s="4"/>
      <c r="B373" s="4"/>
      <c r="C373" s="4"/>
      <c r="D373" s="4"/>
      <c r="E373" s="128"/>
      <c r="F373" s="128"/>
      <c r="G373" s="753"/>
      <c r="H373" s="128"/>
      <c r="I373" s="128"/>
      <c r="J373" s="130"/>
      <c r="K373" s="128"/>
      <c r="L373" s="128"/>
      <c r="M373" s="130"/>
      <c r="N373" s="130"/>
      <c r="O373" s="130"/>
      <c r="P373" s="128"/>
      <c r="Q373" s="128"/>
      <c r="R373" s="128"/>
      <c r="S373" s="298"/>
      <c r="T373" s="4"/>
      <c r="U373" s="4"/>
      <c r="V373" s="4"/>
      <c r="W373" s="4"/>
      <c r="X373" s="4"/>
      <c r="Y373" s="128"/>
      <c r="Z373" s="128"/>
      <c r="AA373" s="128"/>
      <c r="AB373" s="4"/>
      <c r="AC373" s="4"/>
      <c r="AD373" s="4"/>
      <c r="AE373" s="4"/>
      <c r="AF373" s="4"/>
      <c r="AG373" s="4"/>
      <c r="AH373" s="4"/>
      <c r="AI373" s="4"/>
      <c r="AJ373" s="246"/>
      <c r="AK373" s="246"/>
      <c r="AL373" s="129"/>
      <c r="AM373" s="129"/>
      <c r="AN373" s="129"/>
      <c r="AO373" s="246"/>
      <c r="AP373" s="246"/>
      <c r="AQ373" s="249"/>
      <c r="AR373" s="4"/>
      <c r="AS373" s="4"/>
      <c r="AT373" s="4"/>
      <c r="AU373" s="4"/>
      <c r="AV373" s="4"/>
      <c r="AW373" s="4"/>
      <c r="AX373" s="4"/>
      <c r="AY373" s="128"/>
      <c r="AZ373" s="4"/>
      <c r="BA373" s="4"/>
      <c r="BB373" s="4"/>
      <c r="BC373" s="4"/>
      <c r="BD373" s="4"/>
      <c r="BE373" s="4"/>
      <c r="BF373" s="4"/>
      <c r="BG373" s="4"/>
      <c r="BH373" s="4"/>
      <c r="BI373" s="567"/>
    </row>
    <row r="374" spans="1:61" ht="12.75" customHeight="1" x14ac:dyDescent="0.25">
      <c r="A374" s="4"/>
      <c r="B374" s="4"/>
      <c r="C374" s="4"/>
      <c r="D374" s="4"/>
      <c r="E374" s="128"/>
      <c r="F374" s="128"/>
      <c r="G374" s="753"/>
      <c r="H374" s="128"/>
      <c r="I374" s="128"/>
      <c r="J374" s="130"/>
      <c r="K374" s="128"/>
      <c r="L374" s="128"/>
      <c r="M374" s="130"/>
      <c r="N374" s="130"/>
      <c r="O374" s="130"/>
      <c r="P374" s="128"/>
      <c r="Q374" s="128"/>
      <c r="R374" s="128"/>
      <c r="S374" s="298"/>
      <c r="T374" s="4"/>
      <c r="U374" s="4"/>
      <c r="V374" s="4"/>
      <c r="W374" s="4"/>
      <c r="X374" s="4"/>
      <c r="Y374" s="128"/>
      <c r="Z374" s="128"/>
      <c r="AA374" s="128"/>
      <c r="AB374" s="4"/>
      <c r="AC374" s="4"/>
      <c r="AD374" s="4"/>
      <c r="AE374" s="4"/>
      <c r="AF374" s="4"/>
      <c r="AG374" s="4"/>
      <c r="AH374" s="4"/>
      <c r="AI374" s="4"/>
      <c r="AJ374" s="246"/>
      <c r="AK374" s="246"/>
      <c r="AL374" s="129"/>
      <c r="AM374" s="129"/>
      <c r="AN374" s="129"/>
      <c r="AO374" s="246"/>
      <c r="AP374" s="246"/>
      <c r="AQ374" s="249"/>
      <c r="AR374" s="4"/>
      <c r="AS374" s="4"/>
      <c r="AT374" s="4"/>
      <c r="AU374" s="4"/>
      <c r="AV374" s="4"/>
      <c r="AW374" s="4"/>
      <c r="AX374" s="4"/>
      <c r="AY374" s="128"/>
      <c r="AZ374" s="4"/>
      <c r="BA374" s="4"/>
      <c r="BB374" s="4"/>
      <c r="BC374" s="4"/>
      <c r="BD374" s="4"/>
      <c r="BE374" s="4"/>
      <c r="BF374" s="4"/>
      <c r="BG374" s="4"/>
      <c r="BH374" s="4"/>
      <c r="BI374" s="567"/>
    </row>
    <row r="375" spans="1:61" ht="12.75" customHeight="1" x14ac:dyDescent="0.25">
      <c r="A375" s="4"/>
      <c r="B375" s="4"/>
      <c r="C375" s="4"/>
      <c r="D375" s="4"/>
      <c r="E375" s="128"/>
      <c r="F375" s="128"/>
      <c r="G375" s="753"/>
      <c r="H375" s="128"/>
      <c r="I375" s="128"/>
      <c r="J375" s="130"/>
      <c r="K375" s="128"/>
      <c r="L375" s="128"/>
      <c r="M375" s="130"/>
      <c r="N375" s="130"/>
      <c r="O375" s="130"/>
      <c r="P375" s="128"/>
      <c r="Q375" s="128"/>
      <c r="R375" s="128"/>
      <c r="S375" s="298"/>
      <c r="T375" s="4"/>
      <c r="U375" s="4"/>
      <c r="V375" s="4"/>
      <c r="W375" s="4"/>
      <c r="X375" s="4"/>
      <c r="Y375" s="128"/>
      <c r="Z375" s="128"/>
      <c r="AA375" s="128"/>
      <c r="AB375" s="4"/>
      <c r="AC375" s="4"/>
      <c r="AD375" s="4"/>
      <c r="AE375" s="4"/>
      <c r="AF375" s="4"/>
      <c r="AG375" s="4"/>
      <c r="AH375" s="4"/>
      <c r="AI375" s="4"/>
      <c r="AJ375" s="246"/>
      <c r="AK375" s="246"/>
      <c r="AL375" s="129"/>
      <c r="AM375" s="129"/>
      <c r="AN375" s="129"/>
      <c r="AO375" s="246"/>
      <c r="AP375" s="246"/>
      <c r="AQ375" s="249"/>
      <c r="AR375" s="4"/>
      <c r="AS375" s="4"/>
      <c r="AT375" s="4"/>
      <c r="AU375" s="4"/>
      <c r="AV375" s="4"/>
      <c r="AW375" s="4"/>
      <c r="AX375" s="4"/>
      <c r="AY375" s="128"/>
      <c r="AZ375" s="4"/>
      <c r="BA375" s="4"/>
      <c r="BB375" s="4"/>
      <c r="BC375" s="4"/>
      <c r="BD375" s="4"/>
      <c r="BE375" s="4"/>
      <c r="BF375" s="4"/>
      <c r="BG375" s="4"/>
      <c r="BH375" s="4"/>
      <c r="BI375" s="567"/>
    </row>
    <row r="376" spans="1:61" ht="12.75" customHeight="1" x14ac:dyDescent="0.25">
      <c r="A376" s="4"/>
      <c r="B376" s="4"/>
      <c r="C376" s="4"/>
      <c r="D376" s="4"/>
      <c r="E376" s="128"/>
      <c r="F376" s="128"/>
      <c r="G376" s="753"/>
      <c r="H376" s="128"/>
      <c r="I376" s="128"/>
      <c r="J376" s="130"/>
      <c r="K376" s="128"/>
      <c r="L376" s="128"/>
      <c r="M376" s="130"/>
      <c r="N376" s="130"/>
      <c r="O376" s="130"/>
      <c r="P376" s="128"/>
      <c r="Q376" s="128"/>
      <c r="R376" s="128"/>
      <c r="S376" s="298"/>
      <c r="T376" s="4"/>
      <c r="U376" s="4"/>
      <c r="V376" s="4"/>
      <c r="W376" s="4"/>
      <c r="X376" s="4"/>
      <c r="Y376" s="128"/>
      <c r="Z376" s="128"/>
      <c r="AA376" s="128"/>
      <c r="AB376" s="4"/>
      <c r="AC376" s="4"/>
      <c r="AD376" s="4"/>
      <c r="AE376" s="4"/>
      <c r="AF376" s="4"/>
      <c r="AG376" s="4"/>
      <c r="AH376" s="4"/>
      <c r="AI376" s="4"/>
      <c r="AJ376" s="246"/>
      <c r="AK376" s="246"/>
      <c r="AL376" s="129"/>
      <c r="AM376" s="129"/>
      <c r="AN376" s="129"/>
      <c r="AO376" s="246"/>
      <c r="AP376" s="246"/>
      <c r="AQ376" s="249"/>
      <c r="AR376" s="4"/>
      <c r="AS376" s="4"/>
      <c r="AT376" s="4"/>
      <c r="AU376" s="4"/>
      <c r="AV376" s="4"/>
      <c r="AW376" s="4"/>
      <c r="AX376" s="4"/>
      <c r="AY376" s="128"/>
      <c r="AZ376" s="4"/>
      <c r="BA376" s="4"/>
      <c r="BB376" s="4"/>
      <c r="BC376" s="4"/>
      <c r="BD376" s="4"/>
      <c r="BE376" s="4"/>
      <c r="BF376" s="4"/>
      <c r="BG376" s="4"/>
      <c r="BH376" s="4"/>
      <c r="BI376" s="567"/>
    </row>
    <row r="377" spans="1:61" ht="12.75" customHeight="1" x14ac:dyDescent="0.25">
      <c r="A377" s="4"/>
      <c r="B377" s="4"/>
      <c r="C377" s="4"/>
      <c r="D377" s="4"/>
      <c r="E377" s="128"/>
      <c r="F377" s="128"/>
      <c r="G377" s="753"/>
      <c r="H377" s="128"/>
      <c r="I377" s="128"/>
      <c r="J377" s="130"/>
      <c r="K377" s="128"/>
      <c r="L377" s="128"/>
      <c r="M377" s="130"/>
      <c r="N377" s="130"/>
      <c r="O377" s="130"/>
      <c r="P377" s="128"/>
      <c r="Q377" s="128"/>
      <c r="R377" s="128"/>
      <c r="S377" s="298"/>
      <c r="T377" s="4"/>
      <c r="U377" s="4"/>
      <c r="V377" s="4"/>
      <c r="W377" s="4"/>
      <c r="X377" s="4"/>
      <c r="Y377" s="128"/>
      <c r="Z377" s="128"/>
      <c r="AA377" s="128"/>
      <c r="AB377" s="4"/>
      <c r="AC377" s="4"/>
      <c r="AD377" s="4"/>
      <c r="AE377" s="4"/>
      <c r="AF377" s="4"/>
      <c r="AG377" s="4"/>
      <c r="AH377" s="4"/>
      <c r="AI377" s="4"/>
      <c r="AJ377" s="246"/>
      <c r="AK377" s="246"/>
      <c r="AL377" s="129"/>
      <c r="AM377" s="129"/>
      <c r="AN377" s="129"/>
      <c r="AO377" s="246"/>
      <c r="AP377" s="246"/>
      <c r="AQ377" s="249"/>
      <c r="AR377" s="4"/>
      <c r="AS377" s="4"/>
      <c r="AT377" s="4"/>
      <c r="AU377" s="4"/>
      <c r="AV377" s="4"/>
      <c r="AW377" s="4"/>
      <c r="AX377" s="4"/>
      <c r="AY377" s="128"/>
      <c r="AZ377" s="4"/>
      <c r="BA377" s="4"/>
      <c r="BB377" s="4"/>
      <c r="BC377" s="4"/>
      <c r="BD377" s="4"/>
      <c r="BE377" s="4"/>
      <c r="BF377" s="4"/>
      <c r="BG377" s="4"/>
      <c r="BH377" s="4"/>
      <c r="BI377" s="567"/>
    </row>
    <row r="378" spans="1:61" ht="12.75" customHeight="1" x14ac:dyDescent="0.25">
      <c r="A378" s="4"/>
      <c r="B378" s="4"/>
      <c r="C378" s="4"/>
      <c r="D378" s="4"/>
      <c r="E378" s="128"/>
      <c r="F378" s="128"/>
      <c r="G378" s="753"/>
      <c r="H378" s="128"/>
      <c r="I378" s="128"/>
      <c r="J378" s="130"/>
      <c r="K378" s="128"/>
      <c r="L378" s="128"/>
      <c r="M378" s="130"/>
      <c r="N378" s="130"/>
      <c r="O378" s="130"/>
      <c r="P378" s="128"/>
      <c r="Q378" s="128"/>
      <c r="R378" s="128"/>
      <c r="S378" s="298"/>
      <c r="T378" s="4"/>
      <c r="U378" s="4"/>
      <c r="V378" s="4"/>
      <c r="W378" s="4"/>
      <c r="X378" s="4"/>
      <c r="Y378" s="128"/>
      <c r="Z378" s="128"/>
      <c r="AA378" s="128"/>
      <c r="AB378" s="4"/>
      <c r="AC378" s="4"/>
      <c r="AD378" s="4"/>
      <c r="AE378" s="4"/>
      <c r="AF378" s="4"/>
      <c r="AG378" s="4"/>
      <c r="AH378" s="4"/>
      <c r="AI378" s="4"/>
      <c r="AJ378" s="246"/>
      <c r="AK378" s="246"/>
      <c r="AL378" s="129"/>
      <c r="AM378" s="129"/>
      <c r="AN378" s="129"/>
      <c r="AO378" s="246"/>
      <c r="AP378" s="246"/>
      <c r="AQ378" s="249"/>
      <c r="AR378" s="4"/>
      <c r="AS378" s="4"/>
      <c r="AT378" s="4"/>
      <c r="AU378" s="4"/>
      <c r="AV378" s="4"/>
      <c r="AW378" s="4"/>
      <c r="AX378" s="4"/>
      <c r="AY378" s="128"/>
      <c r="AZ378" s="4"/>
      <c r="BA378" s="4"/>
      <c r="BB378" s="4"/>
      <c r="BC378" s="4"/>
      <c r="BD378" s="4"/>
      <c r="BE378" s="4"/>
      <c r="BF378" s="4"/>
      <c r="BG378" s="4"/>
      <c r="BH378" s="4"/>
      <c r="BI378" s="567"/>
    </row>
    <row r="379" spans="1:61" ht="12.75" customHeight="1" x14ac:dyDescent="0.25">
      <c r="A379" s="4"/>
      <c r="B379" s="4"/>
      <c r="C379" s="4"/>
      <c r="D379" s="4"/>
      <c r="E379" s="128"/>
      <c r="F379" s="128"/>
      <c r="G379" s="753"/>
      <c r="H379" s="128"/>
      <c r="I379" s="128"/>
      <c r="J379" s="130"/>
      <c r="K379" s="128"/>
      <c r="L379" s="128"/>
      <c r="M379" s="130"/>
      <c r="N379" s="130"/>
      <c r="O379" s="130"/>
      <c r="P379" s="128"/>
      <c r="Q379" s="128"/>
      <c r="R379" s="128"/>
      <c r="S379" s="298"/>
      <c r="T379" s="4"/>
      <c r="U379" s="4"/>
      <c r="V379" s="4"/>
      <c r="W379" s="4"/>
      <c r="X379" s="4"/>
      <c r="Y379" s="128"/>
      <c r="Z379" s="128"/>
      <c r="AA379" s="128"/>
      <c r="AB379" s="4"/>
      <c r="AC379" s="4"/>
      <c r="AD379" s="4"/>
      <c r="AE379" s="4"/>
      <c r="AF379" s="4"/>
      <c r="AG379" s="4"/>
      <c r="AH379" s="4"/>
      <c r="AI379" s="4"/>
      <c r="AJ379" s="246"/>
      <c r="AK379" s="246"/>
      <c r="AL379" s="129"/>
      <c r="AM379" s="129"/>
      <c r="AN379" s="129"/>
      <c r="AO379" s="246"/>
      <c r="AP379" s="246"/>
      <c r="AQ379" s="249"/>
      <c r="AR379" s="4"/>
      <c r="AS379" s="4"/>
      <c r="AT379" s="4"/>
      <c r="AU379" s="4"/>
      <c r="AV379" s="4"/>
      <c r="AW379" s="4"/>
      <c r="AX379" s="4"/>
      <c r="AY379" s="128"/>
      <c r="AZ379" s="4"/>
      <c r="BA379" s="4"/>
      <c r="BB379" s="4"/>
      <c r="BC379" s="4"/>
      <c r="BD379" s="4"/>
      <c r="BE379" s="4"/>
      <c r="BF379" s="4"/>
      <c r="BG379" s="4"/>
      <c r="BH379" s="4"/>
      <c r="BI379" s="567"/>
    </row>
    <row r="380" spans="1:61" ht="12.75" customHeight="1" x14ac:dyDescent="0.25">
      <c r="A380" s="4"/>
      <c r="B380" s="4"/>
      <c r="C380" s="4"/>
      <c r="D380" s="4"/>
      <c r="E380" s="128"/>
      <c r="F380" s="128"/>
      <c r="G380" s="753"/>
      <c r="H380" s="128"/>
      <c r="I380" s="128"/>
      <c r="J380" s="130"/>
      <c r="K380" s="128"/>
      <c r="L380" s="128"/>
      <c r="M380" s="130"/>
      <c r="N380" s="130"/>
      <c r="O380" s="130"/>
      <c r="P380" s="128"/>
      <c r="Q380" s="128"/>
      <c r="R380" s="128"/>
      <c r="S380" s="298"/>
      <c r="T380" s="4"/>
      <c r="U380" s="4"/>
      <c r="V380" s="4"/>
      <c r="W380" s="4"/>
      <c r="X380" s="4"/>
      <c r="Y380" s="128"/>
      <c r="Z380" s="128"/>
      <c r="AA380" s="128"/>
      <c r="AB380" s="4"/>
      <c r="AC380" s="4"/>
      <c r="AD380" s="4"/>
      <c r="AE380" s="4"/>
      <c r="AF380" s="4"/>
      <c r="AG380" s="4"/>
      <c r="AH380" s="4"/>
      <c r="AI380" s="4"/>
      <c r="AJ380" s="246"/>
      <c r="AK380" s="246"/>
      <c r="AL380" s="129"/>
      <c r="AM380" s="129"/>
      <c r="AN380" s="129"/>
      <c r="AO380" s="246"/>
      <c r="AP380" s="246"/>
      <c r="AQ380" s="249"/>
      <c r="AR380" s="4"/>
      <c r="AS380" s="4"/>
      <c r="AT380" s="4"/>
      <c r="AU380" s="4"/>
      <c r="AV380" s="4"/>
      <c r="AW380" s="4"/>
      <c r="AX380" s="4"/>
      <c r="AY380" s="128"/>
      <c r="AZ380" s="4"/>
      <c r="BA380" s="4"/>
      <c r="BB380" s="4"/>
      <c r="BC380" s="4"/>
      <c r="BD380" s="4"/>
      <c r="BE380" s="4"/>
      <c r="BF380" s="4"/>
      <c r="BG380" s="4"/>
      <c r="BH380" s="4"/>
      <c r="BI380" s="567"/>
    </row>
    <row r="381" spans="1:61" ht="12.75" customHeight="1" x14ac:dyDescent="0.25">
      <c r="A381" s="4"/>
      <c r="B381" s="4"/>
      <c r="C381" s="4"/>
      <c r="D381" s="4"/>
      <c r="E381" s="128"/>
      <c r="F381" s="128"/>
      <c r="G381" s="753"/>
      <c r="H381" s="128"/>
      <c r="I381" s="128"/>
      <c r="J381" s="130"/>
      <c r="K381" s="128"/>
      <c r="L381" s="128"/>
      <c r="M381" s="130"/>
      <c r="N381" s="130"/>
      <c r="O381" s="130"/>
      <c r="P381" s="128"/>
      <c r="Q381" s="128"/>
      <c r="R381" s="128"/>
      <c r="S381" s="298"/>
      <c r="T381" s="4"/>
      <c r="U381" s="4"/>
      <c r="V381" s="4"/>
      <c r="W381" s="4"/>
      <c r="X381" s="4"/>
      <c r="Y381" s="128"/>
      <c r="Z381" s="128"/>
      <c r="AA381" s="128"/>
      <c r="AB381" s="4"/>
      <c r="AC381" s="4"/>
      <c r="AD381" s="4"/>
      <c r="AE381" s="4"/>
      <c r="AF381" s="4"/>
      <c r="AG381" s="4"/>
      <c r="AH381" s="4"/>
      <c r="AI381" s="4"/>
      <c r="AJ381" s="246"/>
      <c r="AK381" s="246"/>
      <c r="AL381" s="129"/>
      <c r="AM381" s="129"/>
      <c r="AN381" s="129"/>
      <c r="AO381" s="246"/>
      <c r="AP381" s="246"/>
      <c r="AQ381" s="249"/>
      <c r="AR381" s="4"/>
      <c r="AS381" s="4"/>
      <c r="AT381" s="4"/>
      <c r="AU381" s="4"/>
      <c r="AV381" s="4"/>
      <c r="AW381" s="4"/>
      <c r="AX381" s="4"/>
      <c r="AY381" s="128"/>
      <c r="AZ381" s="4"/>
      <c r="BA381" s="4"/>
      <c r="BB381" s="4"/>
      <c r="BC381" s="4"/>
      <c r="BD381" s="4"/>
      <c r="BE381" s="4"/>
      <c r="BF381" s="4"/>
      <c r="BG381" s="4"/>
      <c r="BH381" s="4"/>
      <c r="BI381" s="567"/>
    </row>
    <row r="382" spans="1:61" ht="12.75" customHeight="1" x14ac:dyDescent="0.25">
      <c r="A382" s="4"/>
      <c r="B382" s="4"/>
      <c r="C382" s="4"/>
      <c r="D382" s="4"/>
      <c r="E382" s="128"/>
      <c r="F382" s="128"/>
      <c r="G382" s="753"/>
      <c r="H382" s="128"/>
      <c r="I382" s="128"/>
      <c r="J382" s="130"/>
      <c r="K382" s="128"/>
      <c r="L382" s="128"/>
      <c r="M382" s="130"/>
      <c r="N382" s="130"/>
      <c r="O382" s="130"/>
      <c r="P382" s="128"/>
      <c r="Q382" s="128"/>
      <c r="R382" s="128"/>
      <c r="S382" s="298"/>
      <c r="T382" s="4"/>
      <c r="U382" s="4"/>
      <c r="V382" s="4"/>
      <c r="W382" s="4"/>
      <c r="X382" s="4"/>
      <c r="Y382" s="128"/>
      <c r="Z382" s="128"/>
      <c r="AA382" s="128"/>
      <c r="AB382" s="4"/>
      <c r="AC382" s="4"/>
      <c r="AD382" s="4"/>
      <c r="AE382" s="4"/>
      <c r="AF382" s="4"/>
      <c r="AG382" s="4"/>
      <c r="AH382" s="4"/>
      <c r="AI382" s="4"/>
      <c r="AJ382" s="246"/>
      <c r="AK382" s="246"/>
      <c r="AL382" s="129"/>
      <c r="AM382" s="129"/>
      <c r="AN382" s="129"/>
      <c r="AO382" s="246"/>
      <c r="AP382" s="246"/>
      <c r="AQ382" s="249"/>
      <c r="AR382" s="4"/>
      <c r="AS382" s="4"/>
      <c r="AT382" s="4"/>
      <c r="AU382" s="4"/>
      <c r="AV382" s="4"/>
      <c r="AW382" s="4"/>
      <c r="AX382" s="4"/>
      <c r="AY382" s="128"/>
      <c r="AZ382" s="4"/>
      <c r="BA382" s="4"/>
      <c r="BB382" s="4"/>
      <c r="BC382" s="4"/>
      <c r="BD382" s="4"/>
      <c r="BE382" s="4"/>
      <c r="BF382" s="4"/>
      <c r="BG382" s="4"/>
      <c r="BH382" s="4"/>
      <c r="BI382" s="567"/>
    </row>
    <row r="383" spans="1:61" ht="12.75" customHeight="1" x14ac:dyDescent="0.25">
      <c r="A383" s="4"/>
      <c r="B383" s="4"/>
      <c r="C383" s="4"/>
      <c r="D383" s="4"/>
      <c r="E383" s="128"/>
      <c r="F383" s="128"/>
      <c r="G383" s="753"/>
      <c r="H383" s="128"/>
      <c r="I383" s="128"/>
      <c r="J383" s="130"/>
      <c r="K383" s="128"/>
      <c r="L383" s="128"/>
      <c r="M383" s="130"/>
      <c r="N383" s="130"/>
      <c r="O383" s="130"/>
      <c r="P383" s="128"/>
      <c r="Q383" s="128"/>
      <c r="R383" s="128"/>
      <c r="S383" s="298"/>
      <c r="T383" s="4"/>
      <c r="U383" s="4"/>
      <c r="V383" s="4"/>
      <c r="W383" s="4"/>
      <c r="X383" s="4"/>
      <c r="Y383" s="128"/>
      <c r="Z383" s="128"/>
      <c r="AA383" s="128"/>
      <c r="AB383" s="4"/>
      <c r="AC383" s="4"/>
      <c r="AD383" s="4"/>
      <c r="AE383" s="4"/>
      <c r="AF383" s="4"/>
      <c r="AG383" s="4"/>
      <c r="AH383" s="4"/>
      <c r="AI383" s="4"/>
      <c r="AJ383" s="246"/>
      <c r="AK383" s="246"/>
      <c r="AL383" s="129"/>
      <c r="AM383" s="129"/>
      <c r="AN383" s="129"/>
      <c r="AO383" s="246"/>
      <c r="AP383" s="246"/>
      <c r="AQ383" s="249"/>
      <c r="AR383" s="4"/>
      <c r="AS383" s="4"/>
      <c r="AT383" s="4"/>
      <c r="AU383" s="4"/>
      <c r="AV383" s="4"/>
      <c r="AW383" s="4"/>
      <c r="AX383" s="4"/>
      <c r="AY383" s="128"/>
      <c r="AZ383" s="4"/>
      <c r="BA383" s="4"/>
      <c r="BB383" s="4"/>
      <c r="BC383" s="4"/>
      <c r="BD383" s="4"/>
      <c r="BE383" s="4"/>
      <c r="BF383" s="4"/>
      <c r="BG383" s="4"/>
      <c r="BH383" s="4"/>
      <c r="BI383" s="567"/>
    </row>
    <row r="384" spans="1:61" ht="12.75" customHeight="1" x14ac:dyDescent="0.25">
      <c r="A384" s="4"/>
      <c r="B384" s="4"/>
      <c r="C384" s="4"/>
      <c r="D384" s="4"/>
      <c r="E384" s="128"/>
      <c r="F384" s="128"/>
      <c r="G384" s="753"/>
      <c r="H384" s="128"/>
      <c r="I384" s="128"/>
      <c r="J384" s="130"/>
      <c r="K384" s="128"/>
      <c r="L384" s="128"/>
      <c r="M384" s="130"/>
      <c r="N384" s="130"/>
      <c r="O384" s="130"/>
      <c r="P384" s="128"/>
      <c r="Q384" s="128"/>
      <c r="R384" s="128"/>
      <c r="S384" s="298"/>
      <c r="T384" s="4"/>
      <c r="U384" s="4"/>
      <c r="V384" s="4"/>
      <c r="W384" s="4"/>
      <c r="X384" s="4"/>
      <c r="Y384" s="128"/>
      <c r="Z384" s="128"/>
      <c r="AA384" s="128"/>
      <c r="AB384" s="4"/>
      <c r="AC384" s="4"/>
      <c r="AD384" s="4"/>
      <c r="AE384" s="4"/>
      <c r="AF384" s="4"/>
      <c r="AG384" s="4"/>
      <c r="AH384" s="4"/>
      <c r="AI384" s="4"/>
      <c r="AJ384" s="246"/>
      <c r="AK384" s="246"/>
      <c r="AL384" s="129"/>
      <c r="AM384" s="129"/>
      <c r="AN384" s="129"/>
      <c r="AO384" s="246"/>
      <c r="AP384" s="246"/>
      <c r="AQ384" s="249"/>
      <c r="AR384" s="4"/>
      <c r="AS384" s="4"/>
      <c r="AT384" s="4"/>
      <c r="AU384" s="4"/>
      <c r="AV384" s="4"/>
      <c r="AW384" s="4"/>
      <c r="AX384" s="4"/>
      <c r="AY384" s="128"/>
      <c r="AZ384" s="4"/>
      <c r="BA384" s="4"/>
      <c r="BB384" s="4"/>
      <c r="BC384" s="4"/>
      <c r="BD384" s="4"/>
      <c r="BE384" s="4"/>
      <c r="BF384" s="4"/>
      <c r="BG384" s="4"/>
      <c r="BH384" s="4"/>
      <c r="BI384" s="567"/>
    </row>
    <row r="385" spans="1:61" ht="12.75" customHeight="1" x14ac:dyDescent="0.25">
      <c r="A385" s="4"/>
      <c r="B385" s="4"/>
      <c r="C385" s="4"/>
      <c r="D385" s="4"/>
      <c r="E385" s="128"/>
      <c r="F385" s="128"/>
      <c r="G385" s="753"/>
      <c r="H385" s="128"/>
      <c r="I385" s="128"/>
      <c r="J385" s="130"/>
      <c r="K385" s="128"/>
      <c r="L385" s="128"/>
      <c r="M385" s="130"/>
      <c r="N385" s="130"/>
      <c r="O385" s="130"/>
      <c r="P385" s="128"/>
      <c r="Q385" s="128"/>
      <c r="R385" s="128"/>
      <c r="S385" s="298"/>
      <c r="T385" s="4"/>
      <c r="U385" s="4"/>
      <c r="V385" s="4"/>
      <c r="W385" s="4"/>
      <c r="X385" s="4"/>
      <c r="Y385" s="128"/>
      <c r="Z385" s="128"/>
      <c r="AA385" s="128"/>
      <c r="AB385" s="4"/>
      <c r="AC385" s="4"/>
      <c r="AD385" s="4"/>
      <c r="AE385" s="4"/>
      <c r="AF385" s="4"/>
      <c r="AG385" s="4"/>
      <c r="AH385" s="4"/>
      <c r="AI385" s="4"/>
      <c r="AJ385" s="246"/>
      <c r="AK385" s="246"/>
      <c r="AL385" s="129"/>
      <c r="AM385" s="129"/>
      <c r="AN385" s="129"/>
      <c r="AO385" s="246"/>
      <c r="AP385" s="246"/>
      <c r="AQ385" s="249"/>
      <c r="AR385" s="4"/>
      <c r="AS385" s="4"/>
      <c r="AT385" s="4"/>
      <c r="AU385" s="4"/>
      <c r="AV385" s="4"/>
      <c r="AW385" s="4"/>
      <c r="AX385" s="4"/>
      <c r="AY385" s="128"/>
      <c r="AZ385" s="4"/>
      <c r="BA385" s="4"/>
      <c r="BB385" s="4"/>
      <c r="BC385" s="4"/>
      <c r="BD385" s="4"/>
      <c r="BE385" s="4"/>
      <c r="BF385" s="4"/>
      <c r="BG385" s="4"/>
      <c r="BH385" s="4"/>
      <c r="BI385" s="567"/>
    </row>
    <row r="386" spans="1:61" ht="12.75" customHeight="1" x14ac:dyDescent="0.25">
      <c r="A386" s="4"/>
      <c r="B386" s="4"/>
      <c r="C386" s="4"/>
      <c r="D386" s="4"/>
      <c r="E386" s="128"/>
      <c r="F386" s="128"/>
      <c r="G386" s="753"/>
      <c r="H386" s="128"/>
      <c r="I386" s="128"/>
      <c r="J386" s="130"/>
      <c r="K386" s="128"/>
      <c r="L386" s="128"/>
      <c r="M386" s="130"/>
      <c r="N386" s="130"/>
      <c r="O386" s="130"/>
      <c r="P386" s="128"/>
      <c r="Q386" s="128"/>
      <c r="R386" s="128"/>
      <c r="S386" s="298"/>
      <c r="T386" s="4"/>
      <c r="U386" s="4"/>
      <c r="V386" s="4"/>
      <c r="W386" s="4"/>
      <c r="X386" s="4"/>
      <c r="Y386" s="128"/>
      <c r="Z386" s="128"/>
      <c r="AA386" s="128"/>
      <c r="AB386" s="4"/>
      <c r="AC386" s="4"/>
      <c r="AD386" s="4"/>
      <c r="AE386" s="4"/>
      <c r="AF386" s="4"/>
      <c r="AG386" s="4"/>
      <c r="AH386" s="4"/>
      <c r="AI386" s="4"/>
      <c r="AJ386" s="246"/>
      <c r="AK386" s="246"/>
      <c r="AL386" s="129"/>
      <c r="AM386" s="129"/>
      <c r="AN386" s="129"/>
      <c r="AO386" s="246"/>
      <c r="AP386" s="246"/>
      <c r="AQ386" s="249"/>
      <c r="AR386" s="4"/>
      <c r="AS386" s="4"/>
      <c r="AT386" s="4"/>
      <c r="AU386" s="4"/>
      <c r="AV386" s="4"/>
      <c r="AW386" s="4"/>
      <c r="AX386" s="4"/>
      <c r="AY386" s="128"/>
      <c r="AZ386" s="4"/>
      <c r="BA386" s="4"/>
      <c r="BB386" s="4"/>
      <c r="BC386" s="4"/>
      <c r="BD386" s="4"/>
      <c r="BE386" s="4"/>
      <c r="BF386" s="4"/>
      <c r="BG386" s="4"/>
      <c r="BH386" s="4"/>
      <c r="BI386" s="567"/>
    </row>
    <row r="387" spans="1:61" ht="12.75" customHeight="1" x14ac:dyDescent="0.25">
      <c r="A387" s="4"/>
      <c r="B387" s="4"/>
      <c r="C387" s="4"/>
      <c r="D387" s="4"/>
      <c r="E387" s="128"/>
      <c r="F387" s="128"/>
      <c r="G387" s="753"/>
      <c r="H387" s="128"/>
      <c r="I387" s="128"/>
      <c r="J387" s="130"/>
      <c r="K387" s="128"/>
      <c r="L387" s="128"/>
      <c r="M387" s="130"/>
      <c r="N387" s="130"/>
      <c r="O387" s="130"/>
      <c r="P387" s="128"/>
      <c r="Q387" s="128"/>
      <c r="R387" s="128"/>
      <c r="S387" s="298"/>
      <c r="T387" s="4"/>
      <c r="U387" s="4"/>
      <c r="V387" s="4"/>
      <c r="W387" s="4"/>
      <c r="X387" s="4"/>
      <c r="Y387" s="128"/>
      <c r="Z387" s="128"/>
      <c r="AA387" s="128"/>
      <c r="AB387" s="4"/>
      <c r="AC387" s="4"/>
      <c r="AD387" s="4"/>
      <c r="AE387" s="4"/>
      <c r="AF387" s="4"/>
      <c r="AG387" s="4"/>
      <c r="AH387" s="4"/>
      <c r="AI387" s="4"/>
      <c r="AJ387" s="246"/>
      <c r="AK387" s="246"/>
      <c r="AL387" s="129"/>
      <c r="AM387" s="129"/>
      <c r="AN387" s="129"/>
      <c r="AO387" s="246"/>
      <c r="AP387" s="246"/>
      <c r="AQ387" s="249"/>
      <c r="AR387" s="4"/>
      <c r="AS387" s="4"/>
      <c r="AT387" s="4"/>
      <c r="AU387" s="4"/>
      <c r="AV387" s="4"/>
      <c r="AW387" s="4"/>
      <c r="AX387" s="4"/>
      <c r="AY387" s="128"/>
      <c r="AZ387" s="4"/>
      <c r="BA387" s="4"/>
      <c r="BB387" s="4"/>
      <c r="BC387" s="4"/>
      <c r="BD387" s="4"/>
      <c r="BE387" s="4"/>
      <c r="BF387" s="4"/>
      <c r="BG387" s="4"/>
      <c r="BH387" s="4"/>
      <c r="BI387" s="567"/>
    </row>
    <row r="388" spans="1:61" ht="12.75" customHeight="1" x14ac:dyDescent="0.25">
      <c r="A388" s="4"/>
      <c r="B388" s="4"/>
      <c r="C388" s="4"/>
      <c r="D388" s="4"/>
      <c r="E388" s="128"/>
      <c r="F388" s="128"/>
      <c r="G388" s="753"/>
      <c r="H388" s="128"/>
      <c r="I388" s="128"/>
      <c r="J388" s="130"/>
      <c r="K388" s="128"/>
      <c r="L388" s="128"/>
      <c r="M388" s="130"/>
      <c r="N388" s="130"/>
      <c r="O388" s="130"/>
      <c r="P388" s="128"/>
      <c r="Q388" s="128"/>
      <c r="R388" s="128"/>
      <c r="S388" s="298"/>
      <c r="T388" s="4"/>
      <c r="U388" s="4"/>
      <c r="V388" s="4"/>
      <c r="W388" s="4"/>
      <c r="X388" s="4"/>
      <c r="Y388" s="128"/>
      <c r="Z388" s="128"/>
      <c r="AA388" s="128"/>
      <c r="AB388" s="4"/>
      <c r="AC388" s="4"/>
      <c r="AD388" s="4"/>
      <c r="AE388" s="4"/>
      <c r="AF388" s="4"/>
      <c r="AG388" s="4"/>
      <c r="AH388" s="4"/>
      <c r="AI388" s="4"/>
      <c r="AJ388" s="246"/>
      <c r="AK388" s="246"/>
      <c r="AL388" s="129"/>
      <c r="AM388" s="129"/>
      <c r="AN388" s="129"/>
      <c r="AO388" s="246"/>
      <c r="AP388" s="246"/>
      <c r="AQ388" s="249"/>
      <c r="AR388" s="4"/>
      <c r="AS388" s="4"/>
      <c r="AT388" s="4"/>
      <c r="AU388" s="4"/>
      <c r="AV388" s="4"/>
      <c r="AW388" s="4"/>
      <c r="AX388" s="4"/>
      <c r="AY388" s="128"/>
      <c r="AZ388" s="4"/>
      <c r="BA388" s="4"/>
      <c r="BB388" s="4"/>
      <c r="BC388" s="4"/>
      <c r="BD388" s="4"/>
      <c r="BE388" s="4"/>
      <c r="BF388" s="4"/>
      <c r="BG388" s="4"/>
      <c r="BH388" s="4"/>
      <c r="BI388" s="567"/>
    </row>
    <row r="389" spans="1:61" ht="12.75" customHeight="1" x14ac:dyDescent="0.25">
      <c r="A389" s="4"/>
      <c r="B389" s="4"/>
      <c r="C389" s="4"/>
      <c r="D389" s="4"/>
      <c r="E389" s="128"/>
      <c r="F389" s="128"/>
      <c r="G389" s="753"/>
      <c r="H389" s="128"/>
      <c r="I389" s="128"/>
      <c r="J389" s="130"/>
      <c r="K389" s="128"/>
      <c r="L389" s="128"/>
      <c r="M389" s="130"/>
      <c r="N389" s="130"/>
      <c r="O389" s="130"/>
      <c r="P389" s="128"/>
      <c r="Q389" s="128"/>
      <c r="R389" s="128"/>
      <c r="S389" s="298"/>
      <c r="T389" s="4"/>
      <c r="U389" s="4"/>
      <c r="V389" s="4"/>
      <c r="W389" s="4"/>
      <c r="X389" s="4"/>
      <c r="Y389" s="128"/>
      <c r="Z389" s="128"/>
      <c r="AA389" s="128"/>
      <c r="AB389" s="4"/>
      <c r="AC389" s="4"/>
      <c r="AD389" s="4"/>
      <c r="AE389" s="4"/>
      <c r="AF389" s="4"/>
      <c r="AG389" s="4"/>
      <c r="AH389" s="4"/>
      <c r="AI389" s="4"/>
      <c r="AJ389" s="246"/>
      <c r="AK389" s="246"/>
      <c r="AL389" s="129"/>
      <c r="AM389" s="129"/>
      <c r="AN389" s="129"/>
      <c r="AO389" s="246"/>
      <c r="AP389" s="246"/>
      <c r="AQ389" s="249"/>
      <c r="AR389" s="4"/>
      <c r="AS389" s="4"/>
      <c r="AT389" s="4"/>
      <c r="AU389" s="4"/>
      <c r="AV389" s="4"/>
      <c r="AW389" s="4"/>
      <c r="AX389" s="4"/>
      <c r="AY389" s="128"/>
      <c r="AZ389" s="4"/>
      <c r="BA389" s="4"/>
      <c r="BB389" s="4"/>
      <c r="BC389" s="4"/>
      <c r="BD389" s="4"/>
      <c r="BE389" s="4"/>
      <c r="BF389" s="4"/>
      <c r="BG389" s="4"/>
      <c r="BH389" s="4"/>
      <c r="BI389" s="567"/>
    </row>
    <row r="390" spans="1:61" ht="12.75" customHeight="1" x14ac:dyDescent="0.25">
      <c r="A390" s="4"/>
      <c r="B390" s="4"/>
      <c r="C390" s="4"/>
      <c r="D390" s="4"/>
      <c r="E390" s="128"/>
      <c r="F390" s="128"/>
      <c r="G390" s="753"/>
      <c r="H390" s="128"/>
      <c r="I390" s="128"/>
      <c r="J390" s="130"/>
      <c r="K390" s="128"/>
      <c r="L390" s="128"/>
      <c r="M390" s="130"/>
      <c r="N390" s="130"/>
      <c r="O390" s="130"/>
      <c r="P390" s="128"/>
      <c r="Q390" s="128"/>
      <c r="R390" s="128"/>
      <c r="S390" s="298"/>
      <c r="T390" s="4"/>
      <c r="U390" s="4"/>
      <c r="V390" s="4"/>
      <c r="W390" s="4"/>
      <c r="X390" s="4"/>
      <c r="Y390" s="128"/>
      <c r="Z390" s="128"/>
      <c r="AA390" s="128"/>
      <c r="AB390" s="4"/>
      <c r="AC390" s="4"/>
      <c r="AD390" s="4"/>
      <c r="AE390" s="4"/>
      <c r="AF390" s="4"/>
      <c r="AG390" s="4"/>
      <c r="AH390" s="4"/>
      <c r="AI390" s="4"/>
      <c r="AJ390" s="246"/>
      <c r="AK390" s="246"/>
      <c r="AL390" s="129"/>
      <c r="AM390" s="129"/>
      <c r="AN390" s="129"/>
      <c r="AO390" s="246"/>
      <c r="AP390" s="246"/>
      <c r="AQ390" s="249"/>
      <c r="AR390" s="4"/>
      <c r="AS390" s="4"/>
      <c r="AT390" s="4"/>
      <c r="AU390" s="4"/>
      <c r="AV390" s="4"/>
      <c r="AW390" s="4"/>
      <c r="AX390" s="4"/>
      <c r="AY390" s="128"/>
      <c r="AZ390" s="4"/>
      <c r="BA390" s="4"/>
      <c r="BB390" s="4"/>
      <c r="BC390" s="4"/>
      <c r="BD390" s="4"/>
      <c r="BE390" s="4"/>
      <c r="BF390" s="4"/>
      <c r="BG390" s="4"/>
      <c r="BH390" s="4"/>
      <c r="BI390" s="567"/>
    </row>
    <row r="391" spans="1:61" ht="12.75" customHeight="1" x14ac:dyDescent="0.25">
      <c r="A391" s="4"/>
      <c r="B391" s="4"/>
      <c r="C391" s="4"/>
      <c r="D391" s="4"/>
      <c r="E391" s="128"/>
      <c r="F391" s="128"/>
      <c r="G391" s="753"/>
      <c r="H391" s="128"/>
      <c r="I391" s="128"/>
      <c r="J391" s="130"/>
      <c r="K391" s="128"/>
      <c r="L391" s="128"/>
      <c r="M391" s="130"/>
      <c r="N391" s="130"/>
      <c r="O391" s="130"/>
      <c r="P391" s="128"/>
      <c r="Q391" s="128"/>
      <c r="R391" s="128"/>
      <c r="S391" s="298"/>
      <c r="T391" s="4"/>
      <c r="U391" s="4"/>
      <c r="V391" s="4"/>
      <c r="W391" s="4"/>
      <c r="X391" s="4"/>
      <c r="Y391" s="128"/>
      <c r="Z391" s="128"/>
      <c r="AA391" s="128"/>
      <c r="AB391" s="4"/>
      <c r="AC391" s="4"/>
      <c r="AD391" s="4"/>
      <c r="AE391" s="4"/>
      <c r="AF391" s="4"/>
      <c r="AG391" s="4"/>
      <c r="AH391" s="4"/>
      <c r="AI391" s="4"/>
      <c r="AJ391" s="246"/>
      <c r="AK391" s="246"/>
      <c r="AL391" s="129"/>
      <c r="AM391" s="129"/>
      <c r="AN391" s="129"/>
      <c r="AO391" s="246"/>
      <c r="AP391" s="246"/>
      <c r="AQ391" s="249"/>
      <c r="AR391" s="4"/>
      <c r="AS391" s="4"/>
      <c r="AT391" s="4"/>
      <c r="AU391" s="4"/>
      <c r="AV391" s="4"/>
      <c r="AW391" s="4"/>
      <c r="AX391" s="4"/>
      <c r="AY391" s="128"/>
      <c r="AZ391" s="4"/>
      <c r="BA391" s="4"/>
      <c r="BB391" s="4"/>
      <c r="BC391" s="4"/>
      <c r="BD391" s="4"/>
      <c r="BE391" s="4"/>
      <c r="BF391" s="4"/>
      <c r="BG391" s="4"/>
      <c r="BH391" s="4"/>
      <c r="BI391" s="567"/>
    </row>
    <row r="392" spans="1:61" ht="12.75" customHeight="1" x14ac:dyDescent="0.25">
      <c r="A392" s="4"/>
      <c r="B392" s="4"/>
      <c r="C392" s="4"/>
      <c r="D392" s="4"/>
      <c r="E392" s="128"/>
      <c r="F392" s="128"/>
      <c r="G392" s="753"/>
      <c r="H392" s="128"/>
      <c r="I392" s="128"/>
      <c r="J392" s="130"/>
      <c r="K392" s="128"/>
      <c r="L392" s="128"/>
      <c r="M392" s="130"/>
      <c r="N392" s="130"/>
      <c r="O392" s="130"/>
      <c r="P392" s="128"/>
      <c r="Q392" s="128"/>
      <c r="R392" s="128"/>
      <c r="S392" s="298"/>
      <c r="T392" s="4"/>
      <c r="U392" s="4"/>
      <c r="V392" s="4"/>
      <c r="W392" s="4"/>
      <c r="X392" s="4"/>
      <c r="Y392" s="128"/>
      <c r="Z392" s="128"/>
      <c r="AA392" s="128"/>
      <c r="AB392" s="4"/>
      <c r="AC392" s="4"/>
      <c r="AD392" s="4"/>
      <c r="AE392" s="4"/>
      <c r="AF392" s="4"/>
      <c r="AG392" s="4"/>
      <c r="AH392" s="4"/>
      <c r="AI392" s="4"/>
      <c r="AJ392" s="246"/>
      <c r="AK392" s="246"/>
      <c r="AL392" s="129"/>
      <c r="AM392" s="129"/>
      <c r="AN392" s="129"/>
      <c r="AO392" s="246"/>
      <c r="AP392" s="246"/>
      <c r="AQ392" s="249"/>
      <c r="AR392" s="4"/>
      <c r="AS392" s="4"/>
      <c r="AT392" s="4"/>
      <c r="AU392" s="4"/>
      <c r="AV392" s="4"/>
      <c r="AW392" s="4"/>
      <c r="AX392" s="4"/>
      <c r="AY392" s="128"/>
      <c r="AZ392" s="4"/>
      <c r="BA392" s="4"/>
      <c r="BB392" s="4"/>
      <c r="BC392" s="4"/>
      <c r="BD392" s="4"/>
      <c r="BE392" s="4"/>
      <c r="BF392" s="4"/>
      <c r="BG392" s="4"/>
      <c r="BH392" s="4"/>
      <c r="BI392" s="567"/>
    </row>
    <row r="393" spans="1:61" ht="12.75" customHeight="1" x14ac:dyDescent="0.25">
      <c r="A393" s="4"/>
      <c r="B393" s="4"/>
      <c r="C393" s="4"/>
      <c r="D393" s="4"/>
      <c r="E393" s="128"/>
      <c r="F393" s="128"/>
      <c r="G393" s="753"/>
      <c r="H393" s="128"/>
      <c r="I393" s="128"/>
      <c r="J393" s="130"/>
      <c r="K393" s="128"/>
      <c r="L393" s="128"/>
      <c r="M393" s="130"/>
      <c r="N393" s="130"/>
      <c r="O393" s="130"/>
      <c r="P393" s="128"/>
      <c r="Q393" s="128"/>
      <c r="R393" s="128"/>
      <c r="S393" s="298"/>
      <c r="T393" s="4"/>
      <c r="U393" s="4"/>
      <c r="V393" s="4"/>
      <c r="W393" s="4"/>
      <c r="X393" s="4"/>
      <c r="Y393" s="128"/>
      <c r="Z393" s="128"/>
      <c r="AA393" s="128"/>
      <c r="AB393" s="4"/>
      <c r="AC393" s="4"/>
      <c r="AD393" s="4"/>
      <c r="AE393" s="4"/>
      <c r="AF393" s="4"/>
      <c r="AG393" s="4"/>
      <c r="AH393" s="4"/>
      <c r="AI393" s="4"/>
      <c r="AJ393" s="246"/>
      <c r="AK393" s="246"/>
      <c r="AL393" s="129"/>
      <c r="AM393" s="129"/>
      <c r="AN393" s="129"/>
      <c r="AO393" s="246"/>
      <c r="AP393" s="246"/>
      <c r="AQ393" s="249"/>
      <c r="AR393" s="4"/>
      <c r="AS393" s="4"/>
      <c r="AT393" s="4"/>
      <c r="AU393" s="4"/>
      <c r="AV393" s="4"/>
      <c r="AW393" s="4"/>
      <c r="AX393" s="4"/>
      <c r="AY393" s="128"/>
      <c r="AZ393" s="4"/>
      <c r="BA393" s="4"/>
      <c r="BB393" s="4"/>
      <c r="BC393" s="4"/>
      <c r="BD393" s="4"/>
      <c r="BE393" s="4"/>
      <c r="BF393" s="4"/>
      <c r="BG393" s="4"/>
      <c r="BH393" s="4"/>
      <c r="BI393" s="567"/>
    </row>
    <row r="394" spans="1:61" ht="12.75" customHeight="1" x14ac:dyDescent="0.25">
      <c r="A394" s="4"/>
      <c r="B394" s="4"/>
      <c r="C394" s="4"/>
      <c r="D394" s="4"/>
      <c r="E394" s="128"/>
      <c r="F394" s="128"/>
      <c r="G394" s="753"/>
      <c r="H394" s="128"/>
      <c r="I394" s="128"/>
      <c r="J394" s="130"/>
      <c r="K394" s="128"/>
      <c r="L394" s="128"/>
      <c r="M394" s="130"/>
      <c r="N394" s="130"/>
      <c r="O394" s="130"/>
      <c r="P394" s="128"/>
      <c r="Q394" s="128"/>
      <c r="R394" s="128"/>
      <c r="S394" s="298"/>
      <c r="T394" s="4"/>
      <c r="U394" s="4"/>
      <c r="V394" s="4"/>
      <c r="W394" s="4"/>
      <c r="X394" s="4"/>
      <c r="Y394" s="128"/>
      <c r="Z394" s="128"/>
      <c r="AA394" s="128"/>
      <c r="AB394" s="4"/>
      <c r="AC394" s="4"/>
      <c r="AD394" s="4"/>
      <c r="AE394" s="4"/>
      <c r="AF394" s="4"/>
      <c r="AG394" s="4"/>
      <c r="AH394" s="4"/>
      <c r="AI394" s="4"/>
      <c r="AJ394" s="246"/>
      <c r="AK394" s="246"/>
      <c r="AL394" s="129"/>
      <c r="AM394" s="129"/>
      <c r="AN394" s="129"/>
      <c r="AO394" s="246"/>
      <c r="AP394" s="246"/>
      <c r="AQ394" s="249"/>
      <c r="AR394" s="4"/>
      <c r="AS394" s="4"/>
      <c r="AT394" s="4"/>
      <c r="AU394" s="4"/>
      <c r="AV394" s="4"/>
      <c r="AW394" s="4"/>
      <c r="AX394" s="4"/>
      <c r="AY394" s="128"/>
      <c r="AZ394" s="4"/>
      <c r="BA394" s="4"/>
      <c r="BB394" s="4"/>
      <c r="BC394" s="4"/>
      <c r="BD394" s="4"/>
      <c r="BE394" s="4"/>
      <c r="BF394" s="4"/>
      <c r="BG394" s="4"/>
      <c r="BH394" s="4"/>
      <c r="BI394" s="567"/>
    </row>
    <row r="395" spans="1:61" ht="12.75" customHeight="1" x14ac:dyDescent="0.25">
      <c r="A395" s="4"/>
      <c r="B395" s="4"/>
      <c r="C395" s="4"/>
      <c r="D395" s="4"/>
      <c r="E395" s="128"/>
      <c r="F395" s="128"/>
      <c r="G395" s="753"/>
      <c r="H395" s="128"/>
      <c r="I395" s="128"/>
      <c r="J395" s="130"/>
      <c r="K395" s="128"/>
      <c r="L395" s="128"/>
      <c r="M395" s="130"/>
      <c r="N395" s="130"/>
      <c r="O395" s="130"/>
      <c r="P395" s="128"/>
      <c r="Q395" s="128"/>
      <c r="R395" s="128"/>
      <c r="S395" s="298"/>
      <c r="T395" s="4"/>
      <c r="U395" s="4"/>
      <c r="V395" s="4"/>
      <c r="W395" s="4"/>
      <c r="X395" s="4"/>
      <c r="Y395" s="128"/>
      <c r="Z395" s="128"/>
      <c r="AA395" s="128"/>
      <c r="AB395" s="4"/>
      <c r="AC395" s="4"/>
      <c r="AD395" s="4"/>
      <c r="AE395" s="4"/>
      <c r="AF395" s="4"/>
      <c r="AG395" s="4"/>
      <c r="AH395" s="4"/>
      <c r="AI395" s="4"/>
      <c r="AJ395" s="246"/>
      <c r="AK395" s="246"/>
      <c r="AL395" s="129"/>
      <c r="AM395" s="129"/>
      <c r="AN395" s="129"/>
      <c r="AO395" s="246"/>
      <c r="AP395" s="246"/>
      <c r="AQ395" s="249"/>
      <c r="AR395" s="4"/>
      <c r="AS395" s="4"/>
      <c r="AT395" s="4"/>
      <c r="AU395" s="4"/>
      <c r="AV395" s="4"/>
      <c r="AW395" s="4"/>
      <c r="AX395" s="4"/>
      <c r="AY395" s="128"/>
      <c r="AZ395" s="4"/>
      <c r="BA395" s="4"/>
      <c r="BB395" s="4"/>
      <c r="BC395" s="4"/>
      <c r="BD395" s="4"/>
      <c r="BE395" s="4"/>
      <c r="BF395" s="4"/>
      <c r="BG395" s="4"/>
      <c r="BH395" s="4"/>
      <c r="BI395" s="567"/>
    </row>
    <row r="396" spans="1:61" ht="12.75" customHeight="1" x14ac:dyDescent="0.25">
      <c r="A396" s="4"/>
      <c r="B396" s="4"/>
      <c r="C396" s="4"/>
      <c r="D396" s="4"/>
      <c r="E396" s="128"/>
      <c r="F396" s="128"/>
      <c r="G396" s="753"/>
      <c r="H396" s="128"/>
      <c r="I396" s="128"/>
      <c r="J396" s="130"/>
      <c r="K396" s="128"/>
      <c r="L396" s="128"/>
      <c r="M396" s="130"/>
      <c r="N396" s="130"/>
      <c r="O396" s="130"/>
      <c r="P396" s="128"/>
      <c r="Q396" s="128"/>
      <c r="R396" s="128"/>
      <c r="S396" s="298"/>
      <c r="T396" s="4"/>
      <c r="U396" s="4"/>
      <c r="V396" s="4"/>
      <c r="W396" s="4"/>
      <c r="X396" s="4"/>
      <c r="Y396" s="128"/>
      <c r="Z396" s="128"/>
      <c r="AA396" s="128"/>
      <c r="AB396" s="4"/>
      <c r="AC396" s="4"/>
      <c r="AD396" s="4"/>
      <c r="AE396" s="4"/>
      <c r="AF396" s="4"/>
      <c r="AG396" s="4"/>
      <c r="AH396" s="4"/>
      <c r="AI396" s="4"/>
      <c r="AJ396" s="246"/>
      <c r="AK396" s="246"/>
      <c r="AL396" s="129"/>
      <c r="AM396" s="129"/>
      <c r="AN396" s="129"/>
      <c r="AO396" s="246"/>
      <c r="AP396" s="246"/>
      <c r="AQ396" s="249"/>
      <c r="AR396" s="4"/>
      <c r="AS396" s="4"/>
      <c r="AT396" s="4"/>
      <c r="AU396" s="4"/>
      <c r="AV396" s="4"/>
      <c r="AW396" s="4"/>
      <c r="AX396" s="4"/>
      <c r="AY396" s="128"/>
      <c r="AZ396" s="4"/>
      <c r="BA396" s="4"/>
      <c r="BB396" s="4"/>
      <c r="BC396" s="4"/>
      <c r="BD396" s="4"/>
      <c r="BE396" s="4"/>
      <c r="BF396" s="4"/>
      <c r="BG396" s="4"/>
      <c r="BH396" s="4"/>
      <c r="BI396" s="567"/>
    </row>
    <row r="397" spans="1:61" ht="12.75" customHeight="1" x14ac:dyDescent="0.25">
      <c r="A397" s="4"/>
      <c r="B397" s="4"/>
      <c r="C397" s="4"/>
      <c r="D397" s="4"/>
      <c r="E397" s="128"/>
      <c r="F397" s="128"/>
      <c r="G397" s="753"/>
      <c r="H397" s="128"/>
      <c r="I397" s="128"/>
      <c r="J397" s="130"/>
      <c r="K397" s="128"/>
      <c r="L397" s="128"/>
      <c r="M397" s="130"/>
      <c r="N397" s="130"/>
      <c r="O397" s="130"/>
      <c r="P397" s="128"/>
      <c r="Q397" s="128"/>
      <c r="R397" s="128"/>
      <c r="S397" s="298"/>
      <c r="T397" s="4"/>
      <c r="U397" s="4"/>
      <c r="V397" s="4"/>
      <c r="W397" s="4"/>
      <c r="X397" s="4"/>
      <c r="Y397" s="128"/>
      <c r="Z397" s="128"/>
      <c r="AA397" s="128"/>
      <c r="AB397" s="4"/>
      <c r="AC397" s="4"/>
      <c r="AD397" s="4"/>
      <c r="AE397" s="4"/>
      <c r="AF397" s="4"/>
      <c r="AG397" s="4"/>
      <c r="AH397" s="4"/>
      <c r="AI397" s="4"/>
      <c r="AJ397" s="246"/>
      <c r="AK397" s="246"/>
      <c r="AL397" s="129"/>
      <c r="AM397" s="129"/>
      <c r="AN397" s="129"/>
      <c r="AO397" s="246"/>
      <c r="AP397" s="246"/>
      <c r="AQ397" s="249"/>
      <c r="AR397" s="4"/>
      <c r="AS397" s="4"/>
      <c r="AT397" s="4"/>
      <c r="AU397" s="4"/>
      <c r="AV397" s="4"/>
      <c r="AW397" s="4"/>
      <c r="AX397" s="4"/>
      <c r="AY397" s="128"/>
      <c r="AZ397" s="4"/>
      <c r="BA397" s="4"/>
      <c r="BB397" s="4"/>
      <c r="BC397" s="4"/>
      <c r="BD397" s="4"/>
      <c r="BE397" s="4"/>
      <c r="BF397" s="4"/>
      <c r="BG397" s="4"/>
      <c r="BH397" s="4"/>
      <c r="BI397" s="567"/>
    </row>
    <row r="398" spans="1:61" ht="12.75" customHeight="1" x14ac:dyDescent="0.25">
      <c r="A398" s="4"/>
      <c r="B398" s="4"/>
      <c r="C398" s="4"/>
      <c r="D398" s="4"/>
      <c r="E398" s="128"/>
      <c r="F398" s="128"/>
      <c r="G398" s="753"/>
      <c r="H398" s="128"/>
      <c r="I398" s="128"/>
      <c r="J398" s="130"/>
      <c r="K398" s="128"/>
      <c r="L398" s="128"/>
      <c r="M398" s="130"/>
      <c r="N398" s="130"/>
      <c r="O398" s="130"/>
      <c r="P398" s="128"/>
      <c r="Q398" s="128"/>
      <c r="R398" s="128"/>
      <c r="S398" s="298"/>
      <c r="T398" s="4"/>
      <c r="U398" s="4"/>
      <c r="V398" s="4"/>
      <c r="W398" s="4"/>
      <c r="X398" s="4"/>
      <c r="Y398" s="128"/>
      <c r="Z398" s="128"/>
      <c r="AA398" s="128"/>
      <c r="AB398" s="4"/>
      <c r="AC398" s="4"/>
      <c r="AD398" s="4"/>
      <c r="AE398" s="4"/>
      <c r="AF398" s="4"/>
      <c r="AG398" s="4"/>
      <c r="AH398" s="4"/>
      <c r="AI398" s="4"/>
      <c r="AJ398" s="246"/>
      <c r="AK398" s="246"/>
      <c r="AL398" s="129"/>
      <c r="AM398" s="129"/>
      <c r="AN398" s="129"/>
      <c r="AO398" s="246"/>
      <c r="AP398" s="246"/>
      <c r="AQ398" s="249"/>
      <c r="AR398" s="4"/>
      <c r="AS398" s="4"/>
      <c r="AT398" s="4"/>
      <c r="AU398" s="4"/>
      <c r="AV398" s="4"/>
      <c r="AW398" s="4"/>
      <c r="AX398" s="4"/>
      <c r="AY398" s="128"/>
      <c r="AZ398" s="4"/>
      <c r="BA398" s="4"/>
      <c r="BB398" s="4"/>
      <c r="BC398" s="4"/>
      <c r="BD398" s="4"/>
      <c r="BE398" s="4"/>
      <c r="BF398" s="4"/>
      <c r="BG398" s="4"/>
      <c r="BH398" s="4"/>
      <c r="BI398" s="567"/>
    </row>
    <row r="399" spans="1:61" ht="12.75" customHeight="1" x14ac:dyDescent="0.25">
      <c r="A399" s="4"/>
      <c r="B399" s="4"/>
      <c r="C399" s="4"/>
      <c r="D399" s="4"/>
      <c r="E399" s="128"/>
      <c r="F399" s="128"/>
      <c r="G399" s="753"/>
      <c r="H399" s="128"/>
      <c r="I399" s="128"/>
      <c r="J399" s="130"/>
      <c r="K399" s="128"/>
      <c r="L399" s="128"/>
      <c r="M399" s="130"/>
      <c r="N399" s="130"/>
      <c r="O399" s="130"/>
      <c r="P399" s="128"/>
      <c r="Q399" s="128"/>
      <c r="R399" s="128"/>
      <c r="S399" s="298"/>
      <c r="T399" s="4"/>
      <c r="U399" s="4"/>
      <c r="V399" s="4"/>
      <c r="W399" s="4"/>
      <c r="X399" s="4"/>
      <c r="Y399" s="128"/>
      <c r="Z399" s="128"/>
      <c r="AA399" s="128"/>
      <c r="AB399" s="4"/>
      <c r="AC399" s="4"/>
      <c r="AD399" s="4"/>
      <c r="AE399" s="4"/>
      <c r="AF399" s="4"/>
      <c r="AG399" s="4"/>
      <c r="AH399" s="4"/>
      <c r="AI399" s="4"/>
      <c r="AJ399" s="246"/>
      <c r="AK399" s="246"/>
      <c r="AL399" s="129"/>
      <c r="AM399" s="129"/>
      <c r="AN399" s="129"/>
      <c r="AO399" s="246"/>
      <c r="AP399" s="246"/>
      <c r="AQ399" s="249"/>
      <c r="AR399" s="4"/>
      <c r="AS399" s="4"/>
      <c r="AT399" s="4"/>
      <c r="AU399" s="4"/>
      <c r="AV399" s="4"/>
      <c r="AW399" s="4"/>
      <c r="AX399" s="4"/>
      <c r="AY399" s="128"/>
      <c r="AZ399" s="4"/>
      <c r="BA399" s="4"/>
      <c r="BB399" s="4"/>
      <c r="BC399" s="4"/>
      <c r="BD399" s="4"/>
      <c r="BE399" s="4"/>
      <c r="BF399" s="4"/>
      <c r="BG399" s="4"/>
      <c r="BH399" s="4"/>
      <c r="BI399" s="567"/>
    </row>
    <row r="400" spans="1:61" ht="12.75" customHeight="1" x14ac:dyDescent="0.25">
      <c r="A400" s="4"/>
      <c r="B400" s="4"/>
      <c r="C400" s="4"/>
      <c r="D400" s="4"/>
      <c r="E400" s="128"/>
      <c r="F400" s="128"/>
      <c r="G400" s="753"/>
      <c r="H400" s="128"/>
      <c r="I400" s="128"/>
      <c r="J400" s="130"/>
      <c r="K400" s="128"/>
      <c r="L400" s="128"/>
      <c r="M400" s="130"/>
      <c r="N400" s="130"/>
      <c r="O400" s="130"/>
      <c r="P400" s="128"/>
      <c r="Q400" s="128"/>
      <c r="R400" s="128"/>
      <c r="S400" s="298"/>
      <c r="T400" s="4"/>
      <c r="U400" s="4"/>
      <c r="V400" s="4"/>
      <c r="W400" s="4"/>
      <c r="X400" s="4"/>
      <c r="Y400" s="128"/>
      <c r="Z400" s="128"/>
      <c r="AA400" s="128"/>
      <c r="AB400" s="4"/>
      <c r="AC400" s="4"/>
      <c r="AD400" s="4"/>
      <c r="AE400" s="4"/>
      <c r="AF400" s="4"/>
      <c r="AG400" s="4"/>
      <c r="AH400" s="4"/>
      <c r="AI400" s="4"/>
      <c r="AJ400" s="246"/>
      <c r="AK400" s="246"/>
      <c r="AL400" s="129"/>
      <c r="AM400" s="129"/>
      <c r="AN400" s="129"/>
      <c r="AO400" s="246"/>
      <c r="AP400" s="246"/>
      <c r="AQ400" s="249"/>
      <c r="AR400" s="4"/>
      <c r="AS400" s="4"/>
      <c r="AT400" s="4"/>
      <c r="AU400" s="4"/>
      <c r="AV400" s="4"/>
      <c r="AW400" s="4"/>
      <c r="AX400" s="4"/>
      <c r="AY400" s="128"/>
      <c r="AZ400" s="4"/>
      <c r="BA400" s="4"/>
      <c r="BB400" s="4"/>
      <c r="BC400" s="4"/>
      <c r="BD400" s="4"/>
      <c r="BE400" s="4"/>
      <c r="BF400" s="4"/>
      <c r="BG400" s="4"/>
      <c r="BH400" s="4"/>
      <c r="BI400" s="567"/>
    </row>
    <row r="401" spans="1:61" ht="12.75" customHeight="1" x14ac:dyDescent="0.25">
      <c r="A401" s="4"/>
      <c r="B401" s="4"/>
      <c r="C401" s="4"/>
      <c r="D401" s="4"/>
      <c r="E401" s="128"/>
      <c r="F401" s="128"/>
      <c r="G401" s="753"/>
      <c r="H401" s="128"/>
      <c r="I401" s="128"/>
      <c r="J401" s="130"/>
      <c r="K401" s="128"/>
      <c r="L401" s="128"/>
      <c r="M401" s="130"/>
      <c r="N401" s="130"/>
      <c r="O401" s="130"/>
      <c r="P401" s="128"/>
      <c r="Q401" s="128"/>
      <c r="R401" s="128"/>
      <c r="S401" s="298"/>
      <c r="T401" s="4"/>
      <c r="U401" s="4"/>
      <c r="V401" s="4"/>
      <c r="W401" s="4"/>
      <c r="X401" s="4"/>
      <c r="Y401" s="128"/>
      <c r="Z401" s="128"/>
      <c r="AA401" s="128"/>
      <c r="AB401" s="4"/>
      <c r="AC401" s="4"/>
      <c r="AD401" s="4"/>
      <c r="AE401" s="4"/>
      <c r="AF401" s="4"/>
      <c r="AG401" s="4"/>
      <c r="AH401" s="4"/>
      <c r="AI401" s="4"/>
      <c r="AJ401" s="246"/>
      <c r="AK401" s="246"/>
      <c r="AL401" s="129"/>
      <c r="AM401" s="129"/>
      <c r="AN401" s="129"/>
      <c r="AO401" s="246"/>
      <c r="AP401" s="246"/>
      <c r="AQ401" s="249"/>
      <c r="AR401" s="4"/>
      <c r="AS401" s="4"/>
      <c r="AT401" s="4"/>
      <c r="AU401" s="4"/>
      <c r="AV401" s="4"/>
      <c r="AW401" s="4"/>
      <c r="AX401" s="4"/>
      <c r="AY401" s="128"/>
      <c r="AZ401" s="4"/>
      <c r="BA401" s="4"/>
      <c r="BB401" s="4"/>
      <c r="BC401" s="4"/>
      <c r="BD401" s="4"/>
      <c r="BE401" s="4"/>
      <c r="BF401" s="4"/>
      <c r="BG401" s="4"/>
      <c r="BH401" s="4"/>
      <c r="BI401" s="567"/>
    </row>
    <row r="402" spans="1:61" ht="12.75" customHeight="1" x14ac:dyDescent="0.25">
      <c r="A402" s="4"/>
      <c r="B402" s="4"/>
      <c r="C402" s="4"/>
      <c r="D402" s="4"/>
      <c r="E402" s="128"/>
      <c r="F402" s="128"/>
      <c r="G402" s="753"/>
      <c r="H402" s="128"/>
      <c r="I402" s="128"/>
      <c r="J402" s="130"/>
      <c r="K402" s="128"/>
      <c r="L402" s="128"/>
      <c r="M402" s="130"/>
      <c r="N402" s="130"/>
      <c r="O402" s="130"/>
      <c r="P402" s="128"/>
      <c r="Q402" s="128"/>
      <c r="R402" s="128"/>
      <c r="S402" s="298"/>
      <c r="T402" s="4"/>
      <c r="U402" s="4"/>
      <c r="V402" s="4"/>
      <c r="W402" s="4"/>
      <c r="X402" s="4"/>
      <c r="Y402" s="128"/>
      <c r="Z402" s="128"/>
      <c r="AA402" s="128"/>
      <c r="AB402" s="4"/>
      <c r="AC402" s="4"/>
      <c r="AD402" s="4"/>
      <c r="AE402" s="4"/>
      <c r="AF402" s="4"/>
      <c r="AG402" s="4"/>
      <c r="AH402" s="4"/>
      <c r="AI402" s="4"/>
      <c r="AJ402" s="246"/>
      <c r="AK402" s="246"/>
      <c r="AL402" s="129"/>
      <c r="AM402" s="129"/>
      <c r="AN402" s="129"/>
      <c r="AO402" s="246"/>
      <c r="AP402" s="246"/>
      <c r="AQ402" s="249"/>
      <c r="AR402" s="4"/>
      <c r="AS402" s="4"/>
      <c r="AT402" s="4"/>
      <c r="AU402" s="4"/>
      <c r="AV402" s="4"/>
      <c r="AW402" s="4"/>
      <c r="AX402" s="4"/>
      <c r="AY402" s="128"/>
      <c r="AZ402" s="4"/>
      <c r="BA402" s="4"/>
      <c r="BB402" s="4"/>
      <c r="BC402" s="4"/>
      <c r="BD402" s="4"/>
      <c r="BE402" s="4"/>
      <c r="BF402" s="4"/>
      <c r="BG402" s="4"/>
      <c r="BH402" s="4"/>
      <c r="BI402" s="567"/>
    </row>
    <row r="403" spans="1:61" ht="12.75" customHeight="1" x14ac:dyDescent="0.25">
      <c r="A403" s="4"/>
      <c r="B403" s="4"/>
      <c r="C403" s="4"/>
      <c r="D403" s="4"/>
      <c r="E403" s="128"/>
      <c r="F403" s="128"/>
      <c r="G403" s="753"/>
      <c r="H403" s="128"/>
      <c r="I403" s="128"/>
      <c r="J403" s="130"/>
      <c r="K403" s="128"/>
      <c r="L403" s="128"/>
      <c r="M403" s="130"/>
      <c r="N403" s="130"/>
      <c r="O403" s="130"/>
      <c r="P403" s="128"/>
      <c r="Q403" s="128"/>
      <c r="R403" s="128"/>
      <c r="S403" s="298"/>
      <c r="T403" s="4"/>
      <c r="U403" s="4"/>
      <c r="V403" s="4"/>
      <c r="W403" s="4"/>
      <c r="X403" s="4"/>
      <c r="Y403" s="128"/>
      <c r="Z403" s="128"/>
      <c r="AA403" s="128"/>
      <c r="AB403" s="4"/>
      <c r="AC403" s="4"/>
      <c r="AD403" s="4"/>
      <c r="AE403" s="4"/>
      <c r="AF403" s="4"/>
      <c r="AG403" s="4"/>
      <c r="AH403" s="4"/>
      <c r="AI403" s="4"/>
      <c r="AJ403" s="246"/>
      <c r="AK403" s="246"/>
      <c r="AL403" s="129"/>
      <c r="AM403" s="129"/>
      <c r="AN403" s="129"/>
      <c r="AO403" s="246"/>
      <c r="AP403" s="246"/>
      <c r="AQ403" s="249"/>
      <c r="AR403" s="4"/>
      <c r="AS403" s="4"/>
      <c r="AT403" s="4"/>
      <c r="AU403" s="4"/>
      <c r="AV403" s="4"/>
      <c r="AW403" s="4"/>
      <c r="AX403" s="4"/>
      <c r="AY403" s="128"/>
      <c r="AZ403" s="4"/>
      <c r="BA403" s="4"/>
      <c r="BB403" s="4"/>
      <c r="BC403" s="4"/>
      <c r="BD403" s="4"/>
      <c r="BE403" s="4"/>
      <c r="BF403" s="4"/>
      <c r="BG403" s="4"/>
      <c r="BH403" s="4"/>
      <c r="BI403" s="567"/>
    </row>
    <row r="404" spans="1:61" ht="12.75" customHeight="1" x14ac:dyDescent="0.25">
      <c r="A404" s="4"/>
      <c r="B404" s="4"/>
      <c r="C404" s="4"/>
      <c r="D404" s="4"/>
      <c r="E404" s="128"/>
      <c r="F404" s="128"/>
      <c r="G404" s="753"/>
      <c r="H404" s="128"/>
      <c r="I404" s="128"/>
      <c r="J404" s="130"/>
      <c r="K404" s="128"/>
      <c r="L404" s="128"/>
      <c r="M404" s="130"/>
      <c r="N404" s="130"/>
      <c r="O404" s="130"/>
      <c r="P404" s="128"/>
      <c r="Q404" s="128"/>
      <c r="R404" s="128"/>
      <c r="S404" s="298"/>
      <c r="T404" s="4"/>
      <c r="U404" s="4"/>
      <c r="V404" s="4"/>
      <c r="W404" s="4"/>
      <c r="X404" s="4"/>
      <c r="Y404" s="128"/>
      <c r="Z404" s="128"/>
      <c r="AA404" s="128"/>
      <c r="AB404" s="4"/>
      <c r="AC404" s="4"/>
      <c r="AD404" s="4"/>
      <c r="AE404" s="4"/>
      <c r="AF404" s="4"/>
      <c r="AG404" s="4"/>
      <c r="AH404" s="4"/>
      <c r="AI404" s="4"/>
      <c r="AJ404" s="246"/>
      <c r="AK404" s="246"/>
      <c r="AL404" s="129"/>
      <c r="AM404" s="129"/>
      <c r="AN404" s="129"/>
      <c r="AO404" s="246"/>
      <c r="AP404" s="246"/>
      <c r="AQ404" s="249"/>
      <c r="AR404" s="4"/>
      <c r="AS404" s="4"/>
      <c r="AT404" s="4"/>
      <c r="AU404" s="4"/>
      <c r="AV404" s="4"/>
      <c r="AW404" s="4"/>
      <c r="AX404" s="4"/>
      <c r="AY404" s="128"/>
      <c r="AZ404" s="4"/>
      <c r="BA404" s="4"/>
      <c r="BB404" s="4"/>
      <c r="BC404" s="4"/>
      <c r="BD404" s="4"/>
      <c r="BE404" s="4"/>
      <c r="BF404" s="4"/>
      <c r="BG404" s="4"/>
      <c r="BH404" s="4"/>
      <c r="BI404" s="567"/>
    </row>
    <row r="405" spans="1:61" ht="12.75" customHeight="1" x14ac:dyDescent="0.25">
      <c r="A405" s="4"/>
      <c r="B405" s="4"/>
      <c r="C405" s="4"/>
      <c r="D405" s="4"/>
      <c r="E405" s="128"/>
      <c r="F405" s="128"/>
      <c r="G405" s="753"/>
      <c r="H405" s="128"/>
      <c r="I405" s="128"/>
      <c r="J405" s="130"/>
      <c r="K405" s="128"/>
      <c r="L405" s="128"/>
      <c r="M405" s="130"/>
      <c r="N405" s="130"/>
      <c r="O405" s="130"/>
      <c r="P405" s="128"/>
      <c r="Q405" s="128"/>
      <c r="R405" s="128"/>
      <c r="S405" s="298"/>
      <c r="T405" s="4"/>
      <c r="U405" s="4"/>
      <c r="V405" s="4"/>
      <c r="W405" s="4"/>
      <c r="X405" s="4"/>
      <c r="Y405" s="128"/>
      <c r="Z405" s="128"/>
      <c r="AA405" s="128"/>
      <c r="AB405" s="4"/>
      <c r="AC405" s="4"/>
      <c r="AD405" s="4"/>
      <c r="AE405" s="4"/>
      <c r="AF405" s="4"/>
      <c r="AG405" s="4"/>
      <c r="AH405" s="4"/>
      <c r="AI405" s="4"/>
      <c r="AJ405" s="246"/>
      <c r="AK405" s="246"/>
      <c r="AL405" s="129"/>
      <c r="AM405" s="129"/>
      <c r="AN405" s="129"/>
      <c r="AO405" s="246"/>
      <c r="AP405" s="246"/>
      <c r="AQ405" s="249"/>
      <c r="AR405" s="4"/>
      <c r="AS405" s="4"/>
      <c r="AT405" s="4"/>
      <c r="AU405" s="4"/>
      <c r="AV405" s="4"/>
      <c r="AW405" s="4"/>
      <c r="AX405" s="4"/>
      <c r="AY405" s="128"/>
      <c r="AZ405" s="4"/>
      <c r="BA405" s="4"/>
      <c r="BB405" s="4"/>
      <c r="BC405" s="4"/>
      <c r="BD405" s="4"/>
      <c r="BE405" s="4"/>
      <c r="BF405" s="4"/>
      <c r="BG405" s="4"/>
      <c r="BH405" s="4"/>
      <c r="BI405" s="567"/>
    </row>
    <row r="406" spans="1:61" ht="12.75" customHeight="1" x14ac:dyDescent="0.25">
      <c r="A406" s="4"/>
      <c r="B406" s="4"/>
      <c r="C406" s="4"/>
      <c r="D406" s="4"/>
      <c r="E406" s="128"/>
      <c r="F406" s="128"/>
      <c r="G406" s="753"/>
      <c r="H406" s="128"/>
      <c r="I406" s="128"/>
      <c r="J406" s="130"/>
      <c r="K406" s="128"/>
      <c r="L406" s="128"/>
      <c r="M406" s="130"/>
      <c r="N406" s="130"/>
      <c r="O406" s="130"/>
      <c r="P406" s="128"/>
      <c r="Q406" s="128"/>
      <c r="R406" s="128"/>
      <c r="S406" s="298"/>
      <c r="T406" s="4"/>
      <c r="U406" s="4"/>
      <c r="V406" s="4"/>
      <c r="W406" s="4"/>
      <c r="X406" s="4"/>
      <c r="Y406" s="128"/>
      <c r="Z406" s="128"/>
      <c r="AA406" s="128"/>
      <c r="AB406" s="4"/>
      <c r="AC406" s="4"/>
      <c r="AD406" s="4"/>
      <c r="AE406" s="4"/>
      <c r="AF406" s="4"/>
      <c r="AG406" s="4"/>
      <c r="AH406" s="4"/>
      <c r="AI406" s="4"/>
      <c r="AJ406" s="246"/>
      <c r="AK406" s="246"/>
      <c r="AL406" s="129"/>
      <c r="AM406" s="129"/>
      <c r="AN406" s="129"/>
      <c r="AO406" s="246"/>
      <c r="AP406" s="246"/>
      <c r="AQ406" s="249"/>
      <c r="AR406" s="4"/>
      <c r="AS406" s="4"/>
      <c r="AT406" s="4"/>
      <c r="AU406" s="4"/>
      <c r="AV406" s="4"/>
      <c r="AW406" s="4"/>
      <c r="AX406" s="4"/>
      <c r="AY406" s="128"/>
      <c r="AZ406" s="4"/>
      <c r="BA406" s="4"/>
      <c r="BB406" s="4"/>
      <c r="BC406" s="4"/>
      <c r="BD406" s="4"/>
      <c r="BE406" s="4"/>
      <c r="BF406" s="4"/>
      <c r="BG406" s="4"/>
      <c r="BH406" s="4"/>
      <c r="BI406" s="567"/>
    </row>
    <row r="407" spans="1:61" ht="12.75" customHeight="1" x14ac:dyDescent="0.25">
      <c r="A407" s="4"/>
      <c r="B407" s="4"/>
      <c r="C407" s="4"/>
      <c r="D407" s="4"/>
      <c r="E407" s="128"/>
      <c r="F407" s="128"/>
      <c r="G407" s="753"/>
      <c r="H407" s="128"/>
      <c r="I407" s="128"/>
      <c r="J407" s="130"/>
      <c r="K407" s="128"/>
      <c r="L407" s="128"/>
      <c r="M407" s="130"/>
      <c r="N407" s="130"/>
      <c r="O407" s="130"/>
      <c r="P407" s="128"/>
      <c r="Q407" s="128"/>
      <c r="R407" s="128"/>
      <c r="S407" s="298"/>
      <c r="T407" s="4"/>
      <c r="U407" s="4"/>
      <c r="V407" s="4"/>
      <c r="W407" s="4"/>
      <c r="X407" s="4"/>
      <c r="Y407" s="128"/>
      <c r="Z407" s="128"/>
      <c r="AA407" s="128"/>
      <c r="AB407" s="4"/>
      <c r="AC407" s="4"/>
      <c r="AD407" s="4"/>
      <c r="AE407" s="4"/>
      <c r="AF407" s="4"/>
      <c r="AG407" s="4"/>
      <c r="AH407" s="4"/>
      <c r="AI407" s="4"/>
      <c r="AJ407" s="246"/>
      <c r="AK407" s="246"/>
      <c r="AL407" s="129"/>
      <c r="AM407" s="129"/>
      <c r="AN407" s="129"/>
      <c r="AO407" s="246"/>
      <c r="AP407" s="246"/>
      <c r="AQ407" s="249"/>
      <c r="AR407" s="4"/>
      <c r="AS407" s="4"/>
      <c r="AT407" s="4"/>
      <c r="AU407" s="4"/>
      <c r="AV407" s="4"/>
      <c r="AW407" s="4"/>
      <c r="AX407" s="4"/>
      <c r="AY407" s="128"/>
      <c r="AZ407" s="4"/>
      <c r="BA407" s="4"/>
      <c r="BB407" s="4"/>
      <c r="BC407" s="4"/>
      <c r="BD407" s="4"/>
      <c r="BE407" s="4"/>
      <c r="BF407" s="4"/>
      <c r="BG407" s="4"/>
      <c r="BH407" s="4"/>
      <c r="BI407" s="567"/>
    </row>
    <row r="408" spans="1:61" ht="12.75" customHeight="1" x14ac:dyDescent="0.25">
      <c r="A408" s="4"/>
      <c r="B408" s="4"/>
      <c r="C408" s="4"/>
      <c r="D408" s="4"/>
      <c r="E408" s="128"/>
      <c r="F408" s="128"/>
      <c r="G408" s="753"/>
      <c r="H408" s="128"/>
      <c r="I408" s="128"/>
      <c r="J408" s="130"/>
      <c r="K408" s="128"/>
      <c r="L408" s="128"/>
      <c r="M408" s="130"/>
      <c r="N408" s="130"/>
      <c r="O408" s="130"/>
      <c r="P408" s="128"/>
      <c r="Q408" s="128"/>
      <c r="R408" s="128"/>
      <c r="S408" s="298"/>
      <c r="T408" s="4"/>
      <c r="U408" s="4"/>
      <c r="V408" s="4"/>
      <c r="W408" s="4"/>
      <c r="X408" s="4"/>
      <c r="Y408" s="128"/>
      <c r="Z408" s="128"/>
      <c r="AA408" s="128"/>
      <c r="AB408" s="4"/>
      <c r="AC408" s="4"/>
      <c r="AD408" s="4"/>
      <c r="AE408" s="4"/>
      <c r="AF408" s="4"/>
      <c r="AG408" s="4"/>
      <c r="AH408" s="4"/>
      <c r="AI408" s="4"/>
      <c r="AJ408" s="246"/>
      <c r="AK408" s="246"/>
      <c r="AL408" s="129"/>
      <c r="AM408" s="129"/>
      <c r="AN408" s="129"/>
      <c r="AO408" s="246"/>
      <c r="AP408" s="246"/>
      <c r="AQ408" s="249"/>
      <c r="AR408" s="4"/>
      <c r="AS408" s="4"/>
      <c r="AT408" s="4"/>
      <c r="AU408" s="4"/>
      <c r="AV408" s="4"/>
      <c r="AW408" s="4"/>
      <c r="AX408" s="4"/>
      <c r="AY408" s="128"/>
      <c r="AZ408" s="4"/>
      <c r="BA408" s="4"/>
      <c r="BB408" s="4"/>
      <c r="BC408" s="4"/>
      <c r="BD408" s="4"/>
      <c r="BE408" s="4"/>
      <c r="BF408" s="4"/>
      <c r="BG408" s="4"/>
      <c r="BH408" s="4"/>
      <c r="BI408" s="567"/>
    </row>
    <row r="409" spans="1:61" ht="12.75" customHeight="1" x14ac:dyDescent="0.25">
      <c r="A409" s="4"/>
      <c r="B409" s="4"/>
      <c r="C409" s="4"/>
      <c r="D409" s="4"/>
      <c r="E409" s="128"/>
      <c r="F409" s="128"/>
      <c r="G409" s="753"/>
      <c r="H409" s="128"/>
      <c r="I409" s="128"/>
      <c r="J409" s="130"/>
      <c r="K409" s="128"/>
      <c r="L409" s="128"/>
      <c r="M409" s="130"/>
      <c r="N409" s="130"/>
      <c r="O409" s="130"/>
      <c r="P409" s="128"/>
      <c r="Q409" s="128"/>
      <c r="R409" s="128"/>
      <c r="S409" s="298"/>
      <c r="T409" s="4"/>
      <c r="U409" s="4"/>
      <c r="V409" s="4"/>
      <c r="W409" s="4"/>
      <c r="X409" s="4"/>
      <c r="Y409" s="128"/>
      <c r="Z409" s="128"/>
      <c r="AA409" s="128"/>
      <c r="AB409" s="4"/>
      <c r="AC409" s="4"/>
      <c r="AD409" s="4"/>
      <c r="AE409" s="4"/>
      <c r="AF409" s="4"/>
      <c r="AG409" s="4"/>
      <c r="AH409" s="4"/>
      <c r="AI409" s="4"/>
      <c r="AJ409" s="246"/>
      <c r="AK409" s="246"/>
      <c r="AL409" s="129"/>
      <c r="AM409" s="129"/>
      <c r="AN409" s="129"/>
      <c r="AO409" s="246"/>
      <c r="AP409" s="246"/>
      <c r="AQ409" s="249"/>
      <c r="AR409" s="4"/>
      <c r="AS409" s="4"/>
      <c r="AT409" s="4"/>
      <c r="AU409" s="4"/>
      <c r="AV409" s="4"/>
      <c r="AW409" s="4"/>
      <c r="AX409" s="4"/>
      <c r="AY409" s="128"/>
      <c r="AZ409" s="4"/>
      <c r="BA409" s="4"/>
      <c r="BB409" s="4"/>
      <c r="BC409" s="4"/>
      <c r="BD409" s="4"/>
      <c r="BE409" s="4"/>
      <c r="BF409" s="4"/>
      <c r="BG409" s="4"/>
      <c r="BH409" s="4"/>
      <c r="BI409" s="567"/>
    </row>
    <row r="410" spans="1:61" ht="12.75" customHeight="1" x14ac:dyDescent="0.25">
      <c r="A410" s="4"/>
      <c r="B410" s="4"/>
      <c r="C410" s="4"/>
      <c r="D410" s="4"/>
      <c r="E410" s="128"/>
      <c r="F410" s="128"/>
      <c r="G410" s="753"/>
      <c r="H410" s="128"/>
      <c r="I410" s="128"/>
      <c r="J410" s="130"/>
      <c r="K410" s="128"/>
      <c r="L410" s="128"/>
      <c r="M410" s="130"/>
      <c r="N410" s="130"/>
      <c r="O410" s="130"/>
      <c r="P410" s="128"/>
      <c r="Q410" s="128"/>
      <c r="R410" s="128"/>
      <c r="S410" s="298"/>
      <c r="T410" s="4"/>
      <c r="U410" s="4"/>
      <c r="V410" s="4"/>
      <c r="W410" s="4"/>
      <c r="X410" s="4"/>
      <c r="Y410" s="128"/>
      <c r="Z410" s="128"/>
      <c r="AA410" s="128"/>
      <c r="AB410" s="4"/>
      <c r="AC410" s="4"/>
      <c r="AD410" s="4"/>
      <c r="AE410" s="4"/>
      <c r="AF410" s="4"/>
      <c r="AG410" s="4"/>
      <c r="AH410" s="4"/>
      <c r="AI410" s="4"/>
      <c r="AJ410" s="246"/>
      <c r="AK410" s="246"/>
      <c r="AL410" s="129"/>
      <c r="AM410" s="129"/>
      <c r="AN410" s="129"/>
      <c r="AO410" s="246"/>
      <c r="AP410" s="246"/>
      <c r="AQ410" s="249"/>
      <c r="AR410" s="4"/>
      <c r="AS410" s="4"/>
      <c r="AT410" s="4"/>
      <c r="AU410" s="4"/>
      <c r="AV410" s="4"/>
      <c r="AW410" s="4"/>
      <c r="AX410" s="4"/>
      <c r="AY410" s="128"/>
      <c r="AZ410" s="4"/>
      <c r="BA410" s="4"/>
      <c r="BB410" s="4"/>
      <c r="BC410" s="4"/>
      <c r="BD410" s="4"/>
      <c r="BE410" s="4"/>
      <c r="BF410" s="4"/>
      <c r="BG410" s="4"/>
      <c r="BH410" s="4"/>
      <c r="BI410" s="567"/>
    </row>
    <row r="411" spans="1:61" ht="12.75" customHeight="1" x14ac:dyDescent="0.25">
      <c r="A411" s="4"/>
      <c r="B411" s="4"/>
      <c r="C411" s="4"/>
      <c r="D411" s="4"/>
      <c r="E411" s="128"/>
      <c r="F411" s="128"/>
      <c r="G411" s="753"/>
      <c r="H411" s="128"/>
      <c r="I411" s="128"/>
      <c r="J411" s="130"/>
      <c r="K411" s="128"/>
      <c r="L411" s="128"/>
      <c r="M411" s="130"/>
      <c r="N411" s="130"/>
      <c r="O411" s="130"/>
      <c r="P411" s="128"/>
      <c r="Q411" s="128"/>
      <c r="R411" s="128"/>
      <c r="S411" s="298"/>
      <c r="T411" s="4"/>
      <c r="U411" s="4"/>
      <c r="V411" s="4"/>
      <c r="W411" s="4"/>
      <c r="X411" s="4"/>
      <c r="Y411" s="128"/>
      <c r="Z411" s="128"/>
      <c r="AA411" s="128"/>
      <c r="AB411" s="4"/>
      <c r="AC411" s="4"/>
      <c r="AD411" s="4"/>
      <c r="AE411" s="4"/>
      <c r="AF411" s="4"/>
      <c r="AG411" s="4"/>
      <c r="AH411" s="4"/>
      <c r="AI411" s="4"/>
      <c r="AJ411" s="246"/>
      <c r="AK411" s="246"/>
      <c r="AL411" s="129"/>
      <c r="AM411" s="129"/>
      <c r="AN411" s="129"/>
      <c r="AO411" s="246"/>
      <c r="AP411" s="246"/>
      <c r="AQ411" s="249"/>
      <c r="AR411" s="4"/>
      <c r="AS411" s="4"/>
      <c r="AT411" s="4"/>
      <c r="AU411" s="4"/>
      <c r="AV411" s="4"/>
      <c r="AW411" s="4"/>
      <c r="AX411" s="4"/>
      <c r="AY411" s="128"/>
      <c r="AZ411" s="4"/>
      <c r="BA411" s="4"/>
      <c r="BB411" s="4"/>
      <c r="BC411" s="4"/>
      <c r="BD411" s="4"/>
      <c r="BE411" s="4"/>
      <c r="BF411" s="4"/>
      <c r="BG411" s="4"/>
      <c r="BH411" s="4"/>
      <c r="BI411" s="567"/>
    </row>
    <row r="412" spans="1:61" ht="12.75" customHeight="1" x14ac:dyDescent="0.25">
      <c r="A412" s="4"/>
      <c r="B412" s="4"/>
      <c r="C412" s="4"/>
      <c r="D412" s="4"/>
      <c r="E412" s="128"/>
      <c r="F412" s="128"/>
      <c r="G412" s="753"/>
      <c r="H412" s="128"/>
      <c r="I412" s="128"/>
      <c r="J412" s="130"/>
      <c r="K412" s="128"/>
      <c r="L412" s="128"/>
      <c r="M412" s="130"/>
      <c r="N412" s="130"/>
      <c r="O412" s="130"/>
      <c r="P412" s="128"/>
      <c r="Q412" s="128"/>
      <c r="R412" s="128"/>
      <c r="S412" s="298"/>
      <c r="T412" s="4"/>
      <c r="U412" s="4"/>
      <c r="V412" s="4"/>
      <c r="W412" s="4"/>
      <c r="X412" s="4"/>
      <c r="Y412" s="128"/>
      <c r="Z412" s="128"/>
      <c r="AA412" s="128"/>
      <c r="AB412" s="4"/>
      <c r="AC412" s="4"/>
      <c r="AD412" s="4"/>
      <c r="AE412" s="4"/>
      <c r="AF412" s="4"/>
      <c r="AG412" s="4"/>
      <c r="AH412" s="4"/>
      <c r="AI412" s="4"/>
      <c r="AJ412" s="246"/>
      <c r="AK412" s="246"/>
      <c r="AL412" s="129"/>
      <c r="AM412" s="129"/>
      <c r="AN412" s="129"/>
      <c r="AO412" s="246"/>
      <c r="AP412" s="246"/>
      <c r="AQ412" s="249"/>
      <c r="AR412" s="4"/>
      <c r="AS412" s="4"/>
      <c r="AT412" s="4"/>
      <c r="AU412" s="4"/>
      <c r="AV412" s="4"/>
      <c r="AW412" s="4"/>
      <c r="AX412" s="4"/>
      <c r="AY412" s="128"/>
      <c r="AZ412" s="4"/>
      <c r="BA412" s="4"/>
      <c r="BB412" s="4"/>
      <c r="BC412" s="4"/>
      <c r="BD412" s="4"/>
      <c r="BE412" s="4"/>
      <c r="BF412" s="4"/>
      <c r="BG412" s="4"/>
      <c r="BH412" s="4"/>
      <c r="BI412" s="567"/>
    </row>
    <row r="413" spans="1:61" ht="12.75" customHeight="1" x14ac:dyDescent="0.25">
      <c r="A413" s="4"/>
      <c r="B413" s="4"/>
      <c r="C413" s="4"/>
      <c r="D413" s="4"/>
      <c r="E413" s="128"/>
      <c r="F413" s="128"/>
      <c r="G413" s="753"/>
      <c r="H413" s="128"/>
      <c r="I413" s="128"/>
      <c r="J413" s="130"/>
      <c r="K413" s="128"/>
      <c r="L413" s="128"/>
      <c r="M413" s="130"/>
      <c r="N413" s="130"/>
      <c r="O413" s="130"/>
      <c r="P413" s="128"/>
      <c r="Q413" s="128"/>
      <c r="R413" s="128"/>
      <c r="S413" s="298"/>
      <c r="T413" s="4"/>
      <c r="U413" s="4"/>
      <c r="V413" s="4"/>
      <c r="W413" s="4"/>
      <c r="X413" s="4"/>
      <c r="Y413" s="128"/>
      <c r="Z413" s="128"/>
      <c r="AA413" s="128"/>
      <c r="AB413" s="4"/>
      <c r="AC413" s="4"/>
      <c r="AD413" s="4"/>
      <c r="AE413" s="4"/>
      <c r="AF413" s="4"/>
      <c r="AG413" s="4"/>
      <c r="AH413" s="4"/>
      <c r="AI413" s="4"/>
      <c r="AJ413" s="246"/>
      <c r="AK413" s="246"/>
      <c r="AL413" s="129"/>
      <c r="AM413" s="129"/>
      <c r="AN413" s="129"/>
      <c r="AO413" s="246"/>
      <c r="AP413" s="246"/>
      <c r="AQ413" s="249"/>
      <c r="AR413" s="4"/>
      <c r="AS413" s="4"/>
      <c r="AT413" s="4"/>
      <c r="AU413" s="4"/>
      <c r="AV413" s="4"/>
      <c r="AW413" s="4"/>
      <c r="AX413" s="4"/>
      <c r="AY413" s="128"/>
      <c r="AZ413" s="4"/>
      <c r="BA413" s="4"/>
      <c r="BB413" s="4"/>
      <c r="BC413" s="4"/>
      <c r="BD413" s="4"/>
      <c r="BE413" s="4"/>
      <c r="BF413" s="4"/>
      <c r="BG413" s="4"/>
      <c r="BH413" s="4"/>
      <c r="BI413" s="567"/>
    </row>
    <row r="414" spans="1:61" ht="12.75" customHeight="1" x14ac:dyDescent="0.25">
      <c r="A414" s="4"/>
      <c r="B414" s="4"/>
      <c r="C414" s="4"/>
      <c r="D414" s="4"/>
      <c r="E414" s="128"/>
      <c r="F414" s="128"/>
      <c r="G414" s="753"/>
      <c r="H414" s="128"/>
      <c r="I414" s="128"/>
      <c r="J414" s="130"/>
      <c r="K414" s="128"/>
      <c r="L414" s="128"/>
      <c r="M414" s="130"/>
      <c r="N414" s="130"/>
      <c r="O414" s="130"/>
      <c r="P414" s="128"/>
      <c r="Q414" s="128"/>
      <c r="R414" s="128"/>
      <c r="S414" s="298"/>
      <c r="T414" s="4"/>
      <c r="U414" s="4"/>
      <c r="V414" s="4"/>
      <c r="W414" s="4"/>
      <c r="X414" s="4"/>
      <c r="Y414" s="128"/>
      <c r="Z414" s="128"/>
      <c r="AA414" s="128"/>
      <c r="AB414" s="4"/>
      <c r="AC414" s="4"/>
      <c r="AD414" s="4"/>
      <c r="AE414" s="4"/>
      <c r="AF414" s="4"/>
      <c r="AG414" s="4"/>
      <c r="AH414" s="4"/>
      <c r="AI414" s="4"/>
      <c r="AJ414" s="246"/>
      <c r="AK414" s="246"/>
      <c r="AL414" s="129"/>
      <c r="AM414" s="129"/>
      <c r="AN414" s="129"/>
      <c r="AO414" s="246"/>
      <c r="AP414" s="246"/>
      <c r="AQ414" s="249"/>
      <c r="AR414" s="4"/>
      <c r="AS414" s="4"/>
      <c r="AT414" s="4"/>
      <c r="AU414" s="4"/>
      <c r="AV414" s="4"/>
      <c r="AW414" s="4"/>
      <c r="AX414" s="4"/>
      <c r="AY414" s="128"/>
      <c r="AZ414" s="4"/>
      <c r="BA414" s="4"/>
      <c r="BB414" s="4"/>
      <c r="BC414" s="4"/>
      <c r="BD414" s="4"/>
      <c r="BE414" s="4"/>
      <c r="BF414" s="4"/>
      <c r="BG414" s="4"/>
      <c r="BH414" s="4"/>
      <c r="BI414" s="567"/>
    </row>
    <row r="415" spans="1:61" ht="12.75" customHeight="1" x14ac:dyDescent="0.25">
      <c r="A415" s="4"/>
      <c r="B415" s="4"/>
      <c r="C415" s="4"/>
      <c r="D415" s="4"/>
      <c r="E415" s="128"/>
      <c r="F415" s="128"/>
      <c r="G415" s="753"/>
      <c r="H415" s="128"/>
      <c r="I415" s="128"/>
      <c r="J415" s="130"/>
      <c r="K415" s="128"/>
      <c r="L415" s="128"/>
      <c r="M415" s="130"/>
      <c r="N415" s="130"/>
      <c r="O415" s="130"/>
      <c r="P415" s="128"/>
      <c r="Q415" s="128"/>
      <c r="R415" s="128"/>
      <c r="S415" s="298"/>
      <c r="T415" s="4"/>
      <c r="U415" s="4"/>
      <c r="V415" s="4"/>
      <c r="W415" s="4"/>
      <c r="X415" s="4"/>
      <c r="Y415" s="128"/>
      <c r="Z415" s="128"/>
      <c r="AA415" s="128"/>
      <c r="AB415" s="4"/>
      <c r="AC415" s="4"/>
      <c r="AD415" s="4"/>
      <c r="AE415" s="4"/>
      <c r="AF415" s="4"/>
      <c r="AG415" s="4"/>
      <c r="AH415" s="4"/>
      <c r="AI415" s="4"/>
      <c r="AJ415" s="246"/>
      <c r="AK415" s="246"/>
      <c r="AL415" s="129"/>
      <c r="AM415" s="129"/>
      <c r="AN415" s="129"/>
      <c r="AO415" s="246"/>
      <c r="AP415" s="246"/>
      <c r="AQ415" s="249"/>
      <c r="AR415" s="4"/>
      <c r="AS415" s="4"/>
      <c r="AT415" s="4"/>
      <c r="AU415" s="4"/>
      <c r="AV415" s="4"/>
      <c r="AW415" s="4"/>
      <c r="AX415" s="4"/>
      <c r="AY415" s="128"/>
      <c r="AZ415" s="4"/>
      <c r="BA415" s="4"/>
      <c r="BB415" s="4"/>
      <c r="BC415" s="4"/>
      <c r="BD415" s="4"/>
      <c r="BE415" s="4"/>
      <c r="BF415" s="4"/>
      <c r="BG415" s="4"/>
      <c r="BH415" s="4"/>
      <c r="BI415" s="567"/>
    </row>
    <row r="416" spans="1:61" ht="12.75" customHeight="1" x14ac:dyDescent="0.25">
      <c r="A416" s="4"/>
      <c r="B416" s="4"/>
      <c r="C416" s="4"/>
      <c r="D416" s="4"/>
      <c r="E416" s="128"/>
      <c r="F416" s="128"/>
      <c r="G416" s="753"/>
      <c r="H416" s="128"/>
      <c r="I416" s="128"/>
      <c r="J416" s="130"/>
      <c r="K416" s="128"/>
      <c r="L416" s="128"/>
      <c r="M416" s="130"/>
      <c r="N416" s="130"/>
      <c r="O416" s="130"/>
      <c r="P416" s="128"/>
      <c r="Q416" s="128"/>
      <c r="R416" s="128"/>
      <c r="S416" s="298"/>
      <c r="T416" s="4"/>
      <c r="U416" s="4"/>
      <c r="V416" s="4"/>
      <c r="W416" s="4"/>
      <c r="X416" s="4"/>
      <c r="Y416" s="128"/>
      <c r="Z416" s="128"/>
      <c r="AA416" s="128"/>
      <c r="AB416" s="4"/>
      <c r="AC416" s="4"/>
      <c r="AD416" s="4"/>
      <c r="AE416" s="4"/>
      <c r="AF416" s="4"/>
      <c r="AG416" s="4"/>
      <c r="AH416" s="4"/>
      <c r="AI416" s="4"/>
      <c r="AJ416" s="246"/>
      <c r="AK416" s="246"/>
      <c r="AL416" s="129"/>
      <c r="AM416" s="129"/>
      <c r="AN416" s="129"/>
      <c r="AO416" s="246"/>
      <c r="AP416" s="246"/>
      <c r="AQ416" s="249"/>
      <c r="AR416" s="4"/>
      <c r="AS416" s="4"/>
      <c r="AT416" s="4"/>
      <c r="AU416" s="4"/>
      <c r="AV416" s="4"/>
      <c r="AW416" s="4"/>
      <c r="AX416" s="4"/>
      <c r="AY416" s="128"/>
      <c r="AZ416" s="4"/>
      <c r="BA416" s="4"/>
      <c r="BB416" s="4"/>
      <c r="BC416" s="4"/>
      <c r="BD416" s="4"/>
      <c r="BE416" s="4"/>
      <c r="BF416" s="4"/>
      <c r="BG416" s="4"/>
      <c r="BH416" s="4"/>
      <c r="BI416" s="567"/>
    </row>
    <row r="417" spans="1:61" ht="12.75" customHeight="1" x14ac:dyDescent="0.25">
      <c r="A417" s="4"/>
      <c r="B417" s="4"/>
      <c r="C417" s="4"/>
      <c r="D417" s="4"/>
      <c r="E417" s="128"/>
      <c r="F417" s="128"/>
      <c r="G417" s="753"/>
      <c r="H417" s="128"/>
      <c r="I417" s="128"/>
      <c r="J417" s="130"/>
      <c r="K417" s="128"/>
      <c r="L417" s="128"/>
      <c r="M417" s="130"/>
      <c r="N417" s="130"/>
      <c r="O417" s="130"/>
      <c r="P417" s="128"/>
      <c r="Q417" s="128"/>
      <c r="R417" s="128"/>
      <c r="S417" s="298"/>
      <c r="T417" s="4"/>
      <c r="U417" s="4"/>
      <c r="V417" s="4"/>
      <c r="W417" s="4"/>
      <c r="X417" s="4"/>
      <c r="Y417" s="128"/>
      <c r="Z417" s="128"/>
      <c r="AA417" s="128"/>
      <c r="AB417" s="4"/>
      <c r="AC417" s="4"/>
      <c r="AD417" s="4"/>
      <c r="AE417" s="4"/>
      <c r="AF417" s="4"/>
      <c r="AG417" s="4"/>
      <c r="AH417" s="4"/>
      <c r="AI417" s="4"/>
      <c r="AJ417" s="246"/>
      <c r="AK417" s="246"/>
      <c r="AL417" s="129"/>
      <c r="AM417" s="129"/>
      <c r="AN417" s="129"/>
      <c r="AO417" s="246"/>
      <c r="AP417" s="246"/>
      <c r="AQ417" s="249"/>
      <c r="AR417" s="4"/>
      <c r="AS417" s="4"/>
      <c r="AT417" s="4"/>
      <c r="AU417" s="4"/>
      <c r="AV417" s="4"/>
      <c r="AW417" s="4"/>
      <c r="AX417" s="4"/>
      <c r="AY417" s="128"/>
      <c r="AZ417" s="4"/>
      <c r="BA417" s="4"/>
      <c r="BB417" s="4"/>
      <c r="BC417" s="4"/>
      <c r="BD417" s="4"/>
      <c r="BE417" s="4"/>
      <c r="BF417" s="4"/>
      <c r="BG417" s="4"/>
      <c r="BH417" s="4"/>
      <c r="BI417" s="567"/>
    </row>
    <row r="418" spans="1:61" ht="12.75" customHeight="1" x14ac:dyDescent="0.25">
      <c r="A418" s="4"/>
      <c r="B418" s="4"/>
      <c r="C418" s="4"/>
      <c r="D418" s="4"/>
      <c r="E418" s="128"/>
      <c r="F418" s="128"/>
      <c r="G418" s="753"/>
      <c r="H418" s="128"/>
      <c r="I418" s="128"/>
      <c r="J418" s="130"/>
      <c r="K418" s="128"/>
      <c r="L418" s="128"/>
      <c r="M418" s="130"/>
      <c r="N418" s="130"/>
      <c r="O418" s="130"/>
      <c r="P418" s="128"/>
      <c r="Q418" s="128"/>
      <c r="R418" s="128"/>
      <c r="S418" s="298"/>
      <c r="T418" s="4"/>
      <c r="U418" s="4"/>
      <c r="V418" s="4"/>
      <c r="W418" s="4"/>
      <c r="X418" s="4"/>
      <c r="Y418" s="128"/>
      <c r="Z418" s="128"/>
      <c r="AA418" s="128"/>
      <c r="AB418" s="4"/>
      <c r="AC418" s="4"/>
      <c r="AD418" s="4"/>
      <c r="AE418" s="4"/>
      <c r="AF418" s="4"/>
      <c r="AG418" s="4"/>
      <c r="AH418" s="4"/>
      <c r="AI418" s="4"/>
      <c r="AJ418" s="246"/>
      <c r="AK418" s="246"/>
      <c r="AL418" s="129"/>
      <c r="AM418" s="129"/>
      <c r="AN418" s="129"/>
      <c r="AO418" s="246"/>
      <c r="AP418" s="246"/>
      <c r="AQ418" s="249"/>
      <c r="AR418" s="4"/>
      <c r="AS418" s="4"/>
      <c r="AT418" s="4"/>
      <c r="AU418" s="4"/>
      <c r="AV418" s="4"/>
      <c r="AW418" s="4"/>
      <c r="AX418" s="4"/>
      <c r="AY418" s="128"/>
      <c r="AZ418" s="4"/>
      <c r="BA418" s="4"/>
      <c r="BB418" s="4"/>
      <c r="BC418" s="4"/>
      <c r="BD418" s="4"/>
      <c r="BE418" s="4"/>
      <c r="BF418" s="4"/>
      <c r="BG418" s="4"/>
      <c r="BH418" s="4"/>
      <c r="BI418" s="567"/>
    </row>
    <row r="419" spans="1:61" ht="12.75" customHeight="1" x14ac:dyDescent="0.25">
      <c r="A419" s="4"/>
      <c r="B419" s="4"/>
      <c r="C419" s="4"/>
      <c r="D419" s="4"/>
      <c r="E419" s="128"/>
      <c r="F419" s="128"/>
      <c r="G419" s="753"/>
      <c r="H419" s="128"/>
      <c r="I419" s="128"/>
      <c r="J419" s="130"/>
      <c r="K419" s="128"/>
      <c r="L419" s="128"/>
      <c r="M419" s="130"/>
      <c r="N419" s="130"/>
      <c r="O419" s="130"/>
      <c r="P419" s="128"/>
      <c r="Q419" s="128"/>
      <c r="R419" s="128"/>
      <c r="S419" s="298"/>
      <c r="T419" s="4"/>
      <c r="U419" s="4"/>
      <c r="V419" s="4"/>
      <c r="W419" s="4"/>
      <c r="X419" s="4"/>
      <c r="Y419" s="128"/>
      <c r="Z419" s="128"/>
      <c r="AA419" s="128"/>
      <c r="AB419" s="4"/>
      <c r="AC419" s="4"/>
      <c r="AD419" s="4"/>
      <c r="AE419" s="4"/>
      <c r="AF419" s="4"/>
      <c r="AG419" s="4"/>
      <c r="AH419" s="4"/>
      <c r="AI419" s="4"/>
      <c r="AJ419" s="246"/>
      <c r="AK419" s="246"/>
      <c r="AL419" s="129"/>
      <c r="AM419" s="129"/>
      <c r="AN419" s="129"/>
      <c r="AO419" s="246"/>
      <c r="AP419" s="246"/>
      <c r="AQ419" s="249"/>
      <c r="AR419" s="4"/>
      <c r="AS419" s="4"/>
      <c r="AT419" s="4"/>
      <c r="AU419" s="4"/>
      <c r="AV419" s="4"/>
      <c r="AW419" s="4"/>
      <c r="AX419" s="4"/>
      <c r="AY419" s="128"/>
      <c r="AZ419" s="4"/>
      <c r="BA419" s="4"/>
      <c r="BB419" s="4"/>
      <c r="BC419" s="4"/>
      <c r="BD419" s="4"/>
      <c r="BE419" s="4"/>
      <c r="BF419" s="4"/>
      <c r="BG419" s="4"/>
      <c r="BH419" s="4"/>
      <c r="BI419" s="567"/>
    </row>
    <row r="420" spans="1:61" ht="12.75" customHeight="1" x14ac:dyDescent="0.25">
      <c r="A420" s="4"/>
      <c r="B420" s="4"/>
      <c r="C420" s="4"/>
      <c r="D420" s="4"/>
      <c r="E420" s="128"/>
      <c r="F420" s="128"/>
      <c r="G420" s="753"/>
      <c r="H420" s="128"/>
      <c r="I420" s="128"/>
      <c r="J420" s="130"/>
      <c r="K420" s="128"/>
      <c r="L420" s="128"/>
      <c r="M420" s="130"/>
      <c r="N420" s="130"/>
      <c r="O420" s="130"/>
      <c r="P420" s="128"/>
      <c r="Q420" s="128"/>
      <c r="R420" s="128"/>
      <c r="S420" s="298"/>
      <c r="T420" s="4"/>
      <c r="U420" s="4"/>
      <c r="V420" s="4"/>
      <c r="W420" s="4"/>
      <c r="X420" s="4"/>
      <c r="Y420" s="128"/>
      <c r="Z420" s="128"/>
      <c r="AA420" s="128"/>
      <c r="AB420" s="4"/>
      <c r="AC420" s="4"/>
      <c r="AD420" s="4"/>
      <c r="AE420" s="4"/>
      <c r="AF420" s="4"/>
      <c r="AG420" s="4"/>
      <c r="AH420" s="4"/>
      <c r="AI420" s="4"/>
      <c r="AJ420" s="246"/>
      <c r="AK420" s="246"/>
      <c r="AL420" s="129"/>
      <c r="AM420" s="129"/>
      <c r="AN420" s="129"/>
      <c r="AO420" s="246"/>
      <c r="AP420" s="246"/>
      <c r="AQ420" s="249"/>
      <c r="AR420" s="4"/>
      <c r="AS420" s="4"/>
      <c r="AT420" s="4"/>
      <c r="AU420" s="4"/>
      <c r="AV420" s="4"/>
      <c r="AW420" s="4"/>
      <c r="AX420" s="4"/>
      <c r="AY420" s="128"/>
      <c r="AZ420" s="4"/>
      <c r="BA420" s="4"/>
      <c r="BB420" s="4"/>
      <c r="BC420" s="4"/>
      <c r="BD420" s="4"/>
      <c r="BE420" s="4"/>
      <c r="BF420" s="4"/>
      <c r="BG420" s="4"/>
      <c r="BH420" s="4"/>
      <c r="BI420" s="567"/>
    </row>
    <row r="421" spans="1:61" ht="12.75" customHeight="1" x14ac:dyDescent="0.25">
      <c r="A421" s="4"/>
      <c r="B421" s="4"/>
      <c r="C421" s="4"/>
      <c r="D421" s="4"/>
      <c r="E421" s="128"/>
      <c r="F421" s="128"/>
      <c r="G421" s="753"/>
      <c r="H421" s="128"/>
      <c r="I421" s="128"/>
      <c r="J421" s="130"/>
      <c r="K421" s="128"/>
      <c r="L421" s="128"/>
      <c r="M421" s="130"/>
      <c r="N421" s="130"/>
      <c r="O421" s="130"/>
      <c r="P421" s="128"/>
      <c r="Q421" s="128"/>
      <c r="R421" s="128"/>
      <c r="S421" s="298"/>
      <c r="T421" s="4"/>
      <c r="U421" s="4"/>
      <c r="V421" s="4"/>
      <c r="W421" s="4"/>
      <c r="X421" s="4"/>
      <c r="Y421" s="128"/>
      <c r="Z421" s="128"/>
      <c r="AA421" s="128"/>
      <c r="AB421" s="4"/>
      <c r="AC421" s="4"/>
      <c r="AD421" s="4"/>
      <c r="AE421" s="4"/>
      <c r="AF421" s="4"/>
      <c r="AG421" s="4"/>
      <c r="AH421" s="4"/>
      <c r="AI421" s="4"/>
      <c r="AJ421" s="246"/>
      <c r="AK421" s="246"/>
      <c r="AL421" s="129"/>
      <c r="AM421" s="129"/>
      <c r="AN421" s="129"/>
      <c r="AO421" s="246"/>
      <c r="AP421" s="246"/>
      <c r="AQ421" s="249"/>
      <c r="AR421" s="4"/>
      <c r="AS421" s="4"/>
      <c r="AT421" s="4"/>
      <c r="AU421" s="4"/>
      <c r="AV421" s="4"/>
      <c r="AW421" s="4"/>
      <c r="AX421" s="4"/>
      <c r="AY421" s="128"/>
      <c r="AZ421" s="4"/>
      <c r="BA421" s="4"/>
      <c r="BB421" s="4"/>
      <c r="BC421" s="4"/>
      <c r="BD421" s="4"/>
      <c r="BE421" s="4"/>
      <c r="BF421" s="4"/>
      <c r="BG421" s="4"/>
      <c r="BH421" s="4"/>
      <c r="BI421" s="567"/>
    </row>
    <row r="422" spans="1:61" ht="12.75" customHeight="1" x14ac:dyDescent="0.25">
      <c r="A422" s="4"/>
      <c r="B422" s="4"/>
      <c r="C422" s="4"/>
      <c r="D422" s="4"/>
      <c r="E422" s="128"/>
      <c r="F422" s="128"/>
      <c r="G422" s="753"/>
      <c r="H422" s="128"/>
      <c r="I422" s="128"/>
      <c r="J422" s="130"/>
      <c r="K422" s="128"/>
      <c r="L422" s="128"/>
      <c r="M422" s="130"/>
      <c r="N422" s="130"/>
      <c r="O422" s="130"/>
      <c r="P422" s="128"/>
      <c r="Q422" s="128"/>
      <c r="R422" s="128"/>
      <c r="S422" s="298"/>
      <c r="T422" s="4"/>
      <c r="U422" s="4"/>
      <c r="V422" s="4"/>
      <c r="W422" s="4"/>
      <c r="X422" s="4"/>
      <c r="Y422" s="128"/>
      <c r="Z422" s="128"/>
      <c r="AA422" s="128"/>
      <c r="AB422" s="4"/>
      <c r="AC422" s="4"/>
      <c r="AD422" s="4"/>
      <c r="AE422" s="4"/>
      <c r="AF422" s="4"/>
      <c r="AG422" s="4"/>
      <c r="AH422" s="4"/>
      <c r="AI422" s="4"/>
      <c r="AJ422" s="246"/>
      <c r="AK422" s="246"/>
      <c r="AL422" s="129"/>
      <c r="AM422" s="129"/>
      <c r="AN422" s="129"/>
      <c r="AO422" s="246"/>
      <c r="AP422" s="246"/>
      <c r="AQ422" s="249"/>
      <c r="AR422" s="4"/>
      <c r="AS422" s="4"/>
      <c r="AT422" s="4"/>
      <c r="AU422" s="4"/>
      <c r="AV422" s="4"/>
      <c r="AW422" s="4"/>
      <c r="AX422" s="4"/>
      <c r="AY422" s="128"/>
      <c r="AZ422" s="4"/>
      <c r="BA422" s="4"/>
      <c r="BB422" s="4"/>
      <c r="BC422" s="4"/>
      <c r="BD422" s="4"/>
      <c r="BE422" s="4"/>
      <c r="BF422" s="4"/>
      <c r="BG422" s="4"/>
      <c r="BH422" s="4"/>
      <c r="BI422" s="567"/>
    </row>
    <row r="423" spans="1:61" ht="12.75" customHeight="1" x14ac:dyDescent="0.25">
      <c r="A423" s="4"/>
      <c r="B423" s="4"/>
      <c r="C423" s="4"/>
      <c r="D423" s="4"/>
      <c r="E423" s="128"/>
      <c r="F423" s="128"/>
      <c r="G423" s="753"/>
      <c r="H423" s="128"/>
      <c r="I423" s="128"/>
      <c r="J423" s="130"/>
      <c r="K423" s="128"/>
      <c r="L423" s="128"/>
      <c r="M423" s="130"/>
      <c r="N423" s="130"/>
      <c r="O423" s="130"/>
      <c r="P423" s="128"/>
      <c r="Q423" s="128"/>
      <c r="R423" s="128"/>
      <c r="S423" s="298"/>
      <c r="T423" s="4"/>
      <c r="U423" s="4"/>
      <c r="V423" s="4"/>
      <c r="W423" s="4"/>
      <c r="X423" s="4"/>
      <c r="Y423" s="128"/>
      <c r="Z423" s="128"/>
      <c r="AA423" s="128"/>
      <c r="AB423" s="4"/>
      <c r="AC423" s="4"/>
      <c r="AD423" s="4"/>
      <c r="AE423" s="4"/>
      <c r="AF423" s="4"/>
      <c r="AG423" s="4"/>
      <c r="AH423" s="4"/>
      <c r="AI423" s="4"/>
      <c r="AJ423" s="246"/>
      <c r="AK423" s="246"/>
      <c r="AL423" s="129"/>
      <c r="AM423" s="129"/>
      <c r="AN423" s="129"/>
      <c r="AO423" s="246"/>
      <c r="AP423" s="246"/>
      <c r="AQ423" s="249"/>
      <c r="AR423" s="4"/>
      <c r="AS423" s="4"/>
      <c r="AT423" s="4"/>
      <c r="AU423" s="4"/>
      <c r="AV423" s="4"/>
      <c r="AW423" s="4"/>
      <c r="AX423" s="4"/>
      <c r="AY423" s="128"/>
      <c r="AZ423" s="4"/>
      <c r="BA423" s="4"/>
      <c r="BB423" s="4"/>
      <c r="BC423" s="4"/>
      <c r="BD423" s="4"/>
      <c r="BE423" s="4"/>
      <c r="BF423" s="4"/>
      <c r="BG423" s="4"/>
      <c r="BH423" s="4"/>
      <c r="BI423" s="567"/>
    </row>
    <row r="424" spans="1:61" ht="12.75" customHeight="1" x14ac:dyDescent="0.25">
      <c r="A424" s="4"/>
      <c r="B424" s="4"/>
      <c r="C424" s="4"/>
      <c r="D424" s="4"/>
      <c r="E424" s="128"/>
      <c r="F424" s="128"/>
      <c r="G424" s="753"/>
      <c r="H424" s="128"/>
      <c r="I424" s="128"/>
      <c r="J424" s="130"/>
      <c r="K424" s="128"/>
      <c r="L424" s="128"/>
      <c r="M424" s="130"/>
      <c r="N424" s="130"/>
      <c r="O424" s="130"/>
      <c r="P424" s="128"/>
      <c r="Q424" s="128"/>
      <c r="R424" s="128"/>
      <c r="S424" s="298"/>
      <c r="T424" s="4"/>
      <c r="U424" s="4"/>
      <c r="V424" s="4"/>
      <c r="W424" s="4"/>
      <c r="X424" s="4"/>
      <c r="Y424" s="128"/>
      <c r="Z424" s="128"/>
      <c r="AA424" s="128"/>
      <c r="AB424" s="4"/>
      <c r="AC424" s="4"/>
      <c r="AD424" s="4"/>
      <c r="AE424" s="4"/>
      <c r="AF424" s="4"/>
      <c r="AG424" s="4"/>
      <c r="AH424" s="4"/>
      <c r="AI424" s="4"/>
      <c r="AJ424" s="246"/>
      <c r="AK424" s="246"/>
      <c r="AL424" s="129"/>
      <c r="AM424" s="129"/>
      <c r="AN424" s="129"/>
      <c r="AO424" s="246"/>
      <c r="AP424" s="246"/>
      <c r="AQ424" s="249"/>
      <c r="AR424" s="4"/>
      <c r="AS424" s="4"/>
      <c r="AT424" s="4"/>
      <c r="AU424" s="4"/>
      <c r="AV424" s="4"/>
      <c r="AW424" s="4"/>
      <c r="AX424" s="4"/>
      <c r="AY424" s="128"/>
      <c r="AZ424" s="4"/>
      <c r="BA424" s="4"/>
      <c r="BB424" s="4"/>
      <c r="BC424" s="4"/>
      <c r="BD424" s="4"/>
      <c r="BE424" s="4"/>
      <c r="BF424" s="4"/>
      <c r="BG424" s="4"/>
      <c r="BH424" s="4"/>
      <c r="BI424" s="567"/>
    </row>
    <row r="425" spans="1:61" ht="12.75" customHeight="1" x14ac:dyDescent="0.25">
      <c r="A425" s="4"/>
      <c r="B425" s="4"/>
      <c r="C425" s="4"/>
      <c r="D425" s="4"/>
      <c r="E425" s="128"/>
      <c r="F425" s="128"/>
      <c r="G425" s="753"/>
      <c r="H425" s="128"/>
      <c r="I425" s="128"/>
      <c r="J425" s="130"/>
      <c r="K425" s="128"/>
      <c r="L425" s="128"/>
      <c r="M425" s="130"/>
      <c r="N425" s="130"/>
      <c r="O425" s="130"/>
      <c r="P425" s="128"/>
      <c r="Q425" s="128"/>
      <c r="R425" s="128"/>
      <c r="S425" s="298"/>
      <c r="T425" s="4"/>
      <c r="U425" s="4"/>
      <c r="V425" s="4"/>
      <c r="W425" s="4"/>
      <c r="X425" s="4"/>
      <c r="Y425" s="128"/>
      <c r="Z425" s="128"/>
      <c r="AA425" s="128"/>
      <c r="AB425" s="4"/>
      <c r="AC425" s="4"/>
      <c r="AD425" s="4"/>
      <c r="AE425" s="4"/>
      <c r="AF425" s="4"/>
      <c r="AG425" s="4"/>
      <c r="AH425" s="4"/>
      <c r="AI425" s="4"/>
      <c r="AJ425" s="246"/>
      <c r="AK425" s="246"/>
      <c r="AL425" s="129"/>
      <c r="AM425" s="129"/>
      <c r="AN425" s="129"/>
      <c r="AO425" s="246"/>
      <c r="AP425" s="246"/>
      <c r="AQ425" s="249"/>
      <c r="AR425" s="4"/>
      <c r="AS425" s="4"/>
      <c r="AT425" s="4"/>
      <c r="AU425" s="4"/>
      <c r="AV425" s="4"/>
      <c r="AW425" s="4"/>
      <c r="AX425" s="4"/>
      <c r="AY425" s="128"/>
      <c r="AZ425" s="4"/>
      <c r="BA425" s="4"/>
      <c r="BB425" s="4"/>
      <c r="BC425" s="4"/>
      <c r="BD425" s="4"/>
      <c r="BE425" s="4"/>
      <c r="BF425" s="4"/>
      <c r="BG425" s="4"/>
      <c r="BH425" s="4"/>
      <c r="BI425" s="567"/>
    </row>
    <row r="426" spans="1:61" ht="12.75" customHeight="1" x14ac:dyDescent="0.25">
      <c r="A426" s="4"/>
      <c r="B426" s="4"/>
      <c r="C426" s="4"/>
      <c r="D426" s="4"/>
      <c r="E426" s="128"/>
      <c r="F426" s="128"/>
      <c r="G426" s="753"/>
      <c r="H426" s="128"/>
      <c r="I426" s="128"/>
      <c r="J426" s="130"/>
      <c r="K426" s="128"/>
      <c r="L426" s="128"/>
      <c r="M426" s="130"/>
      <c r="N426" s="130"/>
      <c r="O426" s="130"/>
      <c r="P426" s="128"/>
      <c r="Q426" s="128"/>
      <c r="R426" s="128"/>
      <c r="S426" s="298"/>
      <c r="T426" s="4"/>
      <c r="U426" s="4"/>
      <c r="V426" s="4"/>
      <c r="W426" s="4"/>
      <c r="X426" s="4"/>
      <c r="Y426" s="128"/>
      <c r="Z426" s="128"/>
      <c r="AA426" s="128"/>
      <c r="AB426" s="4"/>
      <c r="AC426" s="4"/>
      <c r="AD426" s="4"/>
      <c r="AE426" s="4"/>
      <c r="AF426" s="4"/>
      <c r="AG426" s="4"/>
      <c r="AH426" s="4"/>
      <c r="AI426" s="4"/>
      <c r="AJ426" s="246"/>
      <c r="AK426" s="246"/>
      <c r="AL426" s="129"/>
      <c r="AM426" s="129"/>
      <c r="AN426" s="129"/>
      <c r="AO426" s="246"/>
      <c r="AP426" s="246"/>
      <c r="AQ426" s="249"/>
      <c r="AR426" s="4"/>
      <c r="AS426" s="4"/>
      <c r="AT426" s="4"/>
      <c r="AU426" s="4"/>
      <c r="AV426" s="4"/>
      <c r="AW426" s="4"/>
      <c r="AX426" s="4"/>
      <c r="AY426" s="128"/>
      <c r="AZ426" s="4"/>
      <c r="BA426" s="4"/>
      <c r="BB426" s="4"/>
      <c r="BC426" s="4"/>
      <c r="BD426" s="4"/>
      <c r="BE426" s="4"/>
      <c r="BF426" s="4"/>
      <c r="BG426" s="4"/>
      <c r="BH426" s="4"/>
      <c r="BI426" s="567"/>
    </row>
    <row r="427" spans="1:61" ht="12.75" customHeight="1" x14ac:dyDescent="0.25">
      <c r="A427" s="4"/>
      <c r="B427" s="4"/>
      <c r="C427" s="4"/>
      <c r="D427" s="4"/>
      <c r="E427" s="128"/>
      <c r="F427" s="128"/>
      <c r="G427" s="753"/>
      <c r="H427" s="128"/>
      <c r="I427" s="128"/>
      <c r="J427" s="130"/>
      <c r="K427" s="128"/>
      <c r="L427" s="128"/>
      <c r="M427" s="130"/>
      <c r="N427" s="130"/>
      <c r="O427" s="130"/>
      <c r="P427" s="128"/>
      <c r="Q427" s="128"/>
      <c r="R427" s="128"/>
      <c r="S427" s="298"/>
      <c r="T427" s="4"/>
      <c r="U427" s="4"/>
      <c r="V427" s="4"/>
      <c r="W427" s="4"/>
      <c r="X427" s="4"/>
      <c r="Y427" s="128"/>
      <c r="Z427" s="128"/>
      <c r="AA427" s="128"/>
      <c r="AB427" s="4"/>
      <c r="AC427" s="4"/>
      <c r="AD427" s="4"/>
      <c r="AE427" s="4"/>
      <c r="AF427" s="4"/>
      <c r="AG427" s="4"/>
      <c r="AH427" s="4"/>
      <c r="AI427" s="4"/>
      <c r="AJ427" s="246"/>
      <c r="AK427" s="246"/>
      <c r="AL427" s="129"/>
      <c r="AM427" s="129"/>
      <c r="AN427" s="129"/>
      <c r="AO427" s="246"/>
      <c r="AP427" s="246"/>
      <c r="AQ427" s="249"/>
      <c r="AR427" s="4"/>
      <c r="AS427" s="4"/>
      <c r="AT427" s="4"/>
      <c r="AU427" s="4"/>
      <c r="AV427" s="4"/>
      <c r="AW427" s="4"/>
      <c r="AX427" s="4"/>
      <c r="AY427" s="128"/>
      <c r="AZ427" s="4"/>
      <c r="BA427" s="4"/>
      <c r="BB427" s="4"/>
      <c r="BC427" s="4"/>
      <c r="BD427" s="4"/>
      <c r="BE427" s="4"/>
      <c r="BF427" s="4"/>
      <c r="BG427" s="4"/>
      <c r="BH427" s="4"/>
      <c r="BI427" s="567"/>
    </row>
    <row r="428" spans="1:61" ht="12.75" customHeight="1" x14ac:dyDescent="0.25">
      <c r="A428" s="4"/>
      <c r="B428" s="4"/>
      <c r="C428" s="4"/>
      <c r="D428" s="4"/>
      <c r="E428" s="128"/>
      <c r="F428" s="128"/>
      <c r="G428" s="753"/>
      <c r="H428" s="128"/>
      <c r="I428" s="128"/>
      <c r="J428" s="130"/>
      <c r="K428" s="128"/>
      <c r="L428" s="128"/>
      <c r="M428" s="130"/>
      <c r="N428" s="130"/>
      <c r="O428" s="130"/>
      <c r="P428" s="128"/>
      <c r="Q428" s="128"/>
      <c r="R428" s="128"/>
      <c r="S428" s="298"/>
      <c r="T428" s="4"/>
      <c r="U428" s="4"/>
      <c r="V428" s="4"/>
      <c r="W428" s="4"/>
      <c r="X428" s="4"/>
      <c r="Y428" s="128"/>
      <c r="Z428" s="128"/>
      <c r="AA428" s="128"/>
      <c r="AB428" s="4"/>
      <c r="AC428" s="4"/>
      <c r="AD428" s="4"/>
      <c r="AE428" s="4"/>
      <c r="AF428" s="4"/>
      <c r="AG428" s="4"/>
      <c r="AH428" s="4"/>
      <c r="AI428" s="4"/>
      <c r="AJ428" s="246"/>
      <c r="AK428" s="246"/>
      <c r="AL428" s="129"/>
      <c r="AM428" s="129"/>
      <c r="AN428" s="129"/>
      <c r="AO428" s="246"/>
      <c r="AP428" s="246"/>
      <c r="AQ428" s="249"/>
      <c r="AR428" s="4"/>
      <c r="AS428" s="4"/>
      <c r="AT428" s="4"/>
      <c r="AU428" s="4"/>
      <c r="AV428" s="4"/>
      <c r="AW428" s="4"/>
      <c r="AX428" s="4"/>
      <c r="AY428" s="128"/>
      <c r="AZ428" s="4"/>
      <c r="BA428" s="4"/>
      <c r="BB428" s="4"/>
      <c r="BC428" s="4"/>
      <c r="BD428" s="4"/>
      <c r="BE428" s="4"/>
      <c r="BF428" s="4"/>
      <c r="BG428" s="4"/>
      <c r="BH428" s="4"/>
      <c r="BI428" s="567"/>
    </row>
    <row r="429" spans="1:61" ht="12.75" customHeight="1" x14ac:dyDescent="0.25">
      <c r="A429" s="4"/>
      <c r="B429" s="4"/>
      <c r="C429" s="4"/>
      <c r="D429" s="4"/>
      <c r="E429" s="128"/>
      <c r="F429" s="128"/>
      <c r="G429" s="753"/>
      <c r="H429" s="128"/>
      <c r="I429" s="128"/>
      <c r="J429" s="130"/>
      <c r="K429" s="128"/>
      <c r="L429" s="128"/>
      <c r="M429" s="130"/>
      <c r="N429" s="130"/>
      <c r="O429" s="130"/>
      <c r="P429" s="128"/>
      <c r="Q429" s="128"/>
      <c r="R429" s="128"/>
      <c r="S429" s="298"/>
      <c r="T429" s="4"/>
      <c r="U429" s="4"/>
      <c r="V429" s="4"/>
      <c r="W429" s="4"/>
      <c r="X429" s="4"/>
      <c r="Y429" s="128"/>
      <c r="Z429" s="128"/>
      <c r="AA429" s="128"/>
      <c r="AB429" s="4"/>
      <c r="AC429" s="4"/>
      <c r="AD429" s="4"/>
      <c r="AE429" s="4"/>
      <c r="AF429" s="4"/>
      <c r="AG429" s="4"/>
      <c r="AH429" s="4"/>
      <c r="AI429" s="4"/>
      <c r="AJ429" s="246"/>
      <c r="AK429" s="246"/>
      <c r="AL429" s="129"/>
      <c r="AM429" s="129"/>
      <c r="AN429" s="129"/>
      <c r="AO429" s="246"/>
      <c r="AP429" s="246"/>
      <c r="AQ429" s="249"/>
      <c r="AR429" s="4"/>
      <c r="AS429" s="4"/>
      <c r="AT429" s="4"/>
      <c r="AU429" s="4"/>
      <c r="AV429" s="4"/>
      <c r="AW429" s="4"/>
      <c r="AX429" s="4"/>
      <c r="AY429" s="128"/>
      <c r="AZ429" s="4"/>
      <c r="BA429" s="4"/>
      <c r="BB429" s="4"/>
      <c r="BC429" s="4"/>
      <c r="BD429" s="4"/>
      <c r="BE429" s="4"/>
      <c r="BF429" s="4"/>
      <c r="BG429" s="4"/>
      <c r="BH429" s="4"/>
      <c r="BI429" s="567"/>
    </row>
    <row r="430" spans="1:61" ht="12.75" customHeight="1" x14ac:dyDescent="0.25">
      <c r="A430" s="4"/>
      <c r="B430" s="4"/>
      <c r="C430" s="4"/>
      <c r="D430" s="4"/>
      <c r="E430" s="128"/>
      <c r="F430" s="128"/>
      <c r="G430" s="753"/>
      <c r="H430" s="128"/>
      <c r="I430" s="128"/>
      <c r="J430" s="130"/>
      <c r="K430" s="128"/>
      <c r="L430" s="128"/>
      <c r="M430" s="130"/>
      <c r="N430" s="130"/>
      <c r="O430" s="130"/>
      <c r="P430" s="128"/>
      <c r="Q430" s="128"/>
      <c r="R430" s="128"/>
      <c r="S430" s="298"/>
      <c r="T430" s="4"/>
      <c r="U430" s="4"/>
      <c r="V430" s="4"/>
      <c r="W430" s="4"/>
      <c r="X430" s="4"/>
      <c r="Y430" s="128"/>
      <c r="Z430" s="128"/>
      <c r="AA430" s="128"/>
      <c r="AB430" s="4"/>
      <c r="AC430" s="4"/>
      <c r="AD430" s="4"/>
      <c r="AE430" s="4"/>
      <c r="AF430" s="4"/>
      <c r="AG430" s="4"/>
      <c r="AH430" s="4"/>
      <c r="AI430" s="4"/>
      <c r="AJ430" s="246"/>
      <c r="AK430" s="246"/>
      <c r="AL430" s="129"/>
      <c r="AM430" s="129"/>
      <c r="AN430" s="129"/>
      <c r="AO430" s="246"/>
      <c r="AP430" s="246"/>
      <c r="AQ430" s="249"/>
      <c r="AR430" s="4"/>
      <c r="AS430" s="4"/>
      <c r="AT430" s="4"/>
      <c r="AU430" s="4"/>
      <c r="AV430" s="4"/>
      <c r="AW430" s="4"/>
      <c r="AX430" s="4"/>
      <c r="AY430" s="128"/>
      <c r="AZ430" s="4"/>
      <c r="BA430" s="4"/>
      <c r="BB430" s="4"/>
      <c r="BC430" s="4"/>
      <c r="BD430" s="4"/>
      <c r="BE430" s="4"/>
      <c r="BF430" s="4"/>
      <c r="BG430" s="4"/>
      <c r="BH430" s="4"/>
      <c r="BI430" s="567"/>
    </row>
    <row r="431" spans="1:61" ht="12.75" customHeight="1" x14ac:dyDescent="0.25">
      <c r="A431" s="4"/>
      <c r="B431" s="4"/>
      <c r="C431" s="4"/>
      <c r="D431" s="4"/>
      <c r="E431" s="128"/>
      <c r="F431" s="128"/>
      <c r="G431" s="753"/>
      <c r="H431" s="128"/>
      <c r="I431" s="128"/>
      <c r="J431" s="130"/>
      <c r="K431" s="128"/>
      <c r="L431" s="128"/>
      <c r="M431" s="130"/>
      <c r="N431" s="130"/>
      <c r="O431" s="130"/>
      <c r="P431" s="128"/>
      <c r="Q431" s="128"/>
      <c r="R431" s="128"/>
      <c r="S431" s="298"/>
      <c r="T431" s="4"/>
      <c r="U431" s="4"/>
      <c r="V431" s="4"/>
      <c r="W431" s="4"/>
      <c r="X431" s="4"/>
      <c r="Y431" s="128"/>
      <c r="Z431" s="128"/>
      <c r="AA431" s="128"/>
      <c r="AB431" s="4"/>
      <c r="AC431" s="4"/>
      <c r="AD431" s="4"/>
      <c r="AE431" s="4"/>
      <c r="AF431" s="4"/>
      <c r="AG431" s="4"/>
      <c r="AH431" s="4"/>
      <c r="AI431" s="4"/>
      <c r="AJ431" s="246"/>
      <c r="AK431" s="246"/>
      <c r="AL431" s="129"/>
      <c r="AM431" s="129"/>
      <c r="AN431" s="129"/>
      <c r="AO431" s="246"/>
      <c r="AP431" s="246"/>
      <c r="AQ431" s="249"/>
      <c r="AR431" s="4"/>
      <c r="AS431" s="4"/>
      <c r="AT431" s="4"/>
      <c r="AU431" s="4"/>
      <c r="AV431" s="4"/>
      <c r="AW431" s="4"/>
      <c r="AX431" s="4"/>
      <c r="AY431" s="128"/>
      <c r="AZ431" s="4"/>
      <c r="BA431" s="4"/>
      <c r="BB431" s="4"/>
      <c r="BC431" s="4"/>
      <c r="BD431" s="4"/>
      <c r="BE431" s="4"/>
      <c r="BF431" s="4"/>
      <c r="BG431" s="4"/>
      <c r="BH431" s="4"/>
      <c r="BI431" s="567"/>
    </row>
    <row r="432" spans="1:61" ht="12.75" customHeight="1" x14ac:dyDescent="0.25">
      <c r="A432" s="4"/>
      <c r="B432" s="4"/>
      <c r="C432" s="4"/>
      <c r="D432" s="4"/>
      <c r="E432" s="128"/>
      <c r="F432" s="128"/>
      <c r="G432" s="753"/>
      <c r="H432" s="128"/>
      <c r="I432" s="128"/>
      <c r="J432" s="130"/>
      <c r="K432" s="128"/>
      <c r="L432" s="128"/>
      <c r="M432" s="130"/>
      <c r="N432" s="130"/>
      <c r="O432" s="130"/>
      <c r="P432" s="128"/>
      <c r="Q432" s="128"/>
      <c r="R432" s="128"/>
      <c r="S432" s="298"/>
      <c r="T432" s="4"/>
      <c r="U432" s="4"/>
      <c r="V432" s="4"/>
      <c r="W432" s="4"/>
      <c r="X432" s="4"/>
      <c r="Y432" s="128"/>
      <c r="Z432" s="128"/>
      <c r="AA432" s="128"/>
      <c r="AB432" s="4"/>
      <c r="AC432" s="4"/>
      <c r="AD432" s="4"/>
      <c r="AE432" s="4"/>
      <c r="AF432" s="4"/>
      <c r="AG432" s="4"/>
      <c r="AH432" s="4"/>
      <c r="AI432" s="4"/>
      <c r="AJ432" s="246"/>
      <c r="AK432" s="246"/>
      <c r="AL432" s="129"/>
      <c r="AM432" s="129"/>
      <c r="AN432" s="129"/>
      <c r="AO432" s="246"/>
      <c r="AP432" s="246"/>
      <c r="AQ432" s="249"/>
      <c r="AR432" s="4"/>
      <c r="AS432" s="4"/>
      <c r="AT432" s="4"/>
      <c r="AU432" s="4"/>
      <c r="AV432" s="4"/>
      <c r="AW432" s="4"/>
      <c r="AX432" s="4"/>
      <c r="AY432" s="128"/>
      <c r="AZ432" s="4"/>
      <c r="BA432" s="4"/>
      <c r="BB432" s="4"/>
      <c r="BC432" s="4"/>
      <c r="BD432" s="4"/>
      <c r="BE432" s="4"/>
      <c r="BF432" s="4"/>
      <c r="BG432" s="4"/>
      <c r="BH432" s="4"/>
      <c r="BI432" s="567"/>
    </row>
    <row r="433" spans="1:61" ht="12.75" customHeight="1" x14ac:dyDescent="0.25">
      <c r="A433" s="4"/>
      <c r="B433" s="4"/>
      <c r="C433" s="4"/>
      <c r="D433" s="4"/>
      <c r="E433" s="128"/>
      <c r="F433" s="128"/>
      <c r="G433" s="753"/>
      <c r="H433" s="128"/>
      <c r="I433" s="128"/>
      <c r="J433" s="130"/>
      <c r="K433" s="128"/>
      <c r="L433" s="128"/>
      <c r="M433" s="130"/>
      <c r="N433" s="130"/>
      <c r="O433" s="130"/>
      <c r="P433" s="128"/>
      <c r="Q433" s="128"/>
      <c r="R433" s="128"/>
      <c r="S433" s="298"/>
      <c r="T433" s="4"/>
      <c r="U433" s="4"/>
      <c r="V433" s="4"/>
      <c r="W433" s="4"/>
      <c r="X433" s="4"/>
      <c r="Y433" s="128"/>
      <c r="Z433" s="128"/>
      <c r="AA433" s="128"/>
      <c r="AB433" s="4"/>
      <c r="AC433" s="4"/>
      <c r="AD433" s="4"/>
      <c r="AE433" s="4"/>
      <c r="AF433" s="4"/>
      <c r="AG433" s="4"/>
      <c r="AH433" s="4"/>
      <c r="AI433" s="4"/>
      <c r="AJ433" s="246"/>
      <c r="AK433" s="246"/>
      <c r="AL433" s="129"/>
      <c r="AM433" s="129"/>
      <c r="AN433" s="129"/>
      <c r="AO433" s="246"/>
      <c r="AP433" s="246"/>
      <c r="AQ433" s="249"/>
      <c r="AR433" s="4"/>
      <c r="AS433" s="4"/>
      <c r="AT433" s="4"/>
      <c r="AU433" s="4"/>
      <c r="AV433" s="4"/>
      <c r="AW433" s="4"/>
      <c r="AX433" s="4"/>
      <c r="AY433" s="128"/>
      <c r="AZ433" s="4"/>
      <c r="BA433" s="4"/>
      <c r="BB433" s="4"/>
      <c r="BC433" s="4"/>
      <c r="BD433" s="4"/>
      <c r="BE433" s="4"/>
      <c r="BF433" s="4"/>
      <c r="BG433" s="4"/>
      <c r="BH433" s="4"/>
      <c r="BI433" s="567"/>
    </row>
    <row r="434" spans="1:61" ht="12.75" customHeight="1" x14ac:dyDescent="0.25">
      <c r="A434" s="4"/>
      <c r="B434" s="4"/>
      <c r="C434" s="4"/>
      <c r="D434" s="4"/>
      <c r="E434" s="128"/>
      <c r="F434" s="128"/>
      <c r="G434" s="753"/>
      <c r="H434" s="128"/>
      <c r="I434" s="128"/>
      <c r="J434" s="130"/>
      <c r="K434" s="128"/>
      <c r="L434" s="128"/>
      <c r="M434" s="130"/>
      <c r="N434" s="130"/>
      <c r="O434" s="130"/>
      <c r="P434" s="128"/>
      <c r="Q434" s="128"/>
      <c r="R434" s="128"/>
      <c r="S434" s="298"/>
      <c r="T434" s="4"/>
      <c r="U434" s="4"/>
      <c r="V434" s="4"/>
      <c r="W434" s="4"/>
      <c r="X434" s="4"/>
      <c r="Y434" s="128"/>
      <c r="Z434" s="128"/>
      <c r="AA434" s="128"/>
      <c r="AB434" s="4"/>
      <c r="AC434" s="4"/>
      <c r="AD434" s="4"/>
      <c r="AE434" s="4"/>
      <c r="AF434" s="4"/>
      <c r="AG434" s="4"/>
      <c r="AH434" s="4"/>
      <c r="AI434" s="4"/>
      <c r="AJ434" s="246"/>
      <c r="AK434" s="246"/>
      <c r="AL434" s="129"/>
      <c r="AM434" s="129"/>
      <c r="AN434" s="129"/>
      <c r="AO434" s="246"/>
      <c r="AP434" s="246"/>
      <c r="AQ434" s="249"/>
      <c r="AR434" s="4"/>
      <c r="AS434" s="4"/>
      <c r="AT434" s="4"/>
      <c r="AU434" s="4"/>
      <c r="AV434" s="4"/>
      <c r="AW434" s="4"/>
      <c r="AX434" s="4"/>
      <c r="AY434" s="128"/>
      <c r="AZ434" s="4"/>
      <c r="BA434" s="4"/>
      <c r="BB434" s="4"/>
      <c r="BC434" s="4"/>
      <c r="BD434" s="4"/>
      <c r="BE434" s="4"/>
      <c r="BF434" s="4"/>
      <c r="BG434" s="4"/>
      <c r="BH434" s="4"/>
      <c r="BI434" s="567"/>
    </row>
    <row r="435" spans="1:61" ht="12.75" customHeight="1" x14ac:dyDescent="0.25">
      <c r="A435" s="4"/>
      <c r="B435" s="4"/>
      <c r="C435" s="4"/>
      <c r="D435" s="4"/>
      <c r="E435" s="128"/>
      <c r="F435" s="128"/>
      <c r="G435" s="753"/>
      <c r="H435" s="128"/>
      <c r="I435" s="128"/>
      <c r="J435" s="130"/>
      <c r="K435" s="128"/>
      <c r="L435" s="128"/>
      <c r="M435" s="130"/>
      <c r="N435" s="130"/>
      <c r="O435" s="130"/>
      <c r="P435" s="128"/>
      <c r="Q435" s="128"/>
      <c r="R435" s="128"/>
      <c r="S435" s="298"/>
      <c r="T435" s="4"/>
      <c r="U435" s="4"/>
      <c r="V435" s="4"/>
      <c r="W435" s="4"/>
      <c r="X435" s="4"/>
      <c r="Y435" s="128"/>
      <c r="Z435" s="128"/>
      <c r="AA435" s="128"/>
      <c r="AB435" s="4"/>
      <c r="AC435" s="4"/>
      <c r="AD435" s="4"/>
      <c r="AE435" s="4"/>
      <c r="AF435" s="4"/>
      <c r="AG435" s="4"/>
      <c r="AH435" s="4"/>
      <c r="AI435" s="4"/>
      <c r="AJ435" s="246"/>
      <c r="AK435" s="246"/>
      <c r="AL435" s="129"/>
      <c r="AM435" s="129"/>
      <c r="AN435" s="129"/>
      <c r="AO435" s="246"/>
      <c r="AP435" s="246"/>
      <c r="AQ435" s="249"/>
      <c r="AR435" s="4"/>
      <c r="AS435" s="4"/>
      <c r="AT435" s="4"/>
      <c r="AU435" s="4"/>
      <c r="AV435" s="4"/>
      <c r="AW435" s="4"/>
      <c r="AX435" s="4"/>
      <c r="AY435" s="128"/>
      <c r="AZ435" s="4"/>
      <c r="BA435" s="4"/>
      <c r="BB435" s="4"/>
      <c r="BC435" s="4"/>
      <c r="BD435" s="4"/>
      <c r="BE435" s="4"/>
      <c r="BF435" s="4"/>
      <c r="BG435" s="4"/>
      <c r="BH435" s="4"/>
      <c r="BI435" s="567"/>
    </row>
    <row r="436" spans="1:61" ht="12.75" customHeight="1" x14ac:dyDescent="0.25">
      <c r="A436" s="4"/>
      <c r="B436" s="4"/>
      <c r="C436" s="4"/>
      <c r="D436" s="4"/>
      <c r="E436" s="128"/>
      <c r="F436" s="128"/>
      <c r="G436" s="753"/>
      <c r="H436" s="128"/>
      <c r="I436" s="128"/>
      <c r="J436" s="130"/>
      <c r="K436" s="128"/>
      <c r="L436" s="128"/>
      <c r="M436" s="130"/>
      <c r="N436" s="130"/>
      <c r="O436" s="130"/>
      <c r="P436" s="128"/>
      <c r="Q436" s="128"/>
      <c r="R436" s="128"/>
      <c r="S436" s="298"/>
      <c r="T436" s="4"/>
      <c r="U436" s="4"/>
      <c r="V436" s="4"/>
      <c r="W436" s="4"/>
      <c r="X436" s="4"/>
      <c r="Y436" s="128"/>
      <c r="Z436" s="128"/>
      <c r="AA436" s="128"/>
      <c r="AB436" s="4"/>
      <c r="AC436" s="4"/>
      <c r="AD436" s="4"/>
      <c r="AE436" s="4"/>
      <c r="AF436" s="4"/>
      <c r="AG436" s="4"/>
      <c r="AH436" s="4"/>
      <c r="AI436" s="4"/>
      <c r="AJ436" s="246"/>
      <c r="AK436" s="246"/>
      <c r="AL436" s="129"/>
      <c r="AM436" s="129"/>
      <c r="AN436" s="129"/>
      <c r="AO436" s="246"/>
      <c r="AP436" s="246"/>
      <c r="AQ436" s="249"/>
      <c r="AR436" s="4"/>
      <c r="AS436" s="4"/>
      <c r="AT436" s="4"/>
      <c r="AU436" s="4"/>
      <c r="AV436" s="4"/>
      <c r="AW436" s="4"/>
      <c r="AX436" s="4"/>
      <c r="AY436" s="128"/>
      <c r="AZ436" s="4"/>
      <c r="BA436" s="4"/>
      <c r="BB436" s="4"/>
      <c r="BC436" s="4"/>
      <c r="BD436" s="4"/>
      <c r="BE436" s="4"/>
      <c r="BF436" s="4"/>
      <c r="BG436" s="4"/>
      <c r="BH436" s="4"/>
      <c r="BI436" s="567"/>
    </row>
    <row r="437" spans="1:61" ht="12.75" customHeight="1" x14ac:dyDescent="0.25">
      <c r="A437" s="4"/>
      <c r="B437" s="4"/>
      <c r="C437" s="4"/>
      <c r="D437" s="4"/>
      <c r="E437" s="128"/>
      <c r="F437" s="128"/>
      <c r="G437" s="753"/>
      <c r="H437" s="128"/>
      <c r="I437" s="128"/>
      <c r="J437" s="130"/>
      <c r="K437" s="128"/>
      <c r="L437" s="128"/>
      <c r="M437" s="130"/>
      <c r="N437" s="130"/>
      <c r="O437" s="130"/>
      <c r="P437" s="128"/>
      <c r="Q437" s="128"/>
      <c r="R437" s="128"/>
      <c r="S437" s="298"/>
      <c r="T437" s="4"/>
      <c r="U437" s="4"/>
      <c r="V437" s="4"/>
      <c r="W437" s="4"/>
      <c r="X437" s="4"/>
      <c r="Y437" s="128"/>
      <c r="Z437" s="128"/>
      <c r="AA437" s="128"/>
      <c r="AB437" s="4"/>
      <c r="AC437" s="4"/>
      <c r="AD437" s="4"/>
      <c r="AE437" s="4"/>
      <c r="AF437" s="4"/>
      <c r="AG437" s="4"/>
      <c r="AH437" s="4"/>
      <c r="AI437" s="4"/>
      <c r="AJ437" s="246"/>
      <c r="AK437" s="246"/>
      <c r="AL437" s="129"/>
      <c r="AM437" s="129"/>
      <c r="AN437" s="129"/>
      <c r="AO437" s="246"/>
      <c r="AP437" s="246"/>
      <c r="AQ437" s="249"/>
      <c r="AR437" s="4"/>
      <c r="AS437" s="4"/>
      <c r="AT437" s="4"/>
      <c r="AU437" s="4"/>
      <c r="AV437" s="4"/>
      <c r="AW437" s="4"/>
      <c r="AX437" s="4"/>
      <c r="AY437" s="128"/>
      <c r="AZ437" s="4"/>
      <c r="BA437" s="4"/>
      <c r="BB437" s="4"/>
      <c r="BC437" s="4"/>
      <c r="BD437" s="4"/>
      <c r="BE437" s="4"/>
      <c r="BF437" s="4"/>
      <c r="BG437" s="4"/>
      <c r="BH437" s="4"/>
      <c r="BI437" s="567"/>
    </row>
    <row r="438" spans="1:61" ht="12.75" customHeight="1" x14ac:dyDescent="0.25">
      <c r="A438" s="4"/>
      <c r="B438" s="4"/>
      <c r="C438" s="4"/>
      <c r="D438" s="4"/>
      <c r="E438" s="128"/>
      <c r="F438" s="128"/>
      <c r="G438" s="753"/>
      <c r="H438" s="128"/>
      <c r="I438" s="128"/>
      <c r="J438" s="130"/>
      <c r="K438" s="128"/>
      <c r="L438" s="128"/>
      <c r="M438" s="130"/>
      <c r="N438" s="130"/>
      <c r="O438" s="130"/>
      <c r="P438" s="128"/>
      <c r="Q438" s="128"/>
      <c r="R438" s="128"/>
      <c r="S438" s="298"/>
      <c r="T438" s="4"/>
      <c r="U438" s="4"/>
      <c r="V438" s="4"/>
      <c r="W438" s="4"/>
      <c r="X438" s="4"/>
      <c r="Y438" s="128"/>
      <c r="Z438" s="128"/>
      <c r="AA438" s="128"/>
      <c r="AB438" s="4"/>
      <c r="AC438" s="4"/>
      <c r="AD438" s="4"/>
      <c r="AE438" s="4"/>
      <c r="AF438" s="4"/>
      <c r="AG438" s="4"/>
      <c r="AH438" s="4"/>
      <c r="AI438" s="4"/>
      <c r="AJ438" s="246"/>
      <c r="AK438" s="246"/>
      <c r="AL438" s="129"/>
      <c r="AM438" s="129"/>
      <c r="AN438" s="129"/>
      <c r="AO438" s="246"/>
      <c r="AP438" s="246"/>
      <c r="AQ438" s="249"/>
      <c r="AR438" s="4"/>
      <c r="AS438" s="4"/>
      <c r="AT438" s="4"/>
      <c r="AU438" s="4"/>
      <c r="AV438" s="4"/>
      <c r="AW438" s="4"/>
      <c r="AX438" s="4"/>
      <c r="AY438" s="128"/>
      <c r="AZ438" s="4"/>
      <c r="BA438" s="4"/>
      <c r="BB438" s="4"/>
      <c r="BC438" s="4"/>
      <c r="BD438" s="4"/>
      <c r="BE438" s="4"/>
      <c r="BF438" s="4"/>
      <c r="BG438" s="4"/>
      <c r="BH438" s="4"/>
      <c r="BI438" s="567"/>
    </row>
    <row r="439" spans="1:61" ht="12.75" customHeight="1" x14ac:dyDescent="0.25">
      <c r="A439" s="4"/>
      <c r="B439" s="4"/>
      <c r="C439" s="4"/>
      <c r="D439" s="4"/>
      <c r="E439" s="128"/>
      <c r="F439" s="128"/>
      <c r="G439" s="753"/>
      <c r="H439" s="128"/>
      <c r="I439" s="128"/>
      <c r="J439" s="130"/>
      <c r="K439" s="128"/>
      <c r="L439" s="128"/>
      <c r="M439" s="130"/>
      <c r="N439" s="130"/>
      <c r="O439" s="130"/>
      <c r="P439" s="128"/>
      <c r="Q439" s="128"/>
      <c r="R439" s="128"/>
      <c r="S439" s="298"/>
      <c r="T439" s="4"/>
      <c r="U439" s="4"/>
      <c r="V439" s="4"/>
      <c r="W439" s="4"/>
      <c r="X439" s="4"/>
      <c r="Y439" s="128"/>
      <c r="Z439" s="128"/>
      <c r="AA439" s="128"/>
      <c r="AB439" s="4"/>
      <c r="AC439" s="4"/>
      <c r="AD439" s="4"/>
      <c r="AE439" s="4"/>
      <c r="AF439" s="4"/>
      <c r="AG439" s="4"/>
      <c r="AH439" s="4"/>
      <c r="AI439" s="4"/>
      <c r="AJ439" s="246"/>
      <c r="AK439" s="246"/>
      <c r="AL439" s="129"/>
      <c r="AM439" s="129"/>
      <c r="AN439" s="129"/>
      <c r="AO439" s="246"/>
      <c r="AP439" s="246"/>
      <c r="AQ439" s="249"/>
      <c r="AR439" s="4"/>
      <c r="AS439" s="4"/>
      <c r="AT439" s="4"/>
      <c r="AU439" s="4"/>
      <c r="AV439" s="4"/>
      <c r="AW439" s="4"/>
      <c r="AX439" s="4"/>
      <c r="AY439" s="128"/>
      <c r="AZ439" s="4"/>
      <c r="BA439" s="4"/>
      <c r="BB439" s="4"/>
      <c r="BC439" s="4"/>
      <c r="BD439" s="4"/>
      <c r="BE439" s="4"/>
      <c r="BF439" s="4"/>
      <c r="BG439" s="4"/>
      <c r="BH439" s="4"/>
      <c r="BI439" s="567"/>
    </row>
    <row r="440" spans="1:61" ht="12.75" customHeight="1" x14ac:dyDescent="0.25">
      <c r="A440" s="4"/>
      <c r="B440" s="4"/>
      <c r="C440" s="4"/>
      <c r="D440" s="4"/>
      <c r="E440" s="128"/>
      <c r="F440" s="128"/>
      <c r="G440" s="753"/>
      <c r="H440" s="128"/>
      <c r="I440" s="128"/>
      <c r="J440" s="130"/>
      <c r="K440" s="128"/>
      <c r="L440" s="128"/>
      <c r="M440" s="130"/>
      <c r="N440" s="130"/>
      <c r="O440" s="130"/>
      <c r="P440" s="128"/>
      <c r="Q440" s="128"/>
      <c r="R440" s="128"/>
      <c r="S440" s="298"/>
      <c r="T440" s="4"/>
      <c r="U440" s="4"/>
      <c r="V440" s="4"/>
      <c r="W440" s="4"/>
      <c r="X440" s="4"/>
      <c r="Y440" s="128"/>
      <c r="Z440" s="128"/>
      <c r="AA440" s="128"/>
      <c r="AB440" s="4"/>
      <c r="AC440" s="4"/>
      <c r="AD440" s="4"/>
      <c r="AE440" s="4"/>
      <c r="AF440" s="4"/>
      <c r="AG440" s="4"/>
      <c r="AH440" s="4"/>
      <c r="AI440" s="4"/>
      <c r="AJ440" s="246"/>
      <c r="AK440" s="246"/>
      <c r="AL440" s="129"/>
      <c r="AM440" s="129"/>
      <c r="AN440" s="129"/>
      <c r="AO440" s="246"/>
      <c r="AP440" s="246"/>
      <c r="AQ440" s="249"/>
      <c r="AR440" s="4"/>
      <c r="AS440" s="4"/>
      <c r="AT440" s="4"/>
      <c r="AU440" s="4"/>
      <c r="AV440" s="4"/>
      <c r="AW440" s="4"/>
      <c r="AX440" s="4"/>
      <c r="AY440" s="128"/>
      <c r="AZ440" s="4"/>
      <c r="BA440" s="4"/>
      <c r="BB440" s="4"/>
      <c r="BC440" s="4"/>
      <c r="BD440" s="4"/>
      <c r="BE440" s="4"/>
      <c r="BF440" s="4"/>
      <c r="BG440" s="4"/>
      <c r="BH440" s="4"/>
      <c r="BI440" s="567"/>
    </row>
    <row r="441" spans="1:61" ht="12.75" customHeight="1" x14ac:dyDescent="0.25">
      <c r="A441" s="4"/>
      <c r="B441" s="4"/>
      <c r="C441" s="4"/>
      <c r="D441" s="4"/>
      <c r="E441" s="128"/>
      <c r="F441" s="128"/>
      <c r="G441" s="753"/>
      <c r="H441" s="128"/>
      <c r="I441" s="128"/>
      <c r="J441" s="130"/>
      <c r="K441" s="128"/>
      <c r="L441" s="128"/>
      <c r="M441" s="130"/>
      <c r="N441" s="130"/>
      <c r="O441" s="130"/>
      <c r="P441" s="128"/>
      <c r="Q441" s="128"/>
      <c r="R441" s="128"/>
      <c r="S441" s="298"/>
      <c r="T441" s="4"/>
      <c r="U441" s="4"/>
      <c r="V441" s="4"/>
      <c r="W441" s="4"/>
      <c r="X441" s="4"/>
      <c r="Y441" s="128"/>
      <c r="Z441" s="128"/>
      <c r="AA441" s="128"/>
      <c r="AB441" s="4"/>
      <c r="AC441" s="4"/>
      <c r="AD441" s="4"/>
      <c r="AE441" s="4"/>
      <c r="AF441" s="4"/>
      <c r="AG441" s="4"/>
      <c r="AH441" s="4"/>
      <c r="AI441" s="4"/>
      <c r="AJ441" s="246"/>
      <c r="AK441" s="246"/>
      <c r="AL441" s="129"/>
      <c r="AM441" s="129"/>
      <c r="AN441" s="129"/>
      <c r="AO441" s="246"/>
      <c r="AP441" s="246"/>
      <c r="AQ441" s="249"/>
      <c r="AR441" s="4"/>
      <c r="AS441" s="4"/>
      <c r="AT441" s="4"/>
      <c r="AU441" s="4"/>
      <c r="AV441" s="4"/>
      <c r="AW441" s="4"/>
      <c r="AX441" s="4"/>
      <c r="AY441" s="128"/>
      <c r="AZ441" s="4"/>
      <c r="BA441" s="4"/>
      <c r="BB441" s="4"/>
      <c r="BC441" s="4"/>
      <c r="BD441" s="4"/>
      <c r="BE441" s="4"/>
      <c r="BF441" s="4"/>
      <c r="BG441" s="4"/>
      <c r="BH441" s="4"/>
      <c r="BI441" s="567"/>
    </row>
    <row r="442" spans="1:61" ht="12.75" customHeight="1" x14ac:dyDescent="0.25">
      <c r="A442" s="4"/>
      <c r="B442" s="4"/>
      <c r="C442" s="4"/>
      <c r="D442" s="4"/>
      <c r="E442" s="128"/>
      <c r="F442" s="128"/>
      <c r="G442" s="753"/>
      <c r="H442" s="128"/>
      <c r="I442" s="128"/>
      <c r="J442" s="130"/>
      <c r="K442" s="128"/>
      <c r="L442" s="128"/>
      <c r="M442" s="130"/>
      <c r="N442" s="130"/>
      <c r="O442" s="130"/>
      <c r="P442" s="128"/>
      <c r="Q442" s="128"/>
      <c r="R442" s="128"/>
      <c r="S442" s="298"/>
      <c r="T442" s="4"/>
      <c r="U442" s="4"/>
      <c r="V442" s="4"/>
      <c r="W442" s="4"/>
      <c r="X442" s="4"/>
      <c r="Y442" s="128"/>
      <c r="Z442" s="128"/>
      <c r="AA442" s="128"/>
      <c r="AB442" s="4"/>
      <c r="AC442" s="4"/>
      <c r="AD442" s="4"/>
      <c r="AE442" s="4"/>
      <c r="AF442" s="4"/>
      <c r="AG442" s="4"/>
      <c r="AH442" s="4"/>
      <c r="AI442" s="4"/>
      <c r="AJ442" s="246"/>
      <c r="AK442" s="246"/>
      <c r="AL442" s="129"/>
      <c r="AM442" s="129"/>
      <c r="AN442" s="129"/>
      <c r="AO442" s="246"/>
      <c r="AP442" s="246"/>
      <c r="AQ442" s="249"/>
      <c r="AR442" s="4"/>
      <c r="AS442" s="4"/>
      <c r="AT442" s="4"/>
      <c r="AU442" s="4"/>
      <c r="AV442" s="4"/>
      <c r="AW442" s="4"/>
      <c r="AX442" s="4"/>
      <c r="AY442" s="128"/>
      <c r="AZ442" s="4"/>
      <c r="BA442" s="4"/>
      <c r="BB442" s="4"/>
      <c r="BC442" s="4"/>
      <c r="BD442" s="4"/>
      <c r="BE442" s="4"/>
      <c r="BF442" s="4"/>
      <c r="BG442" s="4"/>
      <c r="BH442" s="4"/>
      <c r="BI442" s="567"/>
    </row>
    <row r="443" spans="1:61" ht="12.75" customHeight="1" x14ac:dyDescent="0.25">
      <c r="A443" s="4"/>
      <c r="B443" s="4"/>
      <c r="C443" s="4"/>
      <c r="D443" s="4"/>
      <c r="E443" s="128"/>
      <c r="F443" s="128"/>
      <c r="G443" s="753"/>
      <c r="H443" s="128"/>
      <c r="I443" s="128"/>
      <c r="J443" s="130"/>
      <c r="K443" s="128"/>
      <c r="L443" s="128"/>
      <c r="M443" s="130"/>
      <c r="N443" s="130"/>
      <c r="O443" s="130"/>
      <c r="P443" s="128"/>
      <c r="Q443" s="128"/>
      <c r="R443" s="128"/>
      <c r="S443" s="298"/>
      <c r="T443" s="4"/>
      <c r="U443" s="4"/>
      <c r="V443" s="4"/>
      <c r="W443" s="4"/>
      <c r="X443" s="4"/>
      <c r="Y443" s="128"/>
      <c r="Z443" s="128"/>
      <c r="AA443" s="128"/>
      <c r="AB443" s="4"/>
      <c r="AC443" s="4"/>
      <c r="AD443" s="4"/>
      <c r="AE443" s="4"/>
      <c r="AF443" s="4"/>
      <c r="AG443" s="4"/>
      <c r="AH443" s="4"/>
      <c r="AI443" s="4"/>
      <c r="AJ443" s="246"/>
      <c r="AK443" s="246"/>
      <c r="AL443" s="129"/>
      <c r="AM443" s="129"/>
      <c r="AN443" s="129"/>
      <c r="AO443" s="246"/>
      <c r="AP443" s="246"/>
      <c r="AQ443" s="249"/>
      <c r="AR443" s="4"/>
      <c r="AS443" s="4"/>
      <c r="AT443" s="4"/>
      <c r="AU443" s="4"/>
      <c r="AV443" s="4"/>
      <c r="AW443" s="4"/>
      <c r="AX443" s="4"/>
      <c r="AY443" s="128"/>
      <c r="AZ443" s="4"/>
      <c r="BA443" s="4"/>
      <c r="BB443" s="4"/>
      <c r="BC443" s="4"/>
      <c r="BD443" s="4"/>
      <c r="BE443" s="4"/>
      <c r="BF443" s="4"/>
      <c r="BG443" s="4"/>
      <c r="BH443" s="4"/>
      <c r="BI443" s="567"/>
    </row>
    <row r="444" spans="1:61" ht="12.75" customHeight="1" x14ac:dyDescent="0.25">
      <c r="A444" s="4"/>
      <c r="B444" s="4"/>
      <c r="C444" s="4"/>
      <c r="D444" s="4"/>
      <c r="E444" s="128"/>
      <c r="F444" s="128"/>
      <c r="G444" s="753"/>
      <c r="H444" s="128"/>
      <c r="I444" s="128"/>
      <c r="J444" s="130"/>
      <c r="K444" s="128"/>
      <c r="L444" s="128"/>
      <c r="M444" s="130"/>
      <c r="N444" s="130"/>
      <c r="O444" s="130"/>
      <c r="P444" s="128"/>
      <c r="Q444" s="128"/>
      <c r="R444" s="128"/>
      <c r="S444" s="298"/>
      <c r="T444" s="4"/>
      <c r="U444" s="4"/>
      <c r="V444" s="4"/>
      <c r="W444" s="4"/>
      <c r="X444" s="4"/>
      <c r="Y444" s="128"/>
      <c r="Z444" s="128"/>
      <c r="AA444" s="128"/>
      <c r="AB444" s="4"/>
      <c r="AC444" s="4"/>
      <c r="AD444" s="4"/>
      <c r="AE444" s="4"/>
      <c r="AF444" s="4"/>
      <c r="AG444" s="4"/>
      <c r="AH444" s="4"/>
      <c r="AI444" s="4"/>
      <c r="AJ444" s="246"/>
      <c r="AK444" s="246"/>
      <c r="AL444" s="129"/>
      <c r="AM444" s="129"/>
      <c r="AN444" s="129"/>
      <c r="AO444" s="246"/>
      <c r="AP444" s="246"/>
      <c r="AQ444" s="249"/>
      <c r="AR444" s="4"/>
      <c r="AS444" s="4"/>
      <c r="AT444" s="4"/>
      <c r="AU444" s="4"/>
      <c r="AV444" s="4"/>
      <c r="AW444" s="4"/>
      <c r="AX444" s="4"/>
      <c r="AY444" s="128"/>
      <c r="AZ444" s="4"/>
      <c r="BA444" s="4"/>
      <c r="BB444" s="4"/>
      <c r="BC444" s="4"/>
      <c r="BD444" s="4"/>
      <c r="BE444" s="4"/>
      <c r="BF444" s="4"/>
      <c r="BG444" s="4"/>
      <c r="BH444" s="4"/>
      <c r="BI444" s="567"/>
    </row>
    <row r="445" spans="1:61" ht="12.75" customHeight="1" x14ac:dyDescent="0.25">
      <c r="A445" s="4"/>
      <c r="B445" s="4"/>
      <c r="C445" s="4"/>
      <c r="D445" s="4"/>
      <c r="E445" s="128"/>
      <c r="F445" s="128"/>
      <c r="G445" s="753"/>
      <c r="H445" s="128"/>
      <c r="I445" s="128"/>
      <c r="J445" s="130"/>
      <c r="K445" s="128"/>
      <c r="L445" s="128"/>
      <c r="M445" s="130"/>
      <c r="N445" s="130"/>
      <c r="O445" s="130"/>
      <c r="P445" s="128"/>
      <c r="Q445" s="128"/>
      <c r="R445" s="128"/>
      <c r="S445" s="298"/>
      <c r="T445" s="4"/>
      <c r="U445" s="4"/>
      <c r="V445" s="4"/>
      <c r="W445" s="4"/>
      <c r="X445" s="4"/>
      <c r="Y445" s="128"/>
      <c r="Z445" s="128"/>
      <c r="AA445" s="128"/>
      <c r="AB445" s="4"/>
      <c r="AC445" s="4"/>
      <c r="AD445" s="4"/>
      <c r="AE445" s="4"/>
      <c r="AF445" s="4"/>
      <c r="AG445" s="4"/>
      <c r="AH445" s="4"/>
      <c r="AI445" s="4"/>
      <c r="AJ445" s="246"/>
      <c r="AK445" s="246"/>
      <c r="AL445" s="129"/>
      <c r="AM445" s="129"/>
      <c r="AN445" s="129"/>
      <c r="AO445" s="246"/>
      <c r="AP445" s="246"/>
      <c r="AQ445" s="249"/>
      <c r="AR445" s="4"/>
      <c r="AS445" s="4"/>
      <c r="AT445" s="4"/>
      <c r="AU445" s="4"/>
      <c r="AV445" s="4"/>
      <c r="AW445" s="4"/>
      <c r="AX445" s="4"/>
      <c r="AY445" s="128"/>
      <c r="AZ445" s="4"/>
      <c r="BA445" s="4"/>
      <c r="BB445" s="4"/>
      <c r="BC445" s="4"/>
      <c r="BD445" s="4"/>
      <c r="BE445" s="4"/>
      <c r="BF445" s="4"/>
      <c r="BG445" s="4"/>
      <c r="BH445" s="4"/>
      <c r="BI445" s="567"/>
    </row>
    <row r="446" spans="1:61" ht="12.75" customHeight="1" x14ac:dyDescent="0.25">
      <c r="A446" s="4"/>
      <c r="B446" s="4"/>
      <c r="C446" s="4"/>
      <c r="D446" s="4"/>
      <c r="E446" s="128"/>
      <c r="F446" s="128"/>
      <c r="G446" s="753"/>
      <c r="H446" s="128"/>
      <c r="I446" s="128"/>
      <c r="J446" s="130"/>
      <c r="K446" s="128"/>
      <c r="L446" s="128"/>
      <c r="M446" s="130"/>
      <c r="N446" s="130"/>
      <c r="O446" s="130"/>
      <c r="P446" s="128"/>
      <c r="Q446" s="128"/>
      <c r="R446" s="128"/>
      <c r="S446" s="298"/>
      <c r="T446" s="4"/>
      <c r="U446" s="4"/>
      <c r="V446" s="4"/>
      <c r="W446" s="4"/>
      <c r="X446" s="4"/>
      <c r="Y446" s="128"/>
      <c r="Z446" s="128"/>
      <c r="AA446" s="128"/>
      <c r="AB446" s="4"/>
      <c r="AC446" s="4"/>
      <c r="AD446" s="4"/>
      <c r="AE446" s="4"/>
      <c r="AF446" s="4"/>
      <c r="AG446" s="4"/>
      <c r="AH446" s="4"/>
      <c r="AI446" s="4"/>
      <c r="AJ446" s="246"/>
      <c r="AK446" s="246"/>
      <c r="AL446" s="129"/>
      <c r="AM446" s="129"/>
      <c r="AN446" s="129"/>
      <c r="AO446" s="246"/>
      <c r="AP446" s="246"/>
      <c r="AQ446" s="249"/>
      <c r="AR446" s="4"/>
      <c r="AS446" s="4"/>
      <c r="AT446" s="4"/>
      <c r="AU446" s="4"/>
      <c r="AV446" s="4"/>
      <c r="AW446" s="4"/>
      <c r="AX446" s="4"/>
      <c r="AY446" s="128"/>
      <c r="AZ446" s="4"/>
      <c r="BA446" s="4"/>
      <c r="BB446" s="4"/>
      <c r="BC446" s="4"/>
      <c r="BD446" s="4"/>
      <c r="BE446" s="4"/>
      <c r="BF446" s="4"/>
      <c r="BG446" s="4"/>
      <c r="BH446" s="4"/>
      <c r="BI446" s="567"/>
    </row>
    <row r="447" spans="1:61" ht="12.75" customHeight="1" x14ac:dyDescent="0.25">
      <c r="A447" s="4"/>
      <c r="B447" s="4"/>
      <c r="C447" s="4"/>
      <c r="D447" s="4"/>
      <c r="E447" s="128"/>
      <c r="F447" s="128"/>
      <c r="G447" s="753"/>
      <c r="H447" s="128"/>
      <c r="I447" s="128"/>
      <c r="J447" s="130"/>
      <c r="K447" s="128"/>
      <c r="L447" s="128"/>
      <c r="M447" s="130"/>
      <c r="N447" s="130"/>
      <c r="O447" s="130"/>
      <c r="P447" s="128"/>
      <c r="Q447" s="128"/>
      <c r="R447" s="128"/>
      <c r="S447" s="298"/>
      <c r="T447" s="4"/>
      <c r="U447" s="4"/>
      <c r="V447" s="4"/>
      <c r="W447" s="4"/>
      <c r="X447" s="4"/>
      <c r="Y447" s="128"/>
      <c r="Z447" s="128"/>
      <c r="AA447" s="128"/>
      <c r="AB447" s="4"/>
      <c r="AC447" s="4"/>
      <c r="AD447" s="4"/>
      <c r="AE447" s="4"/>
      <c r="AF447" s="4"/>
      <c r="AG447" s="4"/>
      <c r="AH447" s="4"/>
      <c r="AI447" s="4"/>
      <c r="AJ447" s="246"/>
      <c r="AK447" s="246"/>
      <c r="AL447" s="129"/>
      <c r="AM447" s="129"/>
      <c r="AN447" s="129"/>
      <c r="AO447" s="246"/>
      <c r="AP447" s="246"/>
      <c r="AQ447" s="249"/>
      <c r="AR447" s="4"/>
      <c r="AS447" s="4"/>
      <c r="AT447" s="4"/>
      <c r="AU447" s="4"/>
      <c r="AV447" s="4"/>
      <c r="AW447" s="4"/>
      <c r="AX447" s="4"/>
      <c r="AY447" s="128"/>
      <c r="AZ447" s="4"/>
      <c r="BA447" s="4"/>
      <c r="BB447" s="4"/>
      <c r="BC447" s="4"/>
      <c r="BD447" s="4"/>
      <c r="BE447" s="4"/>
      <c r="BF447" s="4"/>
      <c r="BG447" s="4"/>
      <c r="BH447" s="4"/>
      <c r="BI447" s="567"/>
    </row>
    <row r="448" spans="1:61" ht="12.75" customHeight="1" x14ac:dyDescent="0.25">
      <c r="A448" s="4"/>
      <c r="B448" s="4"/>
      <c r="C448" s="4"/>
      <c r="D448" s="4"/>
      <c r="E448" s="128"/>
      <c r="F448" s="128"/>
      <c r="G448" s="753"/>
      <c r="H448" s="128"/>
      <c r="I448" s="128"/>
      <c r="J448" s="130"/>
      <c r="K448" s="128"/>
      <c r="L448" s="128"/>
      <c r="M448" s="130"/>
      <c r="N448" s="130"/>
      <c r="O448" s="130"/>
      <c r="P448" s="128"/>
      <c r="Q448" s="128"/>
      <c r="R448" s="128"/>
      <c r="S448" s="298"/>
      <c r="T448" s="4"/>
      <c r="U448" s="4"/>
      <c r="V448" s="4"/>
      <c r="W448" s="4"/>
      <c r="X448" s="4"/>
      <c r="Y448" s="128"/>
      <c r="Z448" s="128"/>
      <c r="AA448" s="128"/>
      <c r="AB448" s="4"/>
      <c r="AC448" s="4"/>
      <c r="AD448" s="4"/>
      <c r="AE448" s="4"/>
      <c r="AF448" s="4"/>
      <c r="AG448" s="4"/>
      <c r="AH448" s="4"/>
      <c r="AI448" s="4"/>
      <c r="AJ448" s="246"/>
      <c r="AK448" s="246"/>
      <c r="AL448" s="129"/>
      <c r="AM448" s="129"/>
      <c r="AN448" s="129"/>
      <c r="AO448" s="246"/>
      <c r="AP448" s="246"/>
      <c r="AQ448" s="249"/>
      <c r="AR448" s="4"/>
      <c r="AS448" s="4"/>
      <c r="AT448" s="4"/>
      <c r="AU448" s="4"/>
      <c r="AV448" s="4"/>
      <c r="AW448" s="4"/>
      <c r="AX448" s="4"/>
      <c r="AY448" s="128"/>
      <c r="AZ448" s="4"/>
      <c r="BA448" s="4"/>
      <c r="BB448" s="4"/>
      <c r="BC448" s="4"/>
      <c r="BD448" s="4"/>
      <c r="BE448" s="4"/>
      <c r="BF448" s="4"/>
      <c r="BG448" s="4"/>
      <c r="BH448" s="4"/>
      <c r="BI448" s="567"/>
    </row>
    <row r="449" spans="1:61" ht="12.75" customHeight="1" x14ac:dyDescent="0.25">
      <c r="A449" s="4"/>
      <c r="B449" s="4"/>
      <c r="C449" s="4"/>
      <c r="D449" s="4"/>
      <c r="E449" s="128"/>
      <c r="F449" s="128"/>
      <c r="G449" s="753"/>
      <c r="H449" s="128"/>
      <c r="I449" s="128"/>
      <c r="J449" s="130"/>
      <c r="K449" s="128"/>
      <c r="L449" s="128"/>
      <c r="M449" s="130"/>
      <c r="N449" s="130"/>
      <c r="O449" s="130"/>
      <c r="P449" s="128"/>
      <c r="Q449" s="128"/>
      <c r="R449" s="128"/>
      <c r="S449" s="298"/>
      <c r="T449" s="4"/>
      <c r="U449" s="4"/>
      <c r="V449" s="4"/>
      <c r="W449" s="4"/>
      <c r="X449" s="4"/>
      <c r="Y449" s="128"/>
      <c r="Z449" s="128"/>
      <c r="AA449" s="128"/>
      <c r="AB449" s="4"/>
      <c r="AC449" s="4"/>
      <c r="AD449" s="4"/>
      <c r="AE449" s="4"/>
      <c r="AF449" s="4"/>
      <c r="AG449" s="4"/>
      <c r="AH449" s="4"/>
      <c r="AI449" s="4"/>
      <c r="AJ449" s="246"/>
      <c r="AK449" s="246"/>
      <c r="AL449" s="129"/>
      <c r="AM449" s="129"/>
      <c r="AN449" s="129"/>
      <c r="AO449" s="246"/>
      <c r="AP449" s="246"/>
      <c r="AQ449" s="249"/>
      <c r="AR449" s="4"/>
      <c r="AS449" s="4"/>
      <c r="AT449" s="4"/>
      <c r="AU449" s="4"/>
      <c r="AV449" s="4"/>
      <c r="AW449" s="4"/>
      <c r="AX449" s="4"/>
      <c r="AY449" s="128"/>
      <c r="AZ449" s="4"/>
      <c r="BA449" s="4"/>
      <c r="BB449" s="4"/>
      <c r="BC449" s="4"/>
      <c r="BD449" s="4"/>
      <c r="BE449" s="4"/>
      <c r="BF449" s="4"/>
      <c r="BG449" s="4"/>
      <c r="BH449" s="4"/>
      <c r="BI449" s="567"/>
    </row>
    <row r="450" spans="1:61" ht="12.75" customHeight="1" x14ac:dyDescent="0.25">
      <c r="A450" s="4"/>
      <c r="B450" s="4"/>
      <c r="C450" s="4"/>
      <c r="D450" s="4"/>
      <c r="E450" s="128"/>
      <c r="F450" s="128"/>
      <c r="G450" s="753"/>
      <c r="H450" s="128"/>
      <c r="I450" s="128"/>
      <c r="J450" s="130"/>
      <c r="K450" s="128"/>
      <c r="L450" s="128"/>
      <c r="M450" s="130"/>
      <c r="N450" s="130"/>
      <c r="O450" s="130"/>
      <c r="P450" s="128"/>
      <c r="Q450" s="128"/>
      <c r="R450" s="128"/>
      <c r="S450" s="298"/>
      <c r="T450" s="4"/>
      <c r="U450" s="4"/>
      <c r="V450" s="4"/>
      <c r="W450" s="4"/>
      <c r="X450" s="4"/>
      <c r="Y450" s="128"/>
      <c r="Z450" s="128"/>
      <c r="AA450" s="128"/>
      <c r="AB450" s="4"/>
      <c r="AC450" s="4"/>
      <c r="AD450" s="4"/>
      <c r="AE450" s="4"/>
      <c r="AF450" s="4"/>
      <c r="AG450" s="4"/>
      <c r="AH450" s="4"/>
      <c r="AI450" s="4"/>
      <c r="AJ450" s="246"/>
      <c r="AK450" s="246"/>
      <c r="AL450" s="129"/>
      <c r="AM450" s="129"/>
      <c r="AN450" s="129"/>
      <c r="AO450" s="246"/>
      <c r="AP450" s="246"/>
      <c r="AQ450" s="249"/>
      <c r="AR450" s="4"/>
      <c r="AS450" s="4"/>
      <c r="AT450" s="4"/>
      <c r="AU450" s="4"/>
      <c r="AV450" s="4"/>
      <c r="AW450" s="4"/>
      <c r="AX450" s="4"/>
      <c r="AY450" s="128"/>
      <c r="AZ450" s="4"/>
      <c r="BA450" s="4"/>
      <c r="BB450" s="4"/>
      <c r="BC450" s="4"/>
      <c r="BD450" s="4"/>
      <c r="BE450" s="4"/>
      <c r="BF450" s="4"/>
      <c r="BG450" s="4"/>
      <c r="BH450" s="4"/>
      <c r="BI450" s="567"/>
    </row>
    <row r="451" spans="1:61" ht="12.75" customHeight="1" x14ac:dyDescent="0.25">
      <c r="A451" s="4"/>
      <c r="B451" s="4"/>
      <c r="C451" s="4"/>
      <c r="D451" s="4"/>
      <c r="E451" s="128"/>
      <c r="F451" s="128"/>
      <c r="G451" s="753"/>
      <c r="H451" s="128"/>
      <c r="I451" s="128"/>
      <c r="J451" s="130"/>
      <c r="K451" s="128"/>
      <c r="L451" s="128"/>
      <c r="M451" s="130"/>
      <c r="N451" s="130"/>
      <c r="O451" s="130"/>
      <c r="P451" s="128"/>
      <c r="Q451" s="128"/>
      <c r="R451" s="128"/>
      <c r="S451" s="298"/>
      <c r="T451" s="4"/>
      <c r="U451" s="4"/>
      <c r="V451" s="4"/>
      <c r="W451" s="4"/>
      <c r="X451" s="4"/>
      <c r="Y451" s="128"/>
      <c r="Z451" s="128"/>
      <c r="AA451" s="128"/>
      <c r="AB451" s="4"/>
      <c r="AC451" s="4"/>
      <c r="AD451" s="4"/>
      <c r="AE451" s="4"/>
      <c r="AF451" s="4"/>
      <c r="AG451" s="4"/>
      <c r="AH451" s="4"/>
      <c r="AI451" s="4"/>
      <c r="AJ451" s="246"/>
      <c r="AK451" s="246"/>
      <c r="AL451" s="129"/>
      <c r="AM451" s="129"/>
      <c r="AN451" s="129"/>
      <c r="AO451" s="246"/>
      <c r="AP451" s="246"/>
      <c r="AQ451" s="249"/>
      <c r="AR451" s="4"/>
      <c r="AS451" s="4"/>
      <c r="AT451" s="4"/>
      <c r="AU451" s="4"/>
      <c r="AV451" s="4"/>
      <c r="AW451" s="4"/>
      <c r="AX451" s="4"/>
      <c r="AY451" s="128"/>
      <c r="AZ451" s="4"/>
      <c r="BA451" s="4"/>
      <c r="BB451" s="4"/>
      <c r="BC451" s="4"/>
      <c r="BD451" s="4"/>
      <c r="BE451" s="4"/>
      <c r="BF451" s="4"/>
      <c r="BG451" s="4"/>
      <c r="BH451" s="4"/>
      <c r="BI451" s="567"/>
    </row>
    <row r="452" spans="1:61" ht="12.75" customHeight="1" x14ac:dyDescent="0.25">
      <c r="A452" s="4"/>
      <c r="B452" s="4"/>
      <c r="C452" s="4"/>
      <c r="D452" s="4"/>
      <c r="E452" s="128"/>
      <c r="F452" s="128"/>
      <c r="G452" s="753"/>
      <c r="H452" s="128"/>
      <c r="I452" s="128"/>
      <c r="J452" s="130"/>
      <c r="K452" s="128"/>
      <c r="L452" s="128"/>
      <c r="M452" s="130"/>
      <c r="N452" s="130"/>
      <c r="O452" s="130"/>
      <c r="P452" s="128"/>
      <c r="Q452" s="128"/>
      <c r="R452" s="128"/>
      <c r="S452" s="298"/>
      <c r="T452" s="4"/>
      <c r="U452" s="4"/>
      <c r="V452" s="4"/>
      <c r="W452" s="4"/>
      <c r="X452" s="4"/>
      <c r="Y452" s="128"/>
      <c r="Z452" s="128"/>
      <c r="AA452" s="128"/>
      <c r="AB452" s="4"/>
      <c r="AC452" s="4"/>
      <c r="AD452" s="4"/>
      <c r="AE452" s="4"/>
      <c r="AF452" s="4"/>
      <c r="AG452" s="4"/>
      <c r="AH452" s="4"/>
      <c r="AI452" s="4"/>
      <c r="AJ452" s="246"/>
      <c r="AK452" s="246"/>
      <c r="AL452" s="129"/>
      <c r="AM452" s="129"/>
      <c r="AN452" s="129"/>
      <c r="AO452" s="246"/>
      <c r="AP452" s="246"/>
      <c r="AQ452" s="249"/>
      <c r="AR452" s="4"/>
      <c r="AS452" s="4"/>
      <c r="AT452" s="4"/>
      <c r="AU452" s="4"/>
      <c r="AV452" s="4"/>
      <c r="AW452" s="4"/>
      <c r="AX452" s="4"/>
      <c r="AY452" s="128"/>
      <c r="AZ452" s="4"/>
      <c r="BA452" s="4"/>
      <c r="BB452" s="4"/>
      <c r="BC452" s="4"/>
      <c r="BD452" s="4"/>
      <c r="BE452" s="4"/>
      <c r="BF452" s="4"/>
      <c r="BG452" s="4"/>
      <c r="BH452" s="4"/>
      <c r="BI452" s="567"/>
    </row>
    <row r="453" spans="1:61" ht="12.75" customHeight="1" x14ac:dyDescent="0.25">
      <c r="A453" s="4"/>
      <c r="B453" s="4"/>
      <c r="C453" s="4"/>
      <c r="D453" s="4"/>
      <c r="E453" s="128"/>
      <c r="F453" s="128"/>
      <c r="G453" s="753"/>
      <c r="H453" s="128"/>
      <c r="I453" s="128"/>
      <c r="J453" s="130"/>
      <c r="K453" s="128"/>
      <c r="L453" s="128"/>
      <c r="M453" s="130"/>
      <c r="N453" s="130"/>
      <c r="O453" s="130"/>
      <c r="P453" s="128"/>
      <c r="Q453" s="128"/>
      <c r="R453" s="128"/>
      <c r="S453" s="298"/>
      <c r="T453" s="4"/>
      <c r="U453" s="4"/>
      <c r="V453" s="4"/>
      <c r="W453" s="4"/>
      <c r="X453" s="4"/>
      <c r="Y453" s="128"/>
      <c r="Z453" s="128"/>
      <c r="AA453" s="128"/>
      <c r="AB453" s="4"/>
      <c r="AC453" s="4"/>
      <c r="AD453" s="4"/>
      <c r="AE453" s="4"/>
      <c r="AF453" s="4"/>
      <c r="AG453" s="4"/>
      <c r="AH453" s="4"/>
      <c r="AI453" s="4"/>
      <c r="AJ453" s="246"/>
      <c r="AK453" s="246"/>
      <c r="AL453" s="129"/>
      <c r="AM453" s="129"/>
      <c r="AN453" s="129"/>
      <c r="AO453" s="246"/>
      <c r="AP453" s="246"/>
      <c r="AQ453" s="249"/>
      <c r="AR453" s="4"/>
      <c r="AS453" s="4"/>
      <c r="AT453" s="4"/>
      <c r="AU453" s="4"/>
      <c r="AV453" s="4"/>
      <c r="AW453" s="4"/>
      <c r="AX453" s="4"/>
      <c r="AY453" s="128"/>
      <c r="AZ453" s="4"/>
      <c r="BA453" s="4"/>
      <c r="BB453" s="4"/>
      <c r="BC453" s="4"/>
      <c r="BD453" s="4"/>
      <c r="BE453" s="4"/>
      <c r="BF453" s="4"/>
      <c r="BG453" s="4"/>
      <c r="BH453" s="4"/>
      <c r="BI453" s="567"/>
    </row>
    <row r="454" spans="1:61" ht="12.75" customHeight="1" x14ac:dyDescent="0.25">
      <c r="A454" s="4"/>
      <c r="B454" s="4"/>
      <c r="C454" s="4"/>
      <c r="D454" s="4"/>
      <c r="E454" s="128"/>
      <c r="F454" s="128"/>
      <c r="G454" s="753"/>
      <c r="H454" s="128"/>
      <c r="I454" s="128"/>
      <c r="J454" s="130"/>
      <c r="K454" s="128"/>
      <c r="L454" s="128"/>
      <c r="M454" s="130"/>
      <c r="N454" s="130"/>
      <c r="O454" s="130"/>
      <c r="P454" s="128"/>
      <c r="Q454" s="128"/>
      <c r="R454" s="128"/>
      <c r="S454" s="298"/>
      <c r="T454" s="4"/>
      <c r="U454" s="4"/>
      <c r="V454" s="4"/>
      <c r="W454" s="4"/>
      <c r="X454" s="4"/>
      <c r="Y454" s="128"/>
      <c r="Z454" s="128"/>
      <c r="AA454" s="128"/>
      <c r="AB454" s="4"/>
      <c r="AC454" s="4"/>
      <c r="AD454" s="4"/>
      <c r="AE454" s="4"/>
      <c r="AF454" s="4"/>
      <c r="AG454" s="4"/>
      <c r="AH454" s="4"/>
      <c r="AI454" s="4"/>
      <c r="AJ454" s="246"/>
      <c r="AK454" s="246"/>
      <c r="AL454" s="129"/>
      <c r="AM454" s="129"/>
      <c r="AN454" s="129"/>
      <c r="AO454" s="246"/>
      <c r="AP454" s="246"/>
      <c r="AQ454" s="249"/>
      <c r="AR454" s="4"/>
      <c r="AS454" s="4"/>
      <c r="AT454" s="4"/>
      <c r="AU454" s="4"/>
      <c r="AV454" s="4"/>
      <c r="AW454" s="4"/>
      <c r="AX454" s="4"/>
      <c r="AY454" s="128"/>
      <c r="AZ454" s="4"/>
      <c r="BA454" s="4"/>
      <c r="BB454" s="4"/>
      <c r="BC454" s="4"/>
      <c r="BD454" s="4"/>
      <c r="BE454" s="4"/>
      <c r="BF454" s="4"/>
      <c r="BG454" s="4"/>
      <c r="BH454" s="4"/>
      <c r="BI454" s="567"/>
    </row>
    <row r="455" spans="1:61" ht="12.75" customHeight="1" x14ac:dyDescent="0.25">
      <c r="A455" s="4"/>
      <c r="B455" s="4"/>
      <c r="C455" s="4"/>
      <c r="D455" s="4"/>
      <c r="E455" s="128"/>
      <c r="F455" s="128"/>
      <c r="G455" s="753"/>
      <c r="H455" s="128"/>
      <c r="I455" s="128"/>
      <c r="J455" s="130"/>
      <c r="K455" s="128"/>
      <c r="L455" s="128"/>
      <c r="M455" s="130"/>
      <c r="N455" s="130"/>
      <c r="O455" s="130"/>
      <c r="P455" s="128"/>
      <c r="Q455" s="128"/>
      <c r="R455" s="128"/>
      <c r="S455" s="298"/>
      <c r="T455" s="4"/>
      <c r="U455" s="4"/>
      <c r="V455" s="4"/>
      <c r="W455" s="4"/>
      <c r="X455" s="4"/>
      <c r="Y455" s="128"/>
      <c r="Z455" s="128"/>
      <c r="AA455" s="128"/>
      <c r="AB455" s="4"/>
      <c r="AC455" s="4"/>
      <c r="AD455" s="4"/>
      <c r="AE455" s="4"/>
      <c r="AF455" s="4"/>
      <c r="AG455" s="4"/>
      <c r="AH455" s="4"/>
      <c r="AI455" s="4"/>
      <c r="AJ455" s="246"/>
      <c r="AK455" s="246"/>
      <c r="AL455" s="129"/>
      <c r="AM455" s="129"/>
      <c r="AN455" s="129"/>
      <c r="AO455" s="246"/>
      <c r="AP455" s="246"/>
      <c r="AQ455" s="249"/>
      <c r="AR455" s="4"/>
      <c r="AS455" s="4"/>
      <c r="AT455" s="4"/>
      <c r="AU455" s="4"/>
      <c r="AV455" s="4"/>
      <c r="AW455" s="4"/>
      <c r="AX455" s="4"/>
      <c r="AY455" s="128"/>
      <c r="AZ455" s="4"/>
      <c r="BA455" s="4"/>
      <c r="BB455" s="4"/>
      <c r="BC455" s="4"/>
      <c r="BD455" s="4"/>
      <c r="BE455" s="4"/>
      <c r="BF455" s="4"/>
      <c r="BG455" s="4"/>
      <c r="BH455" s="4"/>
      <c r="BI455" s="567"/>
    </row>
    <row r="456" spans="1:61" ht="12.75" customHeight="1" x14ac:dyDescent="0.25">
      <c r="A456" s="4"/>
      <c r="B456" s="4"/>
      <c r="C456" s="4"/>
      <c r="D456" s="4"/>
      <c r="E456" s="128"/>
      <c r="F456" s="128"/>
      <c r="G456" s="753"/>
      <c r="H456" s="128"/>
      <c r="I456" s="128"/>
      <c r="J456" s="130"/>
      <c r="K456" s="128"/>
      <c r="L456" s="128"/>
      <c r="M456" s="130"/>
      <c r="N456" s="130"/>
      <c r="O456" s="130"/>
      <c r="P456" s="128"/>
      <c r="Q456" s="128"/>
      <c r="R456" s="128"/>
      <c r="S456" s="298"/>
      <c r="T456" s="4"/>
      <c r="U456" s="4"/>
      <c r="V456" s="4"/>
      <c r="W456" s="4"/>
      <c r="X456" s="4"/>
      <c r="Y456" s="128"/>
      <c r="Z456" s="128"/>
      <c r="AA456" s="128"/>
      <c r="AB456" s="4"/>
      <c r="AC456" s="4"/>
      <c r="AD456" s="4"/>
      <c r="AE456" s="4"/>
      <c r="AF456" s="4"/>
      <c r="AG456" s="4"/>
      <c r="AH456" s="4"/>
      <c r="AI456" s="4"/>
      <c r="AJ456" s="246"/>
      <c r="AK456" s="246"/>
      <c r="AL456" s="129"/>
      <c r="AM456" s="129"/>
      <c r="AN456" s="129"/>
      <c r="AO456" s="246"/>
      <c r="AP456" s="246"/>
      <c r="AQ456" s="249"/>
      <c r="AR456" s="4"/>
      <c r="AS456" s="4"/>
      <c r="AT456" s="4"/>
      <c r="AU456" s="4"/>
      <c r="AV456" s="4"/>
      <c r="AW456" s="4"/>
      <c r="AX456" s="4"/>
      <c r="AY456" s="128"/>
      <c r="AZ456" s="4"/>
      <c r="BA456" s="4"/>
      <c r="BB456" s="4"/>
      <c r="BC456" s="4"/>
      <c r="BD456" s="4"/>
      <c r="BE456" s="4"/>
      <c r="BF456" s="4"/>
      <c r="BG456" s="4"/>
      <c r="BH456" s="4"/>
      <c r="BI456" s="567"/>
    </row>
    <row r="457" spans="1:61" ht="12.75" customHeight="1" x14ac:dyDescent="0.25">
      <c r="A457" s="4"/>
      <c r="B457" s="4"/>
      <c r="C457" s="4"/>
      <c r="D457" s="4"/>
      <c r="E457" s="128"/>
      <c r="F457" s="128"/>
      <c r="G457" s="753"/>
      <c r="H457" s="128"/>
      <c r="I457" s="128"/>
      <c r="J457" s="130"/>
      <c r="K457" s="128"/>
      <c r="L457" s="128"/>
      <c r="M457" s="130"/>
      <c r="N457" s="130"/>
      <c r="O457" s="130"/>
      <c r="P457" s="128"/>
      <c r="Q457" s="128"/>
      <c r="R457" s="128"/>
      <c r="S457" s="298"/>
      <c r="T457" s="4"/>
      <c r="U457" s="4"/>
      <c r="V457" s="4"/>
      <c r="W457" s="4"/>
      <c r="X457" s="4"/>
      <c r="Y457" s="128"/>
      <c r="Z457" s="128"/>
      <c r="AA457" s="128"/>
      <c r="AB457" s="4"/>
      <c r="AC457" s="4"/>
      <c r="AD457" s="4"/>
      <c r="AE457" s="4"/>
      <c r="AF457" s="4"/>
      <c r="AG457" s="4"/>
      <c r="AH457" s="4"/>
      <c r="AI457" s="4"/>
      <c r="AJ457" s="246"/>
      <c r="AK457" s="246"/>
      <c r="AL457" s="129"/>
      <c r="AM457" s="129"/>
      <c r="AN457" s="129"/>
      <c r="AO457" s="246"/>
      <c r="AP457" s="246"/>
      <c r="AQ457" s="249"/>
      <c r="AR457" s="4"/>
      <c r="AS457" s="4"/>
      <c r="AT457" s="4"/>
      <c r="AU457" s="4"/>
      <c r="AV457" s="4"/>
      <c r="AW457" s="4"/>
      <c r="AX457" s="4"/>
      <c r="AY457" s="128"/>
      <c r="AZ457" s="4"/>
      <c r="BA457" s="4"/>
      <c r="BB457" s="4"/>
      <c r="BC457" s="4"/>
      <c r="BD457" s="4"/>
      <c r="BE457" s="4"/>
      <c r="BF457" s="4"/>
      <c r="BG457" s="4"/>
      <c r="BH457" s="4"/>
      <c r="BI457" s="567"/>
    </row>
    <row r="458" spans="1:61" ht="12.75" customHeight="1" x14ac:dyDescent="0.25">
      <c r="A458" s="4"/>
      <c r="B458" s="4"/>
      <c r="C458" s="4"/>
      <c r="D458" s="4"/>
      <c r="E458" s="128"/>
      <c r="F458" s="128"/>
      <c r="G458" s="753"/>
      <c r="H458" s="128"/>
      <c r="I458" s="128"/>
      <c r="J458" s="130"/>
      <c r="K458" s="128"/>
      <c r="L458" s="128"/>
      <c r="M458" s="130"/>
      <c r="N458" s="130"/>
      <c r="O458" s="130"/>
      <c r="P458" s="128"/>
      <c r="Q458" s="128"/>
      <c r="R458" s="128"/>
      <c r="S458" s="298"/>
      <c r="T458" s="4"/>
      <c r="U458" s="4"/>
      <c r="V458" s="4"/>
      <c r="W458" s="4"/>
      <c r="X458" s="4"/>
      <c r="Y458" s="128"/>
      <c r="Z458" s="128"/>
      <c r="AA458" s="128"/>
      <c r="AB458" s="4"/>
      <c r="AC458" s="4"/>
      <c r="AD458" s="4"/>
      <c r="AE458" s="4"/>
      <c r="AF458" s="4"/>
      <c r="AG458" s="4"/>
      <c r="AH458" s="4"/>
      <c r="AI458" s="4"/>
      <c r="AJ458" s="246"/>
      <c r="AK458" s="246"/>
      <c r="AL458" s="129"/>
      <c r="AM458" s="129"/>
      <c r="AN458" s="129"/>
      <c r="AO458" s="246"/>
      <c r="AP458" s="246"/>
      <c r="AQ458" s="249"/>
      <c r="AR458" s="4"/>
      <c r="AS458" s="4"/>
      <c r="AT458" s="4"/>
      <c r="AU458" s="4"/>
      <c r="AV458" s="4"/>
      <c r="AW458" s="4"/>
      <c r="AX458" s="4"/>
      <c r="AY458" s="128"/>
      <c r="AZ458" s="4"/>
      <c r="BA458" s="4"/>
      <c r="BB458" s="4"/>
      <c r="BC458" s="4"/>
      <c r="BD458" s="4"/>
      <c r="BE458" s="4"/>
      <c r="BF458" s="4"/>
      <c r="BG458" s="4"/>
      <c r="BH458" s="4"/>
      <c r="BI458" s="567"/>
    </row>
    <row r="459" spans="1:61" ht="12.75" customHeight="1" x14ac:dyDescent="0.25">
      <c r="A459" s="4"/>
      <c r="B459" s="4"/>
      <c r="C459" s="4"/>
      <c r="D459" s="4"/>
      <c r="E459" s="128"/>
      <c r="F459" s="128"/>
      <c r="G459" s="753"/>
      <c r="H459" s="128"/>
      <c r="I459" s="128"/>
      <c r="J459" s="130"/>
      <c r="K459" s="128"/>
      <c r="L459" s="128"/>
      <c r="M459" s="130"/>
      <c r="N459" s="130"/>
      <c r="O459" s="130"/>
      <c r="P459" s="128"/>
      <c r="Q459" s="128"/>
      <c r="R459" s="128"/>
      <c r="S459" s="298"/>
      <c r="T459" s="4"/>
      <c r="U459" s="4"/>
      <c r="V459" s="4"/>
      <c r="W459" s="4"/>
      <c r="X459" s="4"/>
      <c r="Y459" s="128"/>
      <c r="Z459" s="128"/>
      <c r="AA459" s="128"/>
      <c r="AB459" s="4"/>
      <c r="AC459" s="4"/>
      <c r="AD459" s="4"/>
      <c r="AE459" s="4"/>
      <c r="AF459" s="4"/>
      <c r="AG459" s="4"/>
      <c r="AH459" s="4"/>
      <c r="AI459" s="4"/>
      <c r="AJ459" s="246"/>
      <c r="AK459" s="246"/>
      <c r="AL459" s="129"/>
      <c r="AM459" s="129"/>
      <c r="AN459" s="129"/>
      <c r="AO459" s="246"/>
      <c r="AP459" s="246"/>
      <c r="AQ459" s="249"/>
      <c r="AR459" s="4"/>
      <c r="AS459" s="4"/>
      <c r="AT459" s="4"/>
      <c r="AU459" s="4"/>
      <c r="AV459" s="4"/>
      <c r="AW459" s="4"/>
      <c r="AX459" s="4"/>
      <c r="AY459" s="128"/>
      <c r="AZ459" s="4"/>
      <c r="BA459" s="4"/>
      <c r="BB459" s="4"/>
      <c r="BC459" s="4"/>
      <c r="BD459" s="4"/>
      <c r="BE459" s="4"/>
      <c r="BF459" s="4"/>
      <c r="BG459" s="4"/>
      <c r="BH459" s="4"/>
      <c r="BI459" s="567"/>
    </row>
    <row r="460" spans="1:61" ht="12.75" customHeight="1" x14ac:dyDescent="0.25">
      <c r="A460" s="4"/>
      <c r="B460" s="4"/>
      <c r="C460" s="4"/>
      <c r="D460" s="4"/>
      <c r="E460" s="128"/>
      <c r="F460" s="128"/>
      <c r="G460" s="753"/>
      <c r="H460" s="128"/>
      <c r="I460" s="128"/>
      <c r="J460" s="130"/>
      <c r="K460" s="128"/>
      <c r="L460" s="128"/>
      <c r="M460" s="130"/>
      <c r="N460" s="130"/>
      <c r="O460" s="130"/>
      <c r="P460" s="128"/>
      <c r="Q460" s="128"/>
      <c r="R460" s="128"/>
      <c r="S460" s="298"/>
      <c r="T460" s="4"/>
      <c r="U460" s="4"/>
      <c r="V460" s="4"/>
      <c r="W460" s="4"/>
      <c r="X460" s="4"/>
      <c r="Y460" s="128"/>
      <c r="Z460" s="128"/>
      <c r="AA460" s="128"/>
      <c r="AB460" s="4"/>
      <c r="AC460" s="4"/>
      <c r="AD460" s="4"/>
      <c r="AE460" s="4"/>
      <c r="AF460" s="4"/>
      <c r="AG460" s="4"/>
      <c r="AH460" s="4"/>
      <c r="AI460" s="4"/>
      <c r="AJ460" s="246"/>
      <c r="AK460" s="246"/>
      <c r="AL460" s="129"/>
      <c r="AM460" s="129"/>
      <c r="AN460" s="129"/>
      <c r="AO460" s="246"/>
      <c r="AP460" s="246"/>
      <c r="AQ460" s="249"/>
      <c r="AR460" s="4"/>
      <c r="AS460" s="4"/>
      <c r="AT460" s="4"/>
      <c r="AU460" s="4"/>
      <c r="AV460" s="4"/>
      <c r="AW460" s="4"/>
      <c r="AX460" s="4"/>
      <c r="AY460" s="128"/>
      <c r="AZ460" s="4"/>
      <c r="BA460" s="4"/>
      <c r="BB460" s="4"/>
      <c r="BC460" s="4"/>
      <c r="BD460" s="4"/>
      <c r="BE460" s="4"/>
      <c r="BF460" s="4"/>
      <c r="BG460" s="4"/>
      <c r="BH460" s="4"/>
      <c r="BI460" s="567"/>
    </row>
    <row r="461" spans="1:61" ht="12.75" customHeight="1" x14ac:dyDescent="0.25">
      <c r="A461" s="4"/>
      <c r="B461" s="4"/>
      <c r="C461" s="4"/>
      <c r="D461" s="4"/>
      <c r="E461" s="128"/>
      <c r="F461" s="128"/>
      <c r="G461" s="753"/>
      <c r="H461" s="128"/>
      <c r="I461" s="128"/>
      <c r="J461" s="130"/>
      <c r="K461" s="128"/>
      <c r="L461" s="128"/>
      <c r="M461" s="130"/>
      <c r="N461" s="130"/>
      <c r="O461" s="130"/>
      <c r="P461" s="128"/>
      <c r="Q461" s="128"/>
      <c r="R461" s="128"/>
      <c r="S461" s="298"/>
      <c r="T461" s="4"/>
      <c r="U461" s="4"/>
      <c r="V461" s="4"/>
      <c r="W461" s="4"/>
      <c r="X461" s="4"/>
      <c r="Y461" s="128"/>
      <c r="Z461" s="128"/>
      <c r="AA461" s="128"/>
      <c r="AB461" s="4"/>
      <c r="AC461" s="4"/>
      <c r="AD461" s="4"/>
      <c r="AE461" s="4"/>
      <c r="AF461" s="4"/>
      <c r="AG461" s="4"/>
      <c r="AH461" s="4"/>
      <c r="AI461" s="4"/>
      <c r="AJ461" s="246"/>
      <c r="AK461" s="246"/>
      <c r="AL461" s="129"/>
      <c r="AM461" s="129"/>
      <c r="AN461" s="129"/>
      <c r="AO461" s="246"/>
      <c r="AP461" s="246"/>
      <c r="AQ461" s="249"/>
      <c r="AR461" s="4"/>
      <c r="AS461" s="4"/>
      <c r="AT461" s="4"/>
      <c r="AU461" s="4"/>
      <c r="AV461" s="4"/>
      <c r="AW461" s="4"/>
      <c r="AX461" s="4"/>
      <c r="AY461" s="128"/>
      <c r="AZ461" s="4"/>
      <c r="BA461" s="4"/>
      <c r="BB461" s="4"/>
      <c r="BC461" s="4"/>
      <c r="BD461" s="4"/>
      <c r="BE461" s="4"/>
      <c r="BF461" s="4"/>
      <c r="BG461" s="4"/>
      <c r="BH461" s="4"/>
      <c r="BI461" s="567"/>
    </row>
    <row r="462" spans="1:61" ht="12.75" customHeight="1" x14ac:dyDescent="0.25">
      <c r="A462" s="4"/>
      <c r="B462" s="4"/>
      <c r="C462" s="4"/>
      <c r="D462" s="4"/>
      <c r="E462" s="128"/>
      <c r="F462" s="128"/>
      <c r="G462" s="753"/>
      <c r="H462" s="128"/>
      <c r="I462" s="128"/>
      <c r="J462" s="130"/>
      <c r="K462" s="128"/>
      <c r="L462" s="128"/>
      <c r="M462" s="130"/>
      <c r="N462" s="130"/>
      <c r="O462" s="130"/>
      <c r="P462" s="128"/>
      <c r="Q462" s="128"/>
      <c r="R462" s="128"/>
      <c r="S462" s="298"/>
      <c r="T462" s="4"/>
      <c r="U462" s="4"/>
      <c r="V462" s="4"/>
      <c r="W462" s="4"/>
      <c r="X462" s="4"/>
      <c r="Y462" s="128"/>
      <c r="Z462" s="128"/>
      <c r="AA462" s="128"/>
      <c r="AB462" s="4"/>
      <c r="AC462" s="4"/>
      <c r="AD462" s="4"/>
      <c r="AE462" s="4"/>
      <c r="AF462" s="4"/>
      <c r="AG462" s="4"/>
      <c r="AH462" s="4"/>
      <c r="AI462" s="4"/>
      <c r="AJ462" s="246"/>
      <c r="AK462" s="246"/>
      <c r="AL462" s="129"/>
      <c r="AM462" s="129"/>
      <c r="AN462" s="129"/>
      <c r="AO462" s="246"/>
      <c r="AP462" s="246"/>
      <c r="AQ462" s="249"/>
      <c r="AR462" s="4"/>
      <c r="AS462" s="4"/>
      <c r="AT462" s="4"/>
      <c r="AU462" s="4"/>
      <c r="AV462" s="4"/>
      <c r="AW462" s="4"/>
      <c r="AX462" s="4"/>
      <c r="AY462" s="128"/>
      <c r="AZ462" s="4"/>
      <c r="BA462" s="4"/>
      <c r="BB462" s="4"/>
      <c r="BC462" s="4"/>
      <c r="BD462" s="4"/>
      <c r="BE462" s="4"/>
      <c r="BF462" s="4"/>
      <c r="BG462" s="4"/>
      <c r="BH462" s="4"/>
      <c r="BI462" s="567"/>
    </row>
    <row r="463" spans="1:61" ht="12.75" customHeight="1" x14ac:dyDescent="0.25">
      <c r="A463" s="4"/>
      <c r="B463" s="4"/>
      <c r="C463" s="4"/>
      <c r="D463" s="4"/>
      <c r="E463" s="128"/>
      <c r="F463" s="128"/>
      <c r="G463" s="753"/>
      <c r="H463" s="128"/>
      <c r="I463" s="128"/>
      <c r="J463" s="130"/>
      <c r="K463" s="128"/>
      <c r="L463" s="128"/>
      <c r="M463" s="130"/>
      <c r="N463" s="130"/>
      <c r="O463" s="130"/>
      <c r="P463" s="128"/>
      <c r="Q463" s="128"/>
      <c r="R463" s="128"/>
      <c r="S463" s="298"/>
      <c r="T463" s="4"/>
      <c r="U463" s="4"/>
      <c r="V463" s="4"/>
      <c r="W463" s="4"/>
      <c r="X463" s="4"/>
      <c r="Y463" s="128"/>
      <c r="Z463" s="128"/>
      <c r="AA463" s="128"/>
      <c r="AB463" s="4"/>
      <c r="AC463" s="4"/>
      <c r="AD463" s="4"/>
      <c r="AE463" s="4"/>
      <c r="AF463" s="4"/>
      <c r="AG463" s="4"/>
      <c r="AH463" s="4"/>
      <c r="AI463" s="4"/>
      <c r="AJ463" s="246"/>
      <c r="AK463" s="246"/>
      <c r="AL463" s="129"/>
      <c r="AM463" s="129"/>
      <c r="AN463" s="129"/>
      <c r="AO463" s="246"/>
      <c r="AP463" s="246"/>
      <c r="AQ463" s="249"/>
      <c r="AR463" s="4"/>
      <c r="AS463" s="4"/>
      <c r="AT463" s="4"/>
      <c r="AU463" s="4"/>
      <c r="AV463" s="4"/>
      <c r="AW463" s="4"/>
      <c r="AX463" s="4"/>
      <c r="AY463" s="128"/>
      <c r="AZ463" s="4"/>
      <c r="BA463" s="4"/>
      <c r="BB463" s="4"/>
      <c r="BC463" s="4"/>
      <c r="BD463" s="4"/>
      <c r="BE463" s="4"/>
      <c r="BF463" s="4"/>
      <c r="BG463" s="4"/>
      <c r="BH463" s="4"/>
      <c r="BI463" s="567"/>
    </row>
    <row r="464" spans="1:61" ht="12.75" customHeight="1" x14ac:dyDescent="0.25">
      <c r="A464" s="4"/>
      <c r="B464" s="4"/>
      <c r="C464" s="4"/>
      <c r="D464" s="4"/>
      <c r="E464" s="128"/>
      <c r="F464" s="128"/>
      <c r="G464" s="753"/>
      <c r="H464" s="128"/>
      <c r="I464" s="128"/>
      <c r="J464" s="130"/>
      <c r="K464" s="128"/>
      <c r="L464" s="128"/>
      <c r="M464" s="130"/>
      <c r="N464" s="130"/>
      <c r="O464" s="130"/>
      <c r="P464" s="128"/>
      <c r="Q464" s="128"/>
      <c r="R464" s="128"/>
      <c r="S464" s="298"/>
      <c r="T464" s="4"/>
      <c r="U464" s="4"/>
      <c r="V464" s="4"/>
      <c r="W464" s="4"/>
      <c r="X464" s="4"/>
      <c r="Y464" s="128"/>
      <c r="Z464" s="128"/>
      <c r="AA464" s="128"/>
      <c r="AB464" s="4"/>
      <c r="AC464" s="4"/>
      <c r="AD464" s="4"/>
      <c r="AE464" s="4"/>
      <c r="AF464" s="4"/>
      <c r="AG464" s="4"/>
      <c r="AH464" s="4"/>
      <c r="AI464" s="4"/>
      <c r="AJ464" s="246"/>
      <c r="AK464" s="246"/>
      <c r="AL464" s="129"/>
      <c r="AM464" s="129"/>
      <c r="AN464" s="129"/>
      <c r="AO464" s="246"/>
      <c r="AP464" s="246"/>
      <c r="AQ464" s="249"/>
      <c r="AR464" s="4"/>
      <c r="AS464" s="4"/>
      <c r="AT464" s="4"/>
      <c r="AU464" s="4"/>
      <c r="AV464" s="4"/>
      <c r="AW464" s="4"/>
      <c r="AX464" s="4"/>
      <c r="AY464" s="128"/>
      <c r="AZ464" s="4"/>
      <c r="BA464" s="4"/>
      <c r="BB464" s="4"/>
      <c r="BC464" s="4"/>
      <c r="BD464" s="4"/>
      <c r="BE464" s="4"/>
      <c r="BF464" s="4"/>
      <c r="BG464" s="4"/>
      <c r="BH464" s="4"/>
      <c r="BI464" s="567"/>
    </row>
    <row r="465" spans="1:61" ht="12.75" customHeight="1" x14ac:dyDescent="0.25">
      <c r="A465" s="4"/>
      <c r="B465" s="4"/>
      <c r="C465" s="4"/>
      <c r="D465" s="4"/>
      <c r="E465" s="128"/>
      <c r="F465" s="128"/>
      <c r="G465" s="753"/>
      <c r="H465" s="128"/>
      <c r="I465" s="128"/>
      <c r="J465" s="130"/>
      <c r="K465" s="128"/>
      <c r="L465" s="128"/>
      <c r="M465" s="130"/>
      <c r="N465" s="130"/>
      <c r="O465" s="130"/>
      <c r="P465" s="128"/>
      <c r="Q465" s="128"/>
      <c r="R465" s="128"/>
      <c r="S465" s="298"/>
      <c r="T465" s="4"/>
      <c r="U465" s="4"/>
      <c r="V465" s="4"/>
      <c r="W465" s="4"/>
      <c r="X465" s="4"/>
      <c r="Y465" s="128"/>
      <c r="Z465" s="128"/>
      <c r="AA465" s="128"/>
      <c r="AB465" s="4"/>
      <c r="AC465" s="4"/>
      <c r="AD465" s="4"/>
      <c r="AE465" s="4"/>
      <c r="AF465" s="4"/>
      <c r="AG465" s="4"/>
      <c r="AH465" s="4"/>
      <c r="AI465" s="4"/>
      <c r="AJ465" s="246"/>
      <c r="AK465" s="246"/>
      <c r="AL465" s="129"/>
      <c r="AM465" s="129"/>
      <c r="AN465" s="129"/>
      <c r="AO465" s="246"/>
      <c r="AP465" s="246"/>
      <c r="AQ465" s="249"/>
      <c r="AR465" s="4"/>
      <c r="AS465" s="4"/>
      <c r="AT465" s="4"/>
      <c r="AU465" s="4"/>
      <c r="AV465" s="4"/>
      <c r="AW465" s="4"/>
      <c r="AX465" s="4"/>
      <c r="AY465" s="128"/>
      <c r="AZ465" s="4"/>
      <c r="BA465" s="4"/>
      <c r="BB465" s="4"/>
      <c r="BC465" s="4"/>
      <c r="BD465" s="4"/>
      <c r="BE465" s="4"/>
      <c r="BF465" s="4"/>
      <c r="BG465" s="4"/>
      <c r="BH465" s="4"/>
      <c r="BI465" s="567"/>
    </row>
    <row r="466" spans="1:61" ht="12.75" customHeight="1" x14ac:dyDescent="0.25">
      <c r="A466" s="4"/>
      <c r="B466" s="4"/>
      <c r="C466" s="4"/>
      <c r="D466" s="4"/>
      <c r="E466" s="128"/>
      <c r="F466" s="128"/>
      <c r="G466" s="753"/>
      <c r="H466" s="128"/>
      <c r="I466" s="128"/>
      <c r="J466" s="130"/>
      <c r="K466" s="128"/>
      <c r="L466" s="128"/>
      <c r="M466" s="130"/>
      <c r="N466" s="130"/>
      <c r="O466" s="130"/>
      <c r="P466" s="128"/>
      <c r="Q466" s="128"/>
      <c r="R466" s="128"/>
      <c r="S466" s="298"/>
      <c r="T466" s="4"/>
      <c r="U466" s="4"/>
      <c r="V466" s="4"/>
      <c r="W466" s="4"/>
      <c r="X466" s="4"/>
      <c r="Y466" s="128"/>
      <c r="Z466" s="128"/>
      <c r="AA466" s="128"/>
      <c r="AB466" s="4"/>
      <c r="AC466" s="4"/>
      <c r="AD466" s="4"/>
      <c r="AE466" s="4"/>
      <c r="AF466" s="4"/>
      <c r="AG466" s="4"/>
      <c r="AH466" s="4"/>
      <c r="AI466" s="4"/>
      <c r="AJ466" s="246"/>
      <c r="AK466" s="246"/>
      <c r="AL466" s="129"/>
      <c r="AM466" s="129"/>
      <c r="AN466" s="129"/>
      <c r="AO466" s="246"/>
      <c r="AP466" s="246"/>
      <c r="AQ466" s="249"/>
      <c r="AR466" s="4"/>
      <c r="AS466" s="4"/>
      <c r="AT466" s="4"/>
      <c r="AU466" s="4"/>
      <c r="AV466" s="4"/>
      <c r="AW466" s="4"/>
      <c r="AX466" s="4"/>
      <c r="AY466" s="128"/>
      <c r="AZ466" s="4"/>
      <c r="BA466" s="4"/>
      <c r="BB466" s="4"/>
      <c r="BC466" s="4"/>
      <c r="BD466" s="4"/>
      <c r="BE466" s="4"/>
      <c r="BF466" s="4"/>
      <c r="BG466" s="4"/>
      <c r="BH466" s="4"/>
      <c r="BI466" s="567"/>
    </row>
    <row r="467" spans="1:61" ht="12.75" customHeight="1" x14ac:dyDescent="0.25">
      <c r="A467" s="4"/>
      <c r="B467" s="4"/>
      <c r="C467" s="4"/>
      <c r="D467" s="4"/>
      <c r="E467" s="128"/>
      <c r="F467" s="128"/>
      <c r="G467" s="753"/>
      <c r="H467" s="128"/>
      <c r="I467" s="128"/>
      <c r="J467" s="130"/>
      <c r="K467" s="128"/>
      <c r="L467" s="128"/>
      <c r="M467" s="130"/>
      <c r="N467" s="130"/>
      <c r="O467" s="130"/>
      <c r="P467" s="128"/>
      <c r="Q467" s="128"/>
      <c r="R467" s="128"/>
      <c r="S467" s="298"/>
      <c r="T467" s="4"/>
      <c r="U467" s="4"/>
      <c r="V467" s="4"/>
      <c r="W467" s="4"/>
      <c r="X467" s="4"/>
      <c r="Y467" s="128"/>
      <c r="Z467" s="128"/>
      <c r="AA467" s="128"/>
      <c r="AB467" s="4"/>
      <c r="AC467" s="4"/>
      <c r="AD467" s="4"/>
      <c r="AE467" s="4"/>
      <c r="AF467" s="4"/>
      <c r="AG467" s="4"/>
      <c r="AH467" s="4"/>
      <c r="AI467" s="4"/>
      <c r="AJ467" s="246"/>
      <c r="AK467" s="246"/>
      <c r="AL467" s="129"/>
      <c r="AM467" s="129"/>
      <c r="AN467" s="129"/>
      <c r="AO467" s="246"/>
      <c r="AP467" s="246"/>
      <c r="AQ467" s="249"/>
      <c r="AR467" s="4"/>
      <c r="AS467" s="4"/>
      <c r="AT467" s="4"/>
      <c r="AU467" s="4"/>
      <c r="AV467" s="4"/>
      <c r="AW467" s="4"/>
      <c r="AX467" s="4"/>
      <c r="AY467" s="128"/>
      <c r="AZ467" s="4"/>
      <c r="BA467" s="4"/>
      <c r="BB467" s="4"/>
      <c r="BC467" s="4"/>
      <c r="BD467" s="4"/>
      <c r="BE467" s="4"/>
      <c r="BF467" s="4"/>
      <c r="BG467" s="4"/>
      <c r="BH467" s="4"/>
      <c r="BI467" s="567"/>
    </row>
    <row r="468" spans="1:61" ht="12.75" customHeight="1" x14ac:dyDescent="0.25">
      <c r="A468" s="4"/>
      <c r="B468" s="4"/>
      <c r="C468" s="4"/>
      <c r="D468" s="4"/>
      <c r="E468" s="128"/>
      <c r="F468" s="128"/>
      <c r="G468" s="753"/>
      <c r="H468" s="128"/>
      <c r="I468" s="128"/>
      <c r="J468" s="130"/>
      <c r="K468" s="128"/>
      <c r="L468" s="128"/>
      <c r="M468" s="130"/>
      <c r="N468" s="130"/>
      <c r="O468" s="130"/>
      <c r="P468" s="128"/>
      <c r="Q468" s="128"/>
      <c r="R468" s="128"/>
      <c r="S468" s="298"/>
      <c r="T468" s="4"/>
      <c r="U468" s="4"/>
      <c r="V468" s="4"/>
      <c r="W468" s="4"/>
      <c r="X468" s="4"/>
      <c r="Y468" s="128"/>
      <c r="Z468" s="128"/>
      <c r="AA468" s="128"/>
      <c r="AB468" s="4"/>
      <c r="AC468" s="4"/>
      <c r="AD468" s="4"/>
      <c r="AE468" s="4"/>
      <c r="AF468" s="4"/>
      <c r="AG468" s="4"/>
      <c r="AH468" s="4"/>
      <c r="AI468" s="4"/>
      <c r="AJ468" s="246"/>
      <c r="AK468" s="246"/>
      <c r="AL468" s="129"/>
      <c r="AM468" s="129"/>
      <c r="AN468" s="129"/>
      <c r="AO468" s="246"/>
      <c r="AP468" s="246"/>
      <c r="AQ468" s="249"/>
      <c r="AR468" s="4"/>
      <c r="AS468" s="4"/>
      <c r="AT468" s="4"/>
      <c r="AU468" s="4"/>
      <c r="AV468" s="4"/>
      <c r="AW468" s="4"/>
      <c r="AX468" s="4"/>
      <c r="AY468" s="128"/>
      <c r="AZ468" s="4"/>
      <c r="BA468" s="4"/>
      <c r="BB468" s="4"/>
      <c r="BC468" s="4"/>
      <c r="BD468" s="4"/>
      <c r="BE468" s="4"/>
      <c r="BF468" s="4"/>
      <c r="BG468" s="4"/>
      <c r="BH468" s="4"/>
      <c r="BI468" s="567"/>
    </row>
    <row r="469" spans="1:61" ht="12.75" customHeight="1" x14ac:dyDescent="0.25">
      <c r="A469" s="4"/>
      <c r="B469" s="4"/>
      <c r="C469" s="4"/>
      <c r="D469" s="4"/>
      <c r="E469" s="128"/>
      <c r="F469" s="128"/>
      <c r="G469" s="753"/>
      <c r="H469" s="128"/>
      <c r="I469" s="128"/>
      <c r="J469" s="130"/>
      <c r="K469" s="128"/>
      <c r="L469" s="128"/>
      <c r="M469" s="130"/>
      <c r="N469" s="130"/>
      <c r="O469" s="130"/>
      <c r="P469" s="128"/>
      <c r="Q469" s="128"/>
      <c r="R469" s="128"/>
      <c r="S469" s="298"/>
      <c r="T469" s="4"/>
      <c r="U469" s="4"/>
      <c r="V469" s="4"/>
      <c r="W469" s="4"/>
      <c r="X469" s="4"/>
      <c r="Y469" s="128"/>
      <c r="Z469" s="128"/>
      <c r="AA469" s="128"/>
      <c r="AB469" s="4"/>
      <c r="AC469" s="4"/>
      <c r="AD469" s="4"/>
      <c r="AE469" s="4"/>
      <c r="AF469" s="4"/>
      <c r="AG469" s="4"/>
      <c r="AH469" s="4"/>
      <c r="AI469" s="4"/>
      <c r="AJ469" s="246"/>
      <c r="AK469" s="246"/>
      <c r="AL469" s="129"/>
      <c r="AM469" s="129"/>
      <c r="AN469" s="129"/>
      <c r="AO469" s="246"/>
      <c r="AP469" s="246"/>
      <c r="AQ469" s="249"/>
      <c r="AR469" s="4"/>
      <c r="AS469" s="4"/>
      <c r="AT469" s="4"/>
      <c r="AU469" s="4"/>
      <c r="AV469" s="4"/>
      <c r="AW469" s="4"/>
      <c r="AX469" s="4"/>
      <c r="AY469" s="128"/>
      <c r="AZ469" s="4"/>
      <c r="BA469" s="4"/>
      <c r="BB469" s="4"/>
      <c r="BC469" s="4"/>
      <c r="BD469" s="4"/>
      <c r="BE469" s="4"/>
      <c r="BF469" s="4"/>
      <c r="BG469" s="4"/>
      <c r="BH469" s="4"/>
      <c r="BI469" s="567"/>
    </row>
    <row r="470" spans="1:61" ht="12.75" customHeight="1" x14ac:dyDescent="0.25">
      <c r="A470" s="4"/>
      <c r="B470" s="4"/>
      <c r="C470" s="4"/>
      <c r="D470" s="4"/>
      <c r="E470" s="128"/>
      <c r="F470" s="128"/>
      <c r="G470" s="753"/>
      <c r="H470" s="128"/>
      <c r="I470" s="128"/>
      <c r="J470" s="130"/>
      <c r="K470" s="128"/>
      <c r="L470" s="128"/>
      <c r="M470" s="130"/>
      <c r="N470" s="130"/>
      <c r="O470" s="130"/>
      <c r="P470" s="128"/>
      <c r="Q470" s="128"/>
      <c r="R470" s="128"/>
      <c r="S470" s="298"/>
      <c r="T470" s="4"/>
      <c r="U470" s="4"/>
      <c r="V470" s="4"/>
      <c r="W470" s="4"/>
      <c r="X470" s="4"/>
      <c r="Y470" s="128"/>
      <c r="Z470" s="128"/>
      <c r="AA470" s="128"/>
      <c r="AB470" s="4"/>
      <c r="AC470" s="4"/>
      <c r="AD470" s="4"/>
      <c r="AE470" s="4"/>
      <c r="AF470" s="4"/>
      <c r="AG470" s="4"/>
      <c r="AH470" s="4"/>
      <c r="AI470" s="4"/>
      <c r="AJ470" s="246"/>
      <c r="AK470" s="246"/>
      <c r="AL470" s="129"/>
      <c r="AM470" s="129"/>
      <c r="AN470" s="129"/>
      <c r="AO470" s="246"/>
      <c r="AP470" s="246"/>
      <c r="AQ470" s="249"/>
      <c r="AR470" s="4"/>
      <c r="AS470" s="4"/>
      <c r="AT470" s="4"/>
      <c r="AU470" s="4"/>
      <c r="AV470" s="4"/>
      <c r="AW470" s="4"/>
      <c r="AX470" s="4"/>
      <c r="AY470" s="128"/>
      <c r="AZ470" s="4"/>
      <c r="BA470" s="4"/>
      <c r="BB470" s="4"/>
      <c r="BC470" s="4"/>
      <c r="BD470" s="4"/>
      <c r="BE470" s="4"/>
      <c r="BF470" s="4"/>
      <c r="BG470" s="4"/>
      <c r="BH470" s="4"/>
      <c r="BI470" s="567"/>
    </row>
    <row r="471" spans="1:61" ht="12.75" customHeight="1" x14ac:dyDescent="0.25">
      <c r="A471" s="4"/>
      <c r="B471" s="4"/>
      <c r="C471" s="4"/>
      <c r="D471" s="4"/>
      <c r="E471" s="128"/>
      <c r="F471" s="128"/>
      <c r="G471" s="753"/>
      <c r="H471" s="128"/>
      <c r="I471" s="128"/>
      <c r="J471" s="130"/>
      <c r="K471" s="128"/>
      <c r="L471" s="128"/>
      <c r="M471" s="130"/>
      <c r="N471" s="130"/>
      <c r="O471" s="130"/>
      <c r="P471" s="128"/>
      <c r="Q471" s="128"/>
      <c r="R471" s="128"/>
      <c r="S471" s="298"/>
      <c r="T471" s="4"/>
      <c r="U471" s="4"/>
      <c r="V471" s="4"/>
      <c r="W471" s="4"/>
      <c r="X471" s="4"/>
      <c r="Y471" s="128"/>
      <c r="Z471" s="128"/>
      <c r="AA471" s="128"/>
      <c r="AB471" s="4"/>
      <c r="AC471" s="4"/>
      <c r="AD471" s="4"/>
      <c r="AE471" s="4"/>
      <c r="AF471" s="4"/>
      <c r="AG471" s="4"/>
      <c r="AH471" s="4"/>
      <c r="AI471" s="4"/>
      <c r="AJ471" s="246"/>
      <c r="AK471" s="246"/>
      <c r="AL471" s="129"/>
      <c r="AM471" s="129"/>
      <c r="AN471" s="129"/>
      <c r="AO471" s="246"/>
      <c r="AP471" s="246"/>
      <c r="AQ471" s="249"/>
      <c r="AR471" s="4"/>
      <c r="AS471" s="4"/>
      <c r="AT471" s="4"/>
      <c r="AU471" s="4"/>
      <c r="AV471" s="4"/>
      <c r="AW471" s="4"/>
      <c r="AX471" s="4"/>
      <c r="AY471" s="128"/>
      <c r="AZ471" s="4"/>
      <c r="BA471" s="4"/>
      <c r="BB471" s="4"/>
      <c r="BC471" s="4"/>
      <c r="BD471" s="4"/>
      <c r="BE471" s="4"/>
      <c r="BF471" s="4"/>
      <c r="BG471" s="4"/>
      <c r="BH471" s="4"/>
      <c r="BI471" s="567"/>
    </row>
    <row r="472" spans="1:61" ht="12.75" customHeight="1" x14ac:dyDescent="0.25">
      <c r="A472" s="4"/>
      <c r="B472" s="4"/>
      <c r="C472" s="4"/>
      <c r="D472" s="4"/>
      <c r="E472" s="128"/>
      <c r="F472" s="128"/>
      <c r="G472" s="753"/>
      <c r="H472" s="128"/>
      <c r="I472" s="128"/>
      <c r="J472" s="130"/>
      <c r="K472" s="128"/>
      <c r="L472" s="128"/>
      <c r="M472" s="130"/>
      <c r="N472" s="130"/>
      <c r="O472" s="130"/>
      <c r="P472" s="128"/>
      <c r="Q472" s="128"/>
      <c r="R472" s="128"/>
      <c r="S472" s="298"/>
      <c r="T472" s="4"/>
      <c r="U472" s="4"/>
      <c r="V472" s="4"/>
      <c r="W472" s="4"/>
      <c r="X472" s="4"/>
      <c r="Y472" s="128"/>
      <c r="Z472" s="128"/>
      <c r="AA472" s="128"/>
      <c r="AB472" s="4"/>
      <c r="AC472" s="4"/>
      <c r="AD472" s="4"/>
      <c r="AE472" s="4"/>
      <c r="AF472" s="4"/>
      <c r="AG472" s="4"/>
      <c r="AH472" s="4"/>
      <c r="AI472" s="4"/>
      <c r="AJ472" s="246"/>
      <c r="AK472" s="246"/>
      <c r="AL472" s="129"/>
      <c r="AM472" s="129"/>
      <c r="AN472" s="129"/>
      <c r="AO472" s="246"/>
      <c r="AP472" s="246"/>
      <c r="AQ472" s="249"/>
      <c r="AR472" s="4"/>
      <c r="AS472" s="4"/>
      <c r="AT472" s="4"/>
      <c r="AU472" s="4"/>
      <c r="AV472" s="4"/>
      <c r="AW472" s="4"/>
      <c r="AX472" s="4"/>
      <c r="AY472" s="128"/>
      <c r="AZ472" s="4"/>
      <c r="BA472" s="4"/>
      <c r="BB472" s="4"/>
      <c r="BC472" s="4"/>
      <c r="BD472" s="4"/>
      <c r="BE472" s="4"/>
      <c r="BF472" s="4"/>
      <c r="BG472" s="4"/>
      <c r="BH472" s="4"/>
      <c r="BI472" s="567"/>
    </row>
    <row r="473" spans="1:61" ht="12.75" customHeight="1" x14ac:dyDescent="0.25">
      <c r="A473" s="4"/>
      <c r="B473" s="4"/>
      <c r="C473" s="4"/>
      <c r="D473" s="4"/>
      <c r="E473" s="128"/>
      <c r="F473" s="128"/>
      <c r="G473" s="753"/>
      <c r="H473" s="128"/>
      <c r="I473" s="128"/>
      <c r="J473" s="130"/>
      <c r="K473" s="128"/>
      <c r="L473" s="128"/>
      <c r="M473" s="130"/>
      <c r="N473" s="130"/>
      <c r="O473" s="130"/>
      <c r="P473" s="128"/>
      <c r="Q473" s="128"/>
      <c r="R473" s="128"/>
      <c r="S473" s="298"/>
      <c r="T473" s="4"/>
      <c r="U473" s="4"/>
      <c r="V473" s="4"/>
      <c r="W473" s="4"/>
      <c r="X473" s="4"/>
      <c r="Y473" s="128"/>
      <c r="Z473" s="128"/>
      <c r="AA473" s="128"/>
      <c r="AB473" s="4"/>
      <c r="AC473" s="4"/>
      <c r="AD473" s="4"/>
      <c r="AE473" s="4"/>
      <c r="AF473" s="4"/>
      <c r="AG473" s="4"/>
      <c r="AH473" s="4"/>
      <c r="AI473" s="4"/>
      <c r="AJ473" s="246"/>
      <c r="AK473" s="246"/>
      <c r="AL473" s="129"/>
      <c r="AM473" s="129"/>
      <c r="AN473" s="129"/>
      <c r="AO473" s="246"/>
      <c r="AP473" s="246"/>
      <c r="AQ473" s="249"/>
      <c r="AR473" s="4"/>
      <c r="AS473" s="4"/>
      <c r="AT473" s="4"/>
      <c r="AU473" s="4"/>
      <c r="AV473" s="4"/>
      <c r="AW473" s="4"/>
      <c r="AX473" s="4"/>
      <c r="AY473" s="128"/>
      <c r="AZ473" s="4"/>
      <c r="BA473" s="4"/>
      <c r="BB473" s="4"/>
      <c r="BC473" s="4"/>
      <c r="BD473" s="4"/>
      <c r="BE473" s="4"/>
      <c r="BF473" s="4"/>
      <c r="BG473" s="4"/>
      <c r="BH473" s="4"/>
      <c r="BI473" s="567"/>
    </row>
    <row r="474" spans="1:61" ht="12.75" customHeight="1" x14ac:dyDescent="0.25">
      <c r="A474" s="4"/>
      <c r="B474" s="4"/>
      <c r="C474" s="4"/>
      <c r="D474" s="4"/>
      <c r="E474" s="128"/>
      <c r="F474" s="128"/>
      <c r="G474" s="753"/>
      <c r="H474" s="128"/>
      <c r="I474" s="128"/>
      <c r="J474" s="130"/>
      <c r="K474" s="128"/>
      <c r="L474" s="128"/>
      <c r="M474" s="130"/>
      <c r="N474" s="130"/>
      <c r="O474" s="130"/>
      <c r="P474" s="128"/>
      <c r="Q474" s="128"/>
      <c r="R474" s="128"/>
      <c r="S474" s="298"/>
      <c r="T474" s="4"/>
      <c r="U474" s="4"/>
      <c r="V474" s="4"/>
      <c r="W474" s="4"/>
      <c r="X474" s="4"/>
      <c r="Y474" s="128"/>
      <c r="Z474" s="128"/>
      <c r="AA474" s="128"/>
      <c r="AB474" s="4"/>
      <c r="AC474" s="4"/>
      <c r="AD474" s="4"/>
      <c r="AE474" s="4"/>
      <c r="AF474" s="4"/>
      <c r="AG474" s="4"/>
      <c r="AH474" s="4"/>
      <c r="AI474" s="4"/>
      <c r="AJ474" s="246"/>
      <c r="AK474" s="246"/>
      <c r="AL474" s="129"/>
      <c r="AM474" s="129"/>
      <c r="AN474" s="129"/>
      <c r="AO474" s="246"/>
      <c r="AP474" s="246"/>
      <c r="AQ474" s="249"/>
      <c r="AR474" s="4"/>
      <c r="AS474" s="4"/>
      <c r="AT474" s="4"/>
      <c r="AU474" s="4"/>
      <c r="AV474" s="4"/>
      <c r="AW474" s="4"/>
      <c r="AX474" s="4"/>
      <c r="AY474" s="128"/>
      <c r="AZ474" s="4"/>
      <c r="BA474" s="4"/>
      <c r="BB474" s="4"/>
      <c r="BC474" s="4"/>
      <c r="BD474" s="4"/>
      <c r="BE474" s="4"/>
      <c r="BF474" s="4"/>
      <c r="BG474" s="4"/>
      <c r="BH474" s="4"/>
      <c r="BI474" s="567"/>
    </row>
    <row r="475" spans="1:61" ht="12.75" customHeight="1" x14ac:dyDescent="0.25">
      <c r="A475" s="4"/>
      <c r="B475" s="4"/>
      <c r="C475" s="4"/>
      <c r="D475" s="4"/>
      <c r="E475" s="128"/>
      <c r="F475" s="128"/>
      <c r="G475" s="753"/>
      <c r="H475" s="128"/>
      <c r="I475" s="128"/>
      <c r="J475" s="130"/>
      <c r="K475" s="128"/>
      <c r="L475" s="128"/>
      <c r="M475" s="130"/>
      <c r="N475" s="130"/>
      <c r="O475" s="130"/>
      <c r="P475" s="128"/>
      <c r="Q475" s="128"/>
      <c r="R475" s="128"/>
      <c r="S475" s="298"/>
      <c r="T475" s="4"/>
      <c r="U475" s="4"/>
      <c r="V475" s="4"/>
      <c r="W475" s="4"/>
      <c r="X475" s="4"/>
      <c r="Y475" s="128"/>
      <c r="Z475" s="128"/>
      <c r="AA475" s="128"/>
      <c r="AB475" s="4"/>
      <c r="AC475" s="4"/>
      <c r="AD475" s="4"/>
      <c r="AE475" s="4"/>
      <c r="AF475" s="4"/>
      <c r="AG475" s="4"/>
      <c r="AH475" s="4"/>
      <c r="AI475" s="4"/>
      <c r="AJ475" s="246"/>
      <c r="AK475" s="246"/>
      <c r="AL475" s="129"/>
      <c r="AM475" s="129"/>
      <c r="AN475" s="129"/>
      <c r="AO475" s="246"/>
      <c r="AP475" s="246"/>
      <c r="AQ475" s="249"/>
      <c r="AR475" s="4"/>
      <c r="AS475" s="4"/>
      <c r="AT475" s="4"/>
      <c r="AU475" s="4"/>
      <c r="AV475" s="4"/>
      <c r="AW475" s="4"/>
      <c r="AX475" s="4"/>
      <c r="AY475" s="128"/>
      <c r="AZ475" s="4"/>
      <c r="BA475" s="4"/>
      <c r="BB475" s="4"/>
      <c r="BC475" s="4"/>
      <c r="BD475" s="4"/>
      <c r="BE475" s="4"/>
      <c r="BF475" s="4"/>
      <c r="BG475" s="4"/>
      <c r="BH475" s="4"/>
      <c r="BI475" s="567"/>
    </row>
    <row r="476" spans="1:61" ht="12.75" customHeight="1" x14ac:dyDescent="0.25">
      <c r="A476" s="4"/>
      <c r="B476" s="4"/>
      <c r="C476" s="4"/>
      <c r="D476" s="4"/>
      <c r="E476" s="128"/>
      <c r="F476" s="128"/>
      <c r="G476" s="753"/>
      <c r="H476" s="128"/>
      <c r="I476" s="128"/>
      <c r="J476" s="130"/>
      <c r="K476" s="128"/>
      <c r="L476" s="128"/>
      <c r="M476" s="130"/>
      <c r="N476" s="130"/>
      <c r="O476" s="130"/>
      <c r="P476" s="128"/>
      <c r="Q476" s="128"/>
      <c r="R476" s="128"/>
      <c r="S476" s="298"/>
      <c r="T476" s="4"/>
      <c r="U476" s="4"/>
      <c r="V476" s="4"/>
      <c r="W476" s="4"/>
      <c r="X476" s="4"/>
      <c r="Y476" s="128"/>
      <c r="Z476" s="128"/>
      <c r="AA476" s="128"/>
      <c r="AB476" s="4"/>
      <c r="AC476" s="4"/>
      <c r="AD476" s="4"/>
      <c r="AE476" s="4"/>
      <c r="AF476" s="4"/>
      <c r="AG476" s="4"/>
      <c r="AH476" s="4"/>
      <c r="AI476" s="4"/>
      <c r="AJ476" s="246"/>
      <c r="AK476" s="246"/>
      <c r="AL476" s="129"/>
      <c r="AM476" s="129"/>
      <c r="AN476" s="129"/>
      <c r="AO476" s="246"/>
      <c r="AP476" s="246"/>
      <c r="AQ476" s="249"/>
      <c r="AR476" s="4"/>
      <c r="AS476" s="4"/>
      <c r="AT476" s="4"/>
      <c r="AU476" s="4"/>
      <c r="AV476" s="4"/>
      <c r="AW476" s="4"/>
      <c r="AX476" s="4"/>
      <c r="AY476" s="128"/>
      <c r="AZ476" s="4"/>
      <c r="BA476" s="4"/>
      <c r="BB476" s="4"/>
      <c r="BC476" s="4"/>
      <c r="BD476" s="4"/>
      <c r="BE476" s="4"/>
      <c r="BF476" s="4"/>
      <c r="BG476" s="4"/>
      <c r="BH476" s="4"/>
      <c r="BI476" s="567"/>
    </row>
    <row r="477" spans="1:61" ht="12.75" customHeight="1" x14ac:dyDescent="0.25">
      <c r="A477" s="4"/>
      <c r="B477" s="4"/>
      <c r="C477" s="4"/>
      <c r="D477" s="4"/>
      <c r="E477" s="128"/>
      <c r="F477" s="128"/>
      <c r="G477" s="753"/>
      <c r="H477" s="128"/>
      <c r="I477" s="128"/>
      <c r="J477" s="130"/>
      <c r="K477" s="128"/>
      <c r="L477" s="128"/>
      <c r="M477" s="130"/>
      <c r="N477" s="130"/>
      <c r="O477" s="130"/>
      <c r="P477" s="128"/>
      <c r="Q477" s="128"/>
      <c r="R477" s="128"/>
      <c r="S477" s="298"/>
      <c r="T477" s="4"/>
      <c r="U477" s="4"/>
      <c r="V477" s="4"/>
      <c r="W477" s="4"/>
      <c r="X477" s="4"/>
      <c r="Y477" s="128"/>
      <c r="Z477" s="128"/>
      <c r="AA477" s="128"/>
      <c r="AB477" s="4"/>
      <c r="AC477" s="4"/>
      <c r="AD477" s="4"/>
      <c r="AE477" s="4"/>
      <c r="AF477" s="4"/>
      <c r="AG477" s="4"/>
      <c r="AH477" s="4"/>
      <c r="AI477" s="4"/>
      <c r="AJ477" s="246"/>
      <c r="AK477" s="246"/>
      <c r="AL477" s="129"/>
      <c r="AM477" s="129"/>
      <c r="AN477" s="129"/>
      <c r="AO477" s="246"/>
      <c r="AP477" s="246"/>
      <c r="AQ477" s="249"/>
      <c r="AR477" s="4"/>
      <c r="AS477" s="4"/>
      <c r="AT477" s="4"/>
      <c r="AU477" s="4"/>
      <c r="AV477" s="4"/>
      <c r="AW477" s="4"/>
      <c r="AX477" s="4"/>
      <c r="AY477" s="128"/>
      <c r="AZ477" s="4"/>
      <c r="BA477" s="4"/>
      <c r="BB477" s="4"/>
      <c r="BC477" s="4"/>
      <c r="BD477" s="4"/>
      <c r="BE477" s="4"/>
      <c r="BF477" s="4"/>
      <c r="BG477" s="4"/>
      <c r="BH477" s="4"/>
      <c r="BI477" s="567"/>
    </row>
    <row r="478" spans="1:61" ht="12.75" customHeight="1" x14ac:dyDescent="0.25">
      <c r="A478" s="4"/>
      <c r="B478" s="4"/>
      <c r="C478" s="4"/>
      <c r="D478" s="4"/>
      <c r="E478" s="128"/>
      <c r="F478" s="128"/>
      <c r="G478" s="753"/>
      <c r="H478" s="128"/>
      <c r="I478" s="128"/>
      <c r="J478" s="130"/>
      <c r="K478" s="128"/>
      <c r="L478" s="128"/>
      <c r="M478" s="130"/>
      <c r="N478" s="130"/>
      <c r="O478" s="130"/>
      <c r="P478" s="128"/>
      <c r="Q478" s="128"/>
      <c r="R478" s="128"/>
      <c r="S478" s="298"/>
      <c r="T478" s="4"/>
      <c r="U478" s="4"/>
      <c r="V478" s="4"/>
      <c r="W478" s="4"/>
      <c r="X478" s="4"/>
      <c r="Y478" s="128"/>
      <c r="Z478" s="128"/>
      <c r="AA478" s="128"/>
      <c r="AB478" s="4"/>
      <c r="AC478" s="4"/>
      <c r="AD478" s="4"/>
      <c r="AE478" s="4"/>
      <c r="AF478" s="4"/>
      <c r="AG478" s="4"/>
      <c r="AH478" s="4"/>
      <c r="AI478" s="4"/>
      <c r="AJ478" s="246"/>
      <c r="AK478" s="246"/>
      <c r="AL478" s="129"/>
      <c r="AM478" s="129"/>
      <c r="AN478" s="129"/>
      <c r="AO478" s="246"/>
      <c r="AP478" s="246"/>
      <c r="AQ478" s="249"/>
      <c r="AR478" s="4"/>
      <c r="AS478" s="4"/>
      <c r="AT478" s="4"/>
      <c r="AU478" s="4"/>
      <c r="AV478" s="4"/>
      <c r="AW478" s="4"/>
      <c r="AX478" s="4"/>
      <c r="AY478" s="128"/>
      <c r="AZ478" s="4"/>
      <c r="BA478" s="4"/>
      <c r="BB478" s="4"/>
      <c r="BC478" s="4"/>
      <c r="BD478" s="4"/>
      <c r="BE478" s="4"/>
      <c r="BF478" s="4"/>
      <c r="BG478" s="4"/>
      <c r="BH478" s="4"/>
      <c r="BI478" s="567"/>
    </row>
    <row r="479" spans="1:61" ht="12.75" customHeight="1" x14ac:dyDescent="0.25">
      <c r="A479" s="4"/>
      <c r="B479" s="4"/>
      <c r="C479" s="4"/>
      <c r="D479" s="4"/>
      <c r="E479" s="128"/>
      <c r="F479" s="128"/>
      <c r="G479" s="753"/>
      <c r="H479" s="128"/>
      <c r="I479" s="128"/>
      <c r="J479" s="130"/>
      <c r="K479" s="128"/>
      <c r="L479" s="128"/>
      <c r="M479" s="130"/>
      <c r="N479" s="130"/>
      <c r="O479" s="130"/>
      <c r="P479" s="128"/>
      <c r="Q479" s="128"/>
      <c r="R479" s="128"/>
      <c r="S479" s="298"/>
      <c r="T479" s="4"/>
      <c r="U479" s="4"/>
      <c r="V479" s="4"/>
      <c r="W479" s="4"/>
      <c r="X479" s="4"/>
      <c r="Y479" s="128"/>
      <c r="Z479" s="128"/>
      <c r="AA479" s="128"/>
      <c r="AB479" s="4"/>
      <c r="AC479" s="4"/>
      <c r="AD479" s="4"/>
      <c r="AE479" s="4"/>
      <c r="AF479" s="4"/>
      <c r="AG479" s="4"/>
      <c r="AH479" s="4"/>
      <c r="AI479" s="4"/>
      <c r="AJ479" s="246"/>
      <c r="AK479" s="246"/>
      <c r="AL479" s="129"/>
      <c r="AM479" s="129"/>
      <c r="AN479" s="129"/>
      <c r="AO479" s="246"/>
      <c r="AP479" s="246"/>
      <c r="AQ479" s="249"/>
      <c r="AR479" s="4"/>
      <c r="AS479" s="4"/>
      <c r="AT479" s="4"/>
      <c r="AU479" s="4"/>
      <c r="AV479" s="4"/>
      <c r="AW479" s="4"/>
      <c r="AX479" s="4"/>
      <c r="AY479" s="128"/>
      <c r="AZ479" s="4"/>
      <c r="BA479" s="4"/>
      <c r="BB479" s="4"/>
      <c r="BC479" s="4"/>
      <c r="BD479" s="4"/>
      <c r="BE479" s="4"/>
      <c r="BF479" s="4"/>
      <c r="BG479" s="4"/>
      <c r="BH479" s="4"/>
      <c r="BI479" s="567"/>
    </row>
    <row r="480" spans="1:61" ht="12.75" customHeight="1" x14ac:dyDescent="0.25">
      <c r="A480" s="4"/>
      <c r="B480" s="4"/>
      <c r="C480" s="4"/>
      <c r="D480" s="4"/>
      <c r="E480" s="128"/>
      <c r="F480" s="128"/>
      <c r="G480" s="753"/>
      <c r="H480" s="128"/>
      <c r="I480" s="128"/>
      <c r="J480" s="130"/>
      <c r="K480" s="128"/>
      <c r="L480" s="128"/>
      <c r="M480" s="130"/>
      <c r="N480" s="130"/>
      <c r="O480" s="130"/>
      <c r="P480" s="128"/>
      <c r="Q480" s="128"/>
      <c r="R480" s="128"/>
      <c r="S480" s="298"/>
      <c r="T480" s="4"/>
      <c r="U480" s="4"/>
      <c r="V480" s="4"/>
      <c r="W480" s="4"/>
      <c r="X480" s="4"/>
      <c r="Y480" s="128"/>
      <c r="Z480" s="128"/>
      <c r="AA480" s="128"/>
      <c r="AB480" s="4"/>
      <c r="AC480" s="4"/>
      <c r="AD480" s="4"/>
      <c r="AE480" s="4"/>
      <c r="AF480" s="4"/>
      <c r="AG480" s="4"/>
      <c r="AH480" s="4"/>
      <c r="AI480" s="4"/>
      <c r="AJ480" s="246"/>
      <c r="AK480" s="246"/>
      <c r="AL480" s="129"/>
      <c r="AM480" s="129"/>
      <c r="AN480" s="129"/>
      <c r="AO480" s="246"/>
      <c r="AP480" s="246"/>
      <c r="AQ480" s="249"/>
      <c r="AR480" s="4"/>
      <c r="AS480" s="4"/>
      <c r="AT480" s="4"/>
      <c r="AU480" s="4"/>
      <c r="AV480" s="4"/>
      <c r="AW480" s="4"/>
      <c r="AX480" s="4"/>
      <c r="AY480" s="128"/>
      <c r="AZ480" s="4"/>
      <c r="BA480" s="4"/>
      <c r="BB480" s="4"/>
      <c r="BC480" s="4"/>
      <c r="BD480" s="4"/>
      <c r="BE480" s="4"/>
      <c r="BF480" s="4"/>
      <c r="BG480" s="4"/>
      <c r="BH480" s="4"/>
      <c r="BI480" s="567"/>
    </row>
    <row r="481" spans="1:61" ht="12.75" customHeight="1" x14ac:dyDescent="0.25">
      <c r="A481" s="4"/>
      <c r="B481" s="4"/>
      <c r="C481" s="4"/>
      <c r="D481" s="4"/>
      <c r="E481" s="128"/>
      <c r="F481" s="128"/>
      <c r="G481" s="753"/>
      <c r="H481" s="128"/>
      <c r="I481" s="128"/>
      <c r="J481" s="130"/>
      <c r="K481" s="128"/>
      <c r="L481" s="128"/>
      <c r="M481" s="130"/>
      <c r="N481" s="130"/>
      <c r="O481" s="130"/>
      <c r="P481" s="128"/>
      <c r="Q481" s="128"/>
      <c r="R481" s="128"/>
      <c r="S481" s="298"/>
      <c r="T481" s="4"/>
      <c r="U481" s="4"/>
      <c r="V481" s="4"/>
      <c r="W481" s="4"/>
      <c r="X481" s="4"/>
      <c r="Y481" s="128"/>
      <c r="Z481" s="128"/>
      <c r="AA481" s="128"/>
      <c r="AB481" s="4"/>
      <c r="AC481" s="4"/>
      <c r="AD481" s="4"/>
      <c r="AE481" s="4"/>
      <c r="AF481" s="4"/>
      <c r="AG481" s="4"/>
      <c r="AH481" s="4"/>
      <c r="AI481" s="4"/>
      <c r="AJ481" s="246"/>
      <c r="AK481" s="246"/>
      <c r="AL481" s="129"/>
      <c r="AM481" s="129"/>
      <c r="AN481" s="129"/>
      <c r="AO481" s="246"/>
      <c r="AP481" s="246"/>
      <c r="AQ481" s="249"/>
      <c r="AR481" s="4"/>
      <c r="AS481" s="4"/>
      <c r="AT481" s="4"/>
      <c r="AU481" s="4"/>
      <c r="AV481" s="4"/>
      <c r="AW481" s="4"/>
      <c r="AX481" s="4"/>
      <c r="AY481" s="128"/>
      <c r="AZ481" s="4"/>
      <c r="BA481" s="4"/>
      <c r="BB481" s="4"/>
      <c r="BC481" s="4"/>
      <c r="BD481" s="4"/>
      <c r="BE481" s="4"/>
      <c r="BF481" s="4"/>
      <c r="BG481" s="4"/>
      <c r="BH481" s="4"/>
      <c r="BI481" s="567"/>
    </row>
    <row r="482" spans="1:61" ht="12.75" customHeight="1" x14ac:dyDescent="0.25">
      <c r="A482" s="4"/>
      <c r="B482" s="4"/>
      <c r="C482" s="4"/>
      <c r="D482" s="4"/>
      <c r="E482" s="128"/>
      <c r="F482" s="128"/>
      <c r="G482" s="753"/>
      <c r="H482" s="128"/>
      <c r="I482" s="128"/>
      <c r="J482" s="130"/>
      <c r="K482" s="128"/>
      <c r="L482" s="128"/>
      <c r="M482" s="130"/>
      <c r="N482" s="130"/>
      <c r="O482" s="130"/>
      <c r="P482" s="128"/>
      <c r="Q482" s="128"/>
      <c r="R482" s="128"/>
      <c r="S482" s="298"/>
      <c r="T482" s="4"/>
      <c r="U482" s="4"/>
      <c r="V482" s="4"/>
      <c r="W482" s="4"/>
      <c r="X482" s="4"/>
      <c r="Y482" s="128"/>
      <c r="Z482" s="128"/>
      <c r="AA482" s="128"/>
      <c r="AB482" s="4"/>
      <c r="AC482" s="4"/>
      <c r="AD482" s="4"/>
      <c r="AE482" s="4"/>
      <c r="AF482" s="4"/>
      <c r="AG482" s="4"/>
      <c r="AH482" s="4"/>
      <c r="AI482" s="4"/>
      <c r="AJ482" s="246"/>
      <c r="AK482" s="246"/>
      <c r="AL482" s="129"/>
      <c r="AM482" s="129"/>
      <c r="AN482" s="129"/>
      <c r="AO482" s="246"/>
      <c r="AP482" s="246"/>
      <c r="AQ482" s="249"/>
      <c r="AR482" s="4"/>
      <c r="AS482" s="4"/>
      <c r="AT482" s="4"/>
      <c r="AU482" s="4"/>
      <c r="AV482" s="4"/>
      <c r="AW482" s="4"/>
      <c r="AX482" s="4"/>
      <c r="AY482" s="128"/>
      <c r="AZ482" s="4"/>
      <c r="BA482" s="4"/>
      <c r="BB482" s="4"/>
      <c r="BC482" s="4"/>
      <c r="BD482" s="4"/>
      <c r="BE482" s="4"/>
      <c r="BF482" s="4"/>
      <c r="BG482" s="4"/>
      <c r="BH482" s="4"/>
      <c r="BI482" s="567"/>
    </row>
    <row r="483" spans="1:61" ht="12.75" customHeight="1" x14ac:dyDescent="0.25">
      <c r="A483" s="4"/>
      <c r="B483" s="4"/>
      <c r="C483" s="4"/>
      <c r="D483" s="4"/>
      <c r="E483" s="128"/>
      <c r="F483" s="128"/>
      <c r="G483" s="753"/>
      <c r="H483" s="128"/>
      <c r="I483" s="128"/>
      <c r="J483" s="130"/>
      <c r="K483" s="128"/>
      <c r="L483" s="128"/>
      <c r="M483" s="130"/>
      <c r="N483" s="130"/>
      <c r="O483" s="130"/>
      <c r="P483" s="128"/>
      <c r="Q483" s="128"/>
      <c r="R483" s="128"/>
      <c r="S483" s="298"/>
      <c r="T483" s="4"/>
      <c r="U483" s="4"/>
      <c r="V483" s="4"/>
      <c r="W483" s="4"/>
      <c r="X483" s="4"/>
      <c r="Y483" s="128"/>
      <c r="Z483" s="128"/>
      <c r="AA483" s="128"/>
      <c r="AB483" s="4"/>
      <c r="AC483" s="4"/>
      <c r="AD483" s="4"/>
      <c r="AE483" s="4"/>
      <c r="AF483" s="4"/>
      <c r="AG483" s="4"/>
      <c r="AH483" s="4"/>
      <c r="AI483" s="4"/>
      <c r="AJ483" s="246"/>
      <c r="AK483" s="246"/>
      <c r="AL483" s="129"/>
      <c r="AM483" s="129"/>
      <c r="AN483" s="129"/>
      <c r="AO483" s="246"/>
      <c r="AP483" s="246"/>
      <c r="AQ483" s="249"/>
      <c r="AR483" s="4"/>
      <c r="AS483" s="4"/>
      <c r="AT483" s="4"/>
      <c r="AU483" s="4"/>
      <c r="AV483" s="4"/>
      <c r="AW483" s="4"/>
      <c r="AX483" s="4"/>
      <c r="AY483" s="128"/>
      <c r="AZ483" s="4"/>
      <c r="BA483" s="4"/>
      <c r="BB483" s="4"/>
      <c r="BC483" s="4"/>
      <c r="BD483" s="4"/>
      <c r="BE483" s="4"/>
      <c r="BF483" s="4"/>
      <c r="BG483" s="4"/>
      <c r="BH483" s="4"/>
      <c r="BI483" s="567"/>
    </row>
    <row r="484" spans="1:61" ht="12.75" customHeight="1" x14ac:dyDescent="0.25">
      <c r="A484" s="4"/>
      <c r="B484" s="4"/>
      <c r="C484" s="4"/>
      <c r="D484" s="4"/>
      <c r="E484" s="128"/>
      <c r="F484" s="128"/>
      <c r="G484" s="753"/>
      <c r="H484" s="128"/>
      <c r="I484" s="128"/>
      <c r="J484" s="130"/>
      <c r="K484" s="128"/>
      <c r="L484" s="128"/>
      <c r="M484" s="130"/>
      <c r="N484" s="130"/>
      <c r="O484" s="130"/>
      <c r="P484" s="128"/>
      <c r="Q484" s="128"/>
      <c r="R484" s="128"/>
      <c r="S484" s="298"/>
      <c r="T484" s="4"/>
      <c r="U484" s="4"/>
      <c r="V484" s="4"/>
      <c r="W484" s="4"/>
      <c r="X484" s="4"/>
      <c r="Y484" s="128"/>
      <c r="Z484" s="128"/>
      <c r="AA484" s="128"/>
      <c r="AB484" s="4"/>
      <c r="AC484" s="4"/>
      <c r="AD484" s="4"/>
      <c r="AE484" s="4"/>
      <c r="AF484" s="4"/>
      <c r="AG484" s="4"/>
      <c r="AH484" s="4"/>
      <c r="AI484" s="4"/>
      <c r="AJ484" s="246"/>
      <c r="AK484" s="246"/>
      <c r="AL484" s="129"/>
      <c r="AM484" s="129"/>
      <c r="AN484" s="129"/>
      <c r="AO484" s="246"/>
      <c r="AP484" s="246"/>
      <c r="AQ484" s="249"/>
      <c r="AR484" s="4"/>
      <c r="AS484" s="4"/>
      <c r="AT484" s="4"/>
      <c r="AU484" s="4"/>
      <c r="AV484" s="4"/>
      <c r="AW484" s="4"/>
      <c r="AX484" s="4"/>
      <c r="AY484" s="128"/>
      <c r="AZ484" s="4"/>
      <c r="BA484" s="4"/>
      <c r="BB484" s="4"/>
      <c r="BC484" s="4"/>
      <c r="BD484" s="4"/>
      <c r="BE484" s="4"/>
      <c r="BF484" s="4"/>
      <c r="BG484" s="4"/>
      <c r="BH484" s="4"/>
      <c r="BI484" s="567"/>
    </row>
    <row r="485" spans="1:61" ht="12.75" customHeight="1" x14ac:dyDescent="0.25">
      <c r="A485" s="4"/>
      <c r="B485" s="4"/>
      <c r="C485" s="4"/>
      <c r="D485" s="4"/>
      <c r="E485" s="128"/>
      <c r="F485" s="128"/>
      <c r="G485" s="753"/>
      <c r="H485" s="128"/>
      <c r="I485" s="128"/>
      <c r="J485" s="130"/>
      <c r="K485" s="128"/>
      <c r="L485" s="128"/>
      <c r="M485" s="130"/>
      <c r="N485" s="130"/>
      <c r="O485" s="130"/>
      <c r="P485" s="128"/>
      <c r="Q485" s="128"/>
      <c r="R485" s="128"/>
      <c r="S485" s="298"/>
      <c r="T485" s="4"/>
      <c r="U485" s="4"/>
      <c r="V485" s="4"/>
      <c r="W485" s="4"/>
      <c r="X485" s="4"/>
      <c r="Y485" s="128"/>
      <c r="Z485" s="128"/>
      <c r="AA485" s="128"/>
      <c r="AB485" s="4"/>
      <c r="AC485" s="4"/>
      <c r="AD485" s="4"/>
      <c r="AE485" s="4"/>
      <c r="AF485" s="4"/>
      <c r="AG485" s="4"/>
      <c r="AH485" s="4"/>
      <c r="AI485" s="4"/>
      <c r="AJ485" s="246"/>
      <c r="AK485" s="246"/>
      <c r="AL485" s="129"/>
      <c r="AM485" s="129"/>
      <c r="AN485" s="129"/>
      <c r="AO485" s="246"/>
      <c r="AP485" s="246"/>
      <c r="AQ485" s="249"/>
      <c r="AR485" s="4"/>
      <c r="AS485" s="4"/>
      <c r="AT485" s="4"/>
      <c r="AU485" s="4"/>
      <c r="AV485" s="4"/>
      <c r="AW485" s="4"/>
      <c r="AX485" s="4"/>
      <c r="AY485" s="128"/>
      <c r="AZ485" s="4"/>
      <c r="BA485" s="4"/>
      <c r="BB485" s="4"/>
      <c r="BC485" s="4"/>
      <c r="BD485" s="4"/>
      <c r="BE485" s="4"/>
      <c r="BF485" s="4"/>
      <c r="BG485" s="4"/>
      <c r="BH485" s="4"/>
      <c r="BI485" s="567"/>
    </row>
    <row r="486" spans="1:61" ht="12.75" customHeight="1" x14ac:dyDescent="0.25">
      <c r="A486" s="4"/>
      <c r="B486" s="4"/>
      <c r="C486" s="4"/>
      <c r="D486" s="4"/>
      <c r="E486" s="128"/>
      <c r="F486" s="128"/>
      <c r="G486" s="753"/>
      <c r="H486" s="128"/>
      <c r="I486" s="128"/>
      <c r="J486" s="130"/>
      <c r="K486" s="128"/>
      <c r="L486" s="128"/>
      <c r="M486" s="130"/>
      <c r="N486" s="130"/>
      <c r="O486" s="130"/>
      <c r="P486" s="128"/>
      <c r="Q486" s="128"/>
      <c r="R486" s="128"/>
      <c r="S486" s="298"/>
      <c r="T486" s="4"/>
      <c r="U486" s="4"/>
      <c r="V486" s="4"/>
      <c r="W486" s="4"/>
      <c r="X486" s="4"/>
      <c r="Y486" s="128"/>
      <c r="Z486" s="128"/>
      <c r="AA486" s="128"/>
      <c r="AB486" s="4"/>
      <c r="AC486" s="4"/>
      <c r="AD486" s="4"/>
      <c r="AE486" s="4"/>
      <c r="AF486" s="4"/>
      <c r="AG486" s="4"/>
      <c r="AH486" s="4"/>
      <c r="AI486" s="4"/>
      <c r="AJ486" s="246"/>
      <c r="AK486" s="246"/>
      <c r="AL486" s="129"/>
      <c r="AM486" s="129"/>
      <c r="AN486" s="129"/>
      <c r="AO486" s="246"/>
      <c r="AP486" s="246"/>
      <c r="AQ486" s="249"/>
      <c r="AR486" s="4"/>
      <c r="AS486" s="4"/>
      <c r="AT486" s="4"/>
      <c r="AU486" s="4"/>
      <c r="AV486" s="4"/>
      <c r="AW486" s="4"/>
      <c r="AX486" s="4"/>
      <c r="AY486" s="128"/>
      <c r="AZ486" s="4"/>
      <c r="BA486" s="4"/>
      <c r="BB486" s="4"/>
      <c r="BC486" s="4"/>
      <c r="BD486" s="4"/>
      <c r="BE486" s="4"/>
      <c r="BF486" s="4"/>
      <c r="BG486" s="4"/>
      <c r="BH486" s="4"/>
      <c r="BI486" s="567"/>
    </row>
    <row r="487" spans="1:61" ht="12.75" customHeight="1" x14ac:dyDescent="0.25">
      <c r="A487" s="4"/>
      <c r="B487" s="4"/>
      <c r="C487" s="4"/>
      <c r="D487" s="4"/>
      <c r="E487" s="128"/>
      <c r="F487" s="128"/>
      <c r="G487" s="753"/>
      <c r="H487" s="128"/>
      <c r="I487" s="128"/>
      <c r="J487" s="130"/>
      <c r="K487" s="128"/>
      <c r="L487" s="128"/>
      <c r="M487" s="130"/>
      <c r="N487" s="130"/>
      <c r="O487" s="130"/>
      <c r="P487" s="128"/>
      <c r="Q487" s="128"/>
      <c r="R487" s="128"/>
      <c r="S487" s="298"/>
      <c r="T487" s="4"/>
      <c r="U487" s="4"/>
      <c r="V487" s="4"/>
      <c r="W487" s="4"/>
      <c r="X487" s="4"/>
      <c r="Y487" s="128"/>
      <c r="Z487" s="128"/>
      <c r="AA487" s="128"/>
      <c r="AB487" s="4"/>
      <c r="AC487" s="4"/>
      <c r="AD487" s="4"/>
      <c r="AE487" s="4"/>
      <c r="AF487" s="4"/>
      <c r="AG487" s="4"/>
      <c r="AH487" s="4"/>
      <c r="AI487" s="4"/>
      <c r="AJ487" s="246"/>
      <c r="AK487" s="246"/>
      <c r="AL487" s="129"/>
      <c r="AM487" s="129"/>
      <c r="AN487" s="129"/>
      <c r="AO487" s="246"/>
      <c r="AP487" s="246"/>
      <c r="AQ487" s="249"/>
      <c r="AR487" s="4"/>
      <c r="AS487" s="4"/>
      <c r="AT487" s="4"/>
      <c r="AU487" s="4"/>
      <c r="AV487" s="4"/>
      <c r="AW487" s="4"/>
      <c r="AX487" s="4"/>
      <c r="AY487" s="128"/>
      <c r="AZ487" s="4"/>
      <c r="BA487" s="4"/>
      <c r="BB487" s="4"/>
      <c r="BC487" s="4"/>
      <c r="BD487" s="4"/>
      <c r="BE487" s="4"/>
      <c r="BF487" s="4"/>
      <c r="BG487" s="4"/>
      <c r="BH487" s="4"/>
      <c r="BI487" s="567"/>
    </row>
    <row r="488" spans="1:61" ht="12.75" customHeight="1" x14ac:dyDescent="0.25">
      <c r="A488" s="4"/>
      <c r="B488" s="4"/>
      <c r="C488" s="4"/>
      <c r="D488" s="4"/>
      <c r="E488" s="128"/>
      <c r="F488" s="128"/>
      <c r="G488" s="753"/>
      <c r="H488" s="128"/>
      <c r="I488" s="128"/>
      <c r="J488" s="130"/>
      <c r="K488" s="128"/>
      <c r="L488" s="128"/>
      <c r="M488" s="130"/>
      <c r="N488" s="130"/>
      <c r="O488" s="130"/>
      <c r="P488" s="128"/>
      <c r="Q488" s="128"/>
      <c r="R488" s="128"/>
      <c r="S488" s="298"/>
      <c r="T488" s="4"/>
      <c r="U488" s="4"/>
      <c r="V488" s="4"/>
      <c r="W488" s="4"/>
      <c r="X488" s="4"/>
      <c r="Y488" s="128"/>
      <c r="Z488" s="128"/>
      <c r="AA488" s="128"/>
      <c r="AB488" s="4"/>
      <c r="AC488" s="4"/>
      <c r="AD488" s="4"/>
      <c r="AE488" s="4"/>
      <c r="AF488" s="4"/>
      <c r="AG488" s="4"/>
      <c r="AH488" s="4"/>
      <c r="AI488" s="4"/>
      <c r="AJ488" s="246"/>
      <c r="AK488" s="246"/>
      <c r="AL488" s="129"/>
      <c r="AM488" s="129"/>
      <c r="AN488" s="129"/>
      <c r="AO488" s="246"/>
      <c r="AP488" s="246"/>
      <c r="AQ488" s="249"/>
      <c r="AR488" s="4"/>
      <c r="AS488" s="4"/>
      <c r="AT488" s="4"/>
      <c r="AU488" s="4"/>
      <c r="AV488" s="4"/>
      <c r="AW488" s="4"/>
      <c r="AX488" s="4"/>
      <c r="AY488" s="128"/>
      <c r="AZ488" s="4"/>
      <c r="BA488" s="4"/>
      <c r="BB488" s="4"/>
      <c r="BC488" s="4"/>
      <c r="BD488" s="4"/>
      <c r="BE488" s="4"/>
      <c r="BF488" s="4"/>
      <c r="BG488" s="4"/>
      <c r="BH488" s="4"/>
      <c r="BI488" s="567"/>
    </row>
    <row r="489" spans="1:61" ht="12.75" customHeight="1" x14ac:dyDescent="0.25">
      <c r="A489" s="4"/>
      <c r="B489" s="4"/>
      <c r="C489" s="4"/>
      <c r="D489" s="4"/>
      <c r="E489" s="128"/>
      <c r="F489" s="128"/>
      <c r="G489" s="753"/>
      <c r="H489" s="128"/>
      <c r="I489" s="128"/>
      <c r="J489" s="130"/>
      <c r="K489" s="128"/>
      <c r="L489" s="128"/>
      <c r="M489" s="130"/>
      <c r="N489" s="130"/>
      <c r="O489" s="130"/>
      <c r="P489" s="128"/>
      <c r="Q489" s="128"/>
      <c r="R489" s="128"/>
      <c r="S489" s="298"/>
      <c r="T489" s="4"/>
      <c r="U489" s="4"/>
      <c r="V489" s="4"/>
      <c r="W489" s="4"/>
      <c r="X489" s="4"/>
      <c r="Y489" s="128"/>
      <c r="Z489" s="128"/>
      <c r="AA489" s="128"/>
      <c r="AB489" s="4"/>
      <c r="AC489" s="4"/>
      <c r="AD489" s="4"/>
      <c r="AE489" s="4"/>
      <c r="AF489" s="4"/>
      <c r="AG489" s="4"/>
      <c r="AH489" s="4"/>
      <c r="AI489" s="4"/>
      <c r="AJ489" s="246"/>
      <c r="AK489" s="246"/>
      <c r="AL489" s="129"/>
      <c r="AM489" s="129"/>
      <c r="AN489" s="129"/>
      <c r="AO489" s="246"/>
      <c r="AP489" s="246"/>
      <c r="AQ489" s="249"/>
      <c r="AR489" s="4"/>
      <c r="AS489" s="4"/>
      <c r="AT489" s="4"/>
      <c r="AU489" s="4"/>
      <c r="AV489" s="4"/>
      <c r="AW489" s="4"/>
      <c r="AX489" s="4"/>
      <c r="AY489" s="128"/>
      <c r="AZ489" s="4"/>
      <c r="BA489" s="4"/>
      <c r="BB489" s="4"/>
      <c r="BC489" s="4"/>
      <c r="BD489" s="4"/>
      <c r="BE489" s="4"/>
      <c r="BF489" s="4"/>
      <c r="BG489" s="4"/>
      <c r="BH489" s="4"/>
      <c r="BI489" s="567"/>
    </row>
    <row r="490" spans="1:61" ht="12.75" customHeight="1" x14ac:dyDescent="0.25">
      <c r="A490" s="4"/>
      <c r="B490" s="4"/>
      <c r="C490" s="4"/>
      <c r="D490" s="4"/>
      <c r="E490" s="128"/>
      <c r="F490" s="128"/>
      <c r="G490" s="753"/>
      <c r="H490" s="128"/>
      <c r="I490" s="128"/>
      <c r="J490" s="130"/>
      <c r="K490" s="128"/>
      <c r="L490" s="128"/>
      <c r="M490" s="130"/>
      <c r="N490" s="130"/>
      <c r="O490" s="130"/>
      <c r="P490" s="128"/>
      <c r="Q490" s="128"/>
      <c r="R490" s="128"/>
      <c r="S490" s="298"/>
      <c r="T490" s="4"/>
      <c r="U490" s="4"/>
      <c r="V490" s="4"/>
      <c r="W490" s="4"/>
      <c r="X490" s="4"/>
      <c r="Y490" s="128"/>
      <c r="Z490" s="128"/>
      <c r="AA490" s="128"/>
      <c r="AB490" s="4"/>
      <c r="AC490" s="4"/>
      <c r="AD490" s="4"/>
      <c r="AE490" s="4"/>
      <c r="AF490" s="4"/>
      <c r="AG490" s="4"/>
      <c r="AH490" s="4"/>
      <c r="AI490" s="4"/>
      <c r="AJ490" s="246"/>
      <c r="AK490" s="246"/>
      <c r="AL490" s="129"/>
      <c r="AM490" s="129"/>
      <c r="AN490" s="129"/>
      <c r="AO490" s="246"/>
      <c r="AP490" s="246"/>
      <c r="AQ490" s="249"/>
      <c r="AR490" s="4"/>
      <c r="AS490" s="4"/>
      <c r="AT490" s="4"/>
      <c r="AU490" s="4"/>
      <c r="AV490" s="4"/>
      <c r="AW490" s="4"/>
      <c r="AX490" s="4"/>
      <c r="AY490" s="128"/>
      <c r="AZ490" s="4"/>
      <c r="BA490" s="4"/>
      <c r="BB490" s="4"/>
      <c r="BC490" s="4"/>
      <c r="BD490" s="4"/>
      <c r="BE490" s="4"/>
      <c r="BF490" s="4"/>
      <c r="BG490" s="4"/>
      <c r="BH490" s="4"/>
      <c r="BI490" s="567"/>
    </row>
    <row r="491" spans="1:61" ht="12.75" customHeight="1" x14ac:dyDescent="0.25">
      <c r="A491" s="4"/>
      <c r="B491" s="4"/>
      <c r="C491" s="4"/>
      <c r="D491" s="4"/>
      <c r="E491" s="128"/>
      <c r="F491" s="128"/>
      <c r="G491" s="753"/>
      <c r="H491" s="128"/>
      <c r="I491" s="128"/>
      <c r="J491" s="130"/>
      <c r="K491" s="128"/>
      <c r="L491" s="128"/>
      <c r="M491" s="130"/>
      <c r="N491" s="130"/>
      <c r="O491" s="130"/>
      <c r="P491" s="128"/>
      <c r="Q491" s="128"/>
      <c r="R491" s="128"/>
      <c r="S491" s="298"/>
      <c r="T491" s="4"/>
      <c r="U491" s="4"/>
      <c r="V491" s="4"/>
      <c r="W491" s="4"/>
      <c r="X491" s="4"/>
      <c r="Y491" s="128"/>
      <c r="Z491" s="128"/>
      <c r="AA491" s="128"/>
      <c r="AB491" s="4"/>
      <c r="AC491" s="4"/>
      <c r="AD491" s="4"/>
      <c r="AE491" s="4"/>
      <c r="AF491" s="4"/>
      <c r="AG491" s="4"/>
      <c r="AH491" s="4"/>
      <c r="AI491" s="4"/>
      <c r="AJ491" s="246"/>
      <c r="AK491" s="246"/>
      <c r="AL491" s="129"/>
      <c r="AM491" s="129"/>
      <c r="AN491" s="129"/>
      <c r="AO491" s="246"/>
      <c r="AP491" s="246"/>
      <c r="AQ491" s="249"/>
      <c r="AR491" s="4"/>
      <c r="AS491" s="4"/>
      <c r="AT491" s="4"/>
      <c r="AU491" s="4"/>
      <c r="AV491" s="4"/>
      <c r="AW491" s="4"/>
      <c r="AX491" s="4"/>
      <c r="AY491" s="128"/>
      <c r="AZ491" s="4"/>
      <c r="BA491" s="4"/>
      <c r="BB491" s="4"/>
      <c r="BC491" s="4"/>
      <c r="BD491" s="4"/>
      <c r="BE491" s="4"/>
      <c r="BF491" s="4"/>
      <c r="BG491" s="4"/>
      <c r="BH491" s="4"/>
      <c r="BI491" s="567"/>
    </row>
    <row r="492" spans="1:61" ht="12.75" customHeight="1" x14ac:dyDescent="0.25">
      <c r="A492" s="4"/>
      <c r="B492" s="4"/>
      <c r="C492" s="4"/>
      <c r="D492" s="4"/>
      <c r="E492" s="128"/>
      <c r="F492" s="128"/>
      <c r="G492" s="753"/>
      <c r="H492" s="128"/>
      <c r="I492" s="128"/>
      <c r="J492" s="130"/>
      <c r="K492" s="128"/>
      <c r="L492" s="128"/>
      <c r="M492" s="130"/>
      <c r="N492" s="130"/>
      <c r="O492" s="130"/>
      <c r="P492" s="128"/>
      <c r="Q492" s="128"/>
      <c r="R492" s="128"/>
      <c r="S492" s="298"/>
      <c r="T492" s="4"/>
      <c r="U492" s="4"/>
      <c r="V492" s="4"/>
      <c r="W492" s="4"/>
      <c r="X492" s="4"/>
      <c r="Y492" s="128"/>
      <c r="Z492" s="128"/>
      <c r="AA492" s="128"/>
      <c r="AB492" s="4"/>
      <c r="AC492" s="4"/>
      <c r="AD492" s="4"/>
      <c r="AE492" s="4"/>
      <c r="AF492" s="4"/>
      <c r="AG492" s="4"/>
      <c r="AH492" s="4"/>
      <c r="AI492" s="4"/>
      <c r="AJ492" s="246"/>
      <c r="AK492" s="246"/>
      <c r="AL492" s="129"/>
      <c r="AM492" s="129"/>
      <c r="AN492" s="129"/>
      <c r="AO492" s="246"/>
      <c r="AP492" s="246"/>
      <c r="AQ492" s="249"/>
      <c r="AR492" s="4"/>
      <c r="AS492" s="4"/>
      <c r="AT492" s="4"/>
      <c r="AU492" s="4"/>
      <c r="AV492" s="4"/>
      <c r="AW492" s="4"/>
      <c r="AX492" s="4"/>
      <c r="AY492" s="128"/>
      <c r="AZ492" s="4"/>
      <c r="BA492" s="4"/>
      <c r="BB492" s="4"/>
      <c r="BC492" s="4"/>
      <c r="BD492" s="4"/>
      <c r="BE492" s="4"/>
      <c r="BF492" s="4"/>
      <c r="BG492" s="4"/>
      <c r="BH492" s="4"/>
      <c r="BI492" s="567"/>
    </row>
    <row r="493" spans="1:61" ht="12.75" customHeight="1" x14ac:dyDescent="0.25">
      <c r="A493" s="4"/>
      <c r="B493" s="4"/>
      <c r="C493" s="4"/>
      <c r="D493" s="4"/>
      <c r="E493" s="128"/>
      <c r="F493" s="128"/>
      <c r="G493" s="753"/>
      <c r="H493" s="128"/>
      <c r="I493" s="128"/>
      <c r="J493" s="130"/>
      <c r="K493" s="128"/>
      <c r="L493" s="128"/>
      <c r="M493" s="130"/>
      <c r="N493" s="130"/>
      <c r="O493" s="130"/>
      <c r="P493" s="128"/>
      <c r="Q493" s="128"/>
      <c r="R493" s="128"/>
      <c r="S493" s="298"/>
      <c r="T493" s="4"/>
      <c r="U493" s="4"/>
      <c r="V493" s="4"/>
      <c r="W493" s="4"/>
      <c r="X493" s="4"/>
      <c r="Y493" s="128"/>
      <c r="Z493" s="128"/>
      <c r="AA493" s="128"/>
      <c r="AB493" s="4"/>
      <c r="AC493" s="4"/>
      <c r="AD493" s="4"/>
      <c r="AE493" s="4"/>
      <c r="AF493" s="4"/>
      <c r="AG493" s="4"/>
      <c r="AH493" s="4"/>
      <c r="AI493" s="4"/>
      <c r="AJ493" s="246"/>
      <c r="AK493" s="246"/>
      <c r="AL493" s="129"/>
      <c r="AM493" s="129"/>
      <c r="AN493" s="129"/>
      <c r="AO493" s="246"/>
      <c r="AP493" s="246"/>
      <c r="AQ493" s="249"/>
      <c r="AR493" s="4"/>
      <c r="AS493" s="4"/>
      <c r="AT493" s="4"/>
      <c r="AU493" s="4"/>
      <c r="AV493" s="4"/>
      <c r="AW493" s="4"/>
      <c r="AX493" s="4"/>
      <c r="AY493" s="128"/>
      <c r="AZ493" s="4"/>
      <c r="BA493" s="4"/>
      <c r="BB493" s="4"/>
      <c r="BC493" s="4"/>
      <c r="BD493" s="4"/>
      <c r="BE493" s="4"/>
      <c r="BF493" s="4"/>
      <c r="BG493" s="4"/>
      <c r="BH493" s="4"/>
      <c r="BI493" s="567"/>
    </row>
    <row r="494" spans="1:61" ht="12.75" customHeight="1" x14ac:dyDescent="0.25">
      <c r="A494" s="4"/>
      <c r="B494" s="4"/>
      <c r="C494" s="4"/>
      <c r="D494" s="4"/>
      <c r="E494" s="128"/>
      <c r="F494" s="128"/>
      <c r="G494" s="753"/>
      <c r="H494" s="128"/>
      <c r="I494" s="128"/>
      <c r="J494" s="130"/>
      <c r="K494" s="128"/>
      <c r="L494" s="128"/>
      <c r="M494" s="130"/>
      <c r="N494" s="130"/>
      <c r="O494" s="130"/>
      <c r="P494" s="128"/>
      <c r="Q494" s="128"/>
      <c r="R494" s="128"/>
      <c r="S494" s="298"/>
      <c r="T494" s="4"/>
      <c r="U494" s="4"/>
      <c r="V494" s="4"/>
      <c r="W494" s="4"/>
      <c r="X494" s="4"/>
      <c r="Y494" s="128"/>
      <c r="Z494" s="128"/>
      <c r="AA494" s="128"/>
      <c r="AB494" s="4"/>
      <c r="AC494" s="4"/>
      <c r="AD494" s="4"/>
      <c r="AE494" s="4"/>
      <c r="AF494" s="4"/>
      <c r="AG494" s="4"/>
      <c r="AH494" s="4"/>
      <c r="AI494" s="4"/>
      <c r="AJ494" s="246"/>
      <c r="AK494" s="246"/>
      <c r="AL494" s="129"/>
      <c r="AM494" s="129"/>
      <c r="AN494" s="129"/>
      <c r="AO494" s="246"/>
      <c r="AP494" s="246"/>
      <c r="AQ494" s="249"/>
      <c r="AR494" s="4"/>
      <c r="AS494" s="4"/>
      <c r="AT494" s="4"/>
      <c r="AU494" s="4"/>
      <c r="AV494" s="4"/>
      <c r="AW494" s="4"/>
      <c r="AX494" s="4"/>
      <c r="AY494" s="128"/>
      <c r="AZ494" s="4"/>
      <c r="BA494" s="4"/>
      <c r="BB494" s="4"/>
      <c r="BC494" s="4"/>
      <c r="BD494" s="4"/>
      <c r="BE494" s="4"/>
      <c r="BF494" s="4"/>
      <c r="BG494" s="4"/>
      <c r="BH494" s="4"/>
      <c r="BI494" s="567"/>
    </row>
    <row r="495" spans="1:61" ht="12.75" customHeight="1" x14ac:dyDescent="0.25">
      <c r="A495" s="4"/>
      <c r="B495" s="4"/>
      <c r="C495" s="4"/>
      <c r="D495" s="4"/>
      <c r="E495" s="128"/>
      <c r="F495" s="128"/>
      <c r="G495" s="753"/>
      <c r="H495" s="128"/>
      <c r="I495" s="128"/>
      <c r="J495" s="130"/>
      <c r="K495" s="128"/>
      <c r="L495" s="128"/>
      <c r="M495" s="130"/>
      <c r="N495" s="130"/>
      <c r="O495" s="130"/>
      <c r="P495" s="128"/>
      <c r="Q495" s="128"/>
      <c r="R495" s="128"/>
      <c r="S495" s="298"/>
      <c r="T495" s="4"/>
      <c r="U495" s="4"/>
      <c r="V495" s="4"/>
      <c r="W495" s="4"/>
      <c r="X495" s="4"/>
      <c r="Y495" s="128"/>
      <c r="Z495" s="128"/>
      <c r="AA495" s="128"/>
      <c r="AB495" s="4"/>
      <c r="AC495" s="4"/>
      <c r="AD495" s="4"/>
      <c r="AE495" s="4"/>
      <c r="AF495" s="4"/>
      <c r="AG495" s="4"/>
      <c r="AH495" s="4"/>
      <c r="AI495" s="4"/>
      <c r="AJ495" s="246"/>
      <c r="AK495" s="246"/>
      <c r="AL495" s="129"/>
      <c r="AM495" s="129"/>
      <c r="AN495" s="129"/>
      <c r="AO495" s="246"/>
      <c r="AP495" s="246"/>
      <c r="AQ495" s="249"/>
      <c r="AR495" s="4"/>
      <c r="AS495" s="4"/>
      <c r="AT495" s="4"/>
      <c r="AU495" s="4"/>
      <c r="AV495" s="4"/>
      <c r="AW495" s="4"/>
      <c r="AX495" s="4"/>
      <c r="AY495" s="128"/>
      <c r="AZ495" s="4"/>
      <c r="BA495" s="4"/>
      <c r="BB495" s="4"/>
      <c r="BC495" s="4"/>
      <c r="BD495" s="4"/>
      <c r="BE495" s="4"/>
      <c r="BF495" s="4"/>
      <c r="BG495" s="4"/>
      <c r="BH495" s="4"/>
      <c r="BI495" s="567"/>
    </row>
    <row r="496" spans="1:61" ht="12.75" customHeight="1" x14ac:dyDescent="0.25">
      <c r="A496" s="4"/>
      <c r="B496" s="4"/>
      <c r="C496" s="4"/>
      <c r="D496" s="4"/>
      <c r="E496" s="128"/>
      <c r="F496" s="128"/>
      <c r="G496" s="753"/>
      <c r="H496" s="128"/>
      <c r="I496" s="128"/>
      <c r="J496" s="130"/>
      <c r="K496" s="128"/>
      <c r="L496" s="128"/>
      <c r="M496" s="130"/>
      <c r="N496" s="130"/>
      <c r="O496" s="130"/>
      <c r="P496" s="128"/>
      <c r="Q496" s="128"/>
      <c r="R496" s="128"/>
      <c r="S496" s="298"/>
      <c r="T496" s="4"/>
      <c r="U496" s="4"/>
      <c r="V496" s="4"/>
      <c r="W496" s="4"/>
      <c r="X496" s="4"/>
      <c r="Y496" s="128"/>
      <c r="Z496" s="128"/>
      <c r="AA496" s="128"/>
      <c r="AB496" s="4"/>
      <c r="AC496" s="4"/>
      <c r="AD496" s="4"/>
      <c r="AE496" s="4"/>
      <c r="AF496" s="4"/>
      <c r="AG496" s="4"/>
      <c r="AH496" s="4"/>
      <c r="AI496" s="4"/>
      <c r="AJ496" s="246"/>
      <c r="AK496" s="246"/>
      <c r="AL496" s="129"/>
      <c r="AM496" s="129"/>
      <c r="AN496" s="129"/>
      <c r="AO496" s="246"/>
      <c r="AP496" s="246"/>
      <c r="AQ496" s="249"/>
      <c r="AR496" s="4"/>
      <c r="AS496" s="4"/>
      <c r="AT496" s="4"/>
      <c r="AU496" s="4"/>
      <c r="AV496" s="4"/>
      <c r="AW496" s="4"/>
      <c r="AX496" s="4"/>
      <c r="AY496" s="128"/>
      <c r="AZ496" s="4"/>
      <c r="BA496" s="4"/>
      <c r="BB496" s="4"/>
      <c r="BC496" s="4"/>
      <c r="BD496" s="4"/>
      <c r="BE496" s="4"/>
      <c r="BF496" s="4"/>
      <c r="BG496" s="4"/>
      <c r="BH496" s="4"/>
      <c r="BI496" s="567"/>
    </row>
    <row r="497" spans="1:61" ht="12.75" customHeight="1" x14ac:dyDescent="0.25">
      <c r="A497" s="4"/>
      <c r="B497" s="4"/>
      <c r="C497" s="4"/>
      <c r="D497" s="4"/>
      <c r="E497" s="128"/>
      <c r="F497" s="128"/>
      <c r="G497" s="753"/>
      <c r="H497" s="128"/>
      <c r="I497" s="128"/>
      <c r="J497" s="130"/>
      <c r="K497" s="128"/>
      <c r="L497" s="128"/>
      <c r="M497" s="130"/>
      <c r="N497" s="130"/>
      <c r="O497" s="130"/>
      <c r="P497" s="128"/>
      <c r="Q497" s="128"/>
      <c r="R497" s="128"/>
      <c r="S497" s="298"/>
      <c r="T497" s="4"/>
      <c r="U497" s="4"/>
      <c r="V497" s="4"/>
      <c r="W497" s="4"/>
      <c r="X497" s="4"/>
      <c r="Y497" s="128"/>
      <c r="Z497" s="128"/>
      <c r="AA497" s="128"/>
      <c r="AB497" s="4"/>
      <c r="AC497" s="4"/>
      <c r="AD497" s="4"/>
      <c r="AE497" s="4"/>
      <c r="AF497" s="4"/>
      <c r="AG497" s="4"/>
      <c r="AH497" s="4"/>
      <c r="AI497" s="4"/>
      <c r="AJ497" s="246"/>
      <c r="AK497" s="246"/>
      <c r="AL497" s="129"/>
      <c r="AM497" s="129"/>
      <c r="AN497" s="129"/>
      <c r="AO497" s="246"/>
      <c r="AP497" s="246"/>
      <c r="AQ497" s="249"/>
      <c r="AR497" s="4"/>
      <c r="AS497" s="4"/>
      <c r="AT497" s="4"/>
      <c r="AU497" s="4"/>
      <c r="AV497" s="4"/>
      <c r="AW497" s="4"/>
      <c r="AX497" s="4"/>
      <c r="AY497" s="128"/>
      <c r="AZ497" s="4"/>
      <c r="BA497" s="4"/>
      <c r="BB497" s="4"/>
      <c r="BC497" s="4"/>
      <c r="BD497" s="4"/>
      <c r="BE497" s="4"/>
      <c r="BF497" s="4"/>
      <c r="BG497" s="4"/>
      <c r="BH497" s="4"/>
      <c r="BI497" s="567"/>
    </row>
    <row r="498" spans="1:61" ht="12.75" customHeight="1" x14ac:dyDescent="0.25">
      <c r="A498" s="4"/>
      <c r="B498" s="4"/>
      <c r="C498" s="4"/>
      <c r="D498" s="4"/>
      <c r="E498" s="128"/>
      <c r="F498" s="128"/>
      <c r="G498" s="753"/>
      <c r="H498" s="128"/>
      <c r="I498" s="128"/>
      <c r="J498" s="130"/>
      <c r="K498" s="128"/>
      <c r="L498" s="128"/>
      <c r="M498" s="130"/>
      <c r="N498" s="130"/>
      <c r="O498" s="130"/>
      <c r="P498" s="128"/>
      <c r="Q498" s="128"/>
      <c r="R498" s="128"/>
      <c r="S498" s="298"/>
      <c r="T498" s="4"/>
      <c r="U498" s="4"/>
      <c r="V498" s="4"/>
      <c r="W498" s="4"/>
      <c r="X498" s="4"/>
      <c r="Y498" s="128"/>
      <c r="Z498" s="128"/>
      <c r="AA498" s="128"/>
      <c r="AB498" s="4"/>
      <c r="AC498" s="4"/>
      <c r="AD498" s="4"/>
      <c r="AE498" s="4"/>
      <c r="AF498" s="4"/>
      <c r="AG498" s="4"/>
      <c r="AH498" s="4"/>
      <c r="AI498" s="4"/>
      <c r="AJ498" s="246"/>
      <c r="AK498" s="246"/>
      <c r="AL498" s="129"/>
      <c r="AM498" s="129"/>
      <c r="AN498" s="129"/>
      <c r="AO498" s="246"/>
      <c r="AP498" s="246"/>
      <c r="AQ498" s="249"/>
      <c r="AR498" s="4"/>
      <c r="AS498" s="4"/>
      <c r="AT498" s="4"/>
      <c r="AU498" s="4"/>
      <c r="AV498" s="4"/>
      <c r="AW498" s="4"/>
      <c r="AX498" s="4"/>
      <c r="AY498" s="128"/>
      <c r="AZ498" s="4"/>
      <c r="BA498" s="4"/>
      <c r="BB498" s="4"/>
      <c r="BC498" s="4"/>
      <c r="BD498" s="4"/>
      <c r="BE498" s="4"/>
      <c r="BF498" s="4"/>
      <c r="BG498" s="4"/>
      <c r="BH498" s="4"/>
      <c r="BI498" s="567"/>
    </row>
    <row r="499" spans="1:61" ht="12.75" customHeight="1" x14ac:dyDescent="0.25">
      <c r="A499" s="4"/>
      <c r="B499" s="4"/>
      <c r="C499" s="4"/>
      <c r="D499" s="4"/>
      <c r="E499" s="128"/>
      <c r="F499" s="128"/>
      <c r="G499" s="753"/>
      <c r="H499" s="128"/>
      <c r="I499" s="128"/>
      <c r="J499" s="130"/>
      <c r="K499" s="128"/>
      <c r="L499" s="128"/>
      <c r="M499" s="130"/>
      <c r="N499" s="130"/>
      <c r="O499" s="130"/>
      <c r="P499" s="128"/>
      <c r="Q499" s="128"/>
      <c r="R499" s="128"/>
      <c r="S499" s="298"/>
      <c r="T499" s="4"/>
      <c r="U499" s="4"/>
      <c r="V499" s="4"/>
      <c r="W499" s="4"/>
      <c r="X499" s="4"/>
      <c r="Y499" s="128"/>
      <c r="Z499" s="128"/>
      <c r="AA499" s="128"/>
      <c r="AB499" s="4"/>
      <c r="AC499" s="4"/>
      <c r="AD499" s="4"/>
      <c r="AE499" s="4"/>
      <c r="AF499" s="4"/>
      <c r="AG499" s="4"/>
      <c r="AH499" s="4"/>
      <c r="AI499" s="4"/>
      <c r="AJ499" s="246"/>
      <c r="AK499" s="246"/>
      <c r="AL499" s="129"/>
      <c r="AM499" s="129"/>
      <c r="AN499" s="129"/>
      <c r="AO499" s="246"/>
      <c r="AP499" s="246"/>
      <c r="AQ499" s="249"/>
      <c r="AR499" s="4"/>
      <c r="AS499" s="4"/>
      <c r="AT499" s="4"/>
      <c r="AU499" s="4"/>
      <c r="AV499" s="4"/>
      <c r="AW499" s="4"/>
      <c r="AX499" s="4"/>
      <c r="AY499" s="128"/>
      <c r="AZ499" s="4"/>
      <c r="BA499" s="4"/>
      <c r="BB499" s="4"/>
      <c r="BC499" s="4"/>
      <c r="BD499" s="4"/>
      <c r="BE499" s="4"/>
      <c r="BF499" s="4"/>
      <c r="BG499" s="4"/>
      <c r="BH499" s="4"/>
      <c r="BI499" s="567"/>
    </row>
    <row r="500" spans="1:61" ht="12.75" customHeight="1" x14ac:dyDescent="0.25">
      <c r="A500" s="4"/>
      <c r="B500" s="4"/>
      <c r="C500" s="4"/>
      <c r="D500" s="4"/>
      <c r="E500" s="128"/>
      <c r="F500" s="128"/>
      <c r="G500" s="753"/>
      <c r="H500" s="128"/>
      <c r="I500" s="128"/>
      <c r="J500" s="130"/>
      <c r="K500" s="128"/>
      <c r="L500" s="128"/>
      <c r="M500" s="130"/>
      <c r="N500" s="130"/>
      <c r="O500" s="130"/>
      <c r="P500" s="128"/>
      <c r="Q500" s="128"/>
      <c r="R500" s="128"/>
      <c r="S500" s="298"/>
      <c r="T500" s="4"/>
      <c r="U500" s="4"/>
      <c r="V500" s="4"/>
      <c r="W500" s="4"/>
      <c r="X500" s="4"/>
      <c r="Y500" s="128"/>
      <c r="Z500" s="128"/>
      <c r="AA500" s="128"/>
      <c r="AB500" s="4"/>
      <c r="AC500" s="4"/>
      <c r="AD500" s="4"/>
      <c r="AE500" s="4"/>
      <c r="AF500" s="4"/>
      <c r="AG500" s="4"/>
      <c r="AH500" s="4"/>
      <c r="AI500" s="4"/>
      <c r="AJ500" s="246"/>
      <c r="AK500" s="246"/>
      <c r="AL500" s="129"/>
      <c r="AM500" s="129"/>
      <c r="AN500" s="129"/>
      <c r="AO500" s="246"/>
      <c r="AP500" s="246"/>
      <c r="AQ500" s="249"/>
      <c r="AR500" s="4"/>
      <c r="AS500" s="4"/>
      <c r="AT500" s="4"/>
      <c r="AU500" s="4"/>
      <c r="AV500" s="4"/>
      <c r="AW500" s="4"/>
      <c r="AX500" s="4"/>
      <c r="AY500" s="128"/>
      <c r="AZ500" s="4"/>
      <c r="BA500" s="4"/>
      <c r="BB500" s="4"/>
      <c r="BC500" s="4"/>
      <c r="BD500" s="4"/>
      <c r="BE500" s="4"/>
      <c r="BF500" s="4"/>
      <c r="BG500" s="4"/>
      <c r="BH500" s="4"/>
      <c r="BI500" s="567"/>
    </row>
    <row r="501" spans="1:61" ht="12.75" customHeight="1" x14ac:dyDescent="0.25">
      <c r="A501" s="4"/>
      <c r="B501" s="4"/>
      <c r="C501" s="4"/>
      <c r="D501" s="4"/>
      <c r="E501" s="128"/>
      <c r="F501" s="128"/>
      <c r="G501" s="753"/>
      <c r="H501" s="128"/>
      <c r="I501" s="128"/>
      <c r="J501" s="130"/>
      <c r="K501" s="128"/>
      <c r="L501" s="128"/>
      <c r="M501" s="130"/>
      <c r="N501" s="130"/>
      <c r="O501" s="130"/>
      <c r="P501" s="128"/>
      <c r="Q501" s="128"/>
      <c r="R501" s="128"/>
      <c r="S501" s="298"/>
      <c r="T501" s="4"/>
      <c r="U501" s="4"/>
      <c r="V501" s="4"/>
      <c r="W501" s="4"/>
      <c r="X501" s="4"/>
      <c r="Y501" s="128"/>
      <c r="Z501" s="128"/>
      <c r="AA501" s="128"/>
      <c r="AB501" s="4"/>
      <c r="AC501" s="4"/>
      <c r="AD501" s="4"/>
      <c r="AE501" s="4"/>
      <c r="AF501" s="4"/>
      <c r="AG501" s="4"/>
      <c r="AH501" s="4"/>
      <c r="AI501" s="4"/>
      <c r="AJ501" s="246"/>
      <c r="AK501" s="246"/>
      <c r="AL501" s="129"/>
      <c r="AM501" s="129"/>
      <c r="AN501" s="129"/>
      <c r="AO501" s="246"/>
      <c r="AP501" s="246"/>
      <c r="AQ501" s="249"/>
      <c r="AR501" s="4"/>
      <c r="AS501" s="4"/>
      <c r="AT501" s="4"/>
      <c r="AU501" s="4"/>
      <c r="AV501" s="4"/>
      <c r="AW501" s="4"/>
      <c r="AX501" s="4"/>
      <c r="AY501" s="128"/>
      <c r="AZ501" s="4"/>
      <c r="BA501" s="4"/>
      <c r="BB501" s="4"/>
      <c r="BC501" s="4"/>
      <c r="BD501" s="4"/>
      <c r="BE501" s="4"/>
      <c r="BF501" s="4"/>
      <c r="BG501" s="4"/>
      <c r="BH501" s="4"/>
      <c r="BI501" s="567"/>
    </row>
    <row r="502" spans="1:61" ht="12.75" customHeight="1" x14ac:dyDescent="0.25">
      <c r="A502" s="4"/>
      <c r="B502" s="4"/>
      <c r="C502" s="4"/>
      <c r="D502" s="4"/>
      <c r="E502" s="128"/>
      <c r="F502" s="128"/>
      <c r="G502" s="753"/>
      <c r="H502" s="128"/>
      <c r="I502" s="128"/>
      <c r="J502" s="130"/>
      <c r="K502" s="128"/>
      <c r="L502" s="128"/>
      <c r="M502" s="130"/>
      <c r="N502" s="130"/>
      <c r="O502" s="130"/>
      <c r="P502" s="128"/>
      <c r="Q502" s="128"/>
      <c r="R502" s="128"/>
      <c r="S502" s="298"/>
      <c r="T502" s="4"/>
      <c r="U502" s="4"/>
      <c r="V502" s="4"/>
      <c r="W502" s="4"/>
      <c r="X502" s="4"/>
      <c r="Y502" s="128"/>
      <c r="Z502" s="128"/>
      <c r="AA502" s="128"/>
      <c r="AB502" s="4"/>
      <c r="AC502" s="4"/>
      <c r="AD502" s="4"/>
      <c r="AE502" s="4"/>
      <c r="AF502" s="4"/>
      <c r="AG502" s="4"/>
      <c r="AH502" s="4"/>
      <c r="AI502" s="4"/>
      <c r="AJ502" s="246"/>
      <c r="AK502" s="246"/>
      <c r="AL502" s="129"/>
      <c r="AM502" s="129"/>
      <c r="AN502" s="129"/>
      <c r="AO502" s="246"/>
      <c r="AP502" s="246"/>
      <c r="AQ502" s="249"/>
      <c r="AR502" s="4"/>
      <c r="AS502" s="4"/>
      <c r="AT502" s="4"/>
      <c r="AU502" s="4"/>
      <c r="AV502" s="4"/>
      <c r="AW502" s="4"/>
      <c r="AX502" s="4"/>
      <c r="AY502" s="128"/>
      <c r="AZ502" s="4"/>
      <c r="BA502" s="4"/>
      <c r="BB502" s="4"/>
      <c r="BC502" s="4"/>
      <c r="BD502" s="4"/>
      <c r="BE502" s="4"/>
      <c r="BF502" s="4"/>
      <c r="BG502" s="4"/>
      <c r="BH502" s="4"/>
      <c r="BI502" s="567"/>
    </row>
    <row r="503" spans="1:61" ht="12.75" customHeight="1" x14ac:dyDescent="0.25">
      <c r="A503" s="4"/>
      <c r="B503" s="4"/>
      <c r="C503" s="4"/>
      <c r="D503" s="4"/>
      <c r="E503" s="128"/>
      <c r="F503" s="128"/>
      <c r="G503" s="753"/>
      <c r="H503" s="128"/>
      <c r="I503" s="128"/>
      <c r="J503" s="130"/>
      <c r="K503" s="128"/>
      <c r="L503" s="128"/>
      <c r="M503" s="130"/>
      <c r="N503" s="130"/>
      <c r="O503" s="130"/>
      <c r="P503" s="128"/>
      <c r="Q503" s="128"/>
      <c r="R503" s="128"/>
      <c r="S503" s="298"/>
      <c r="T503" s="4"/>
      <c r="U503" s="4"/>
      <c r="V503" s="4"/>
      <c r="W503" s="4"/>
      <c r="X503" s="4"/>
      <c r="Y503" s="128"/>
      <c r="Z503" s="128"/>
      <c r="AA503" s="128"/>
      <c r="AB503" s="4"/>
      <c r="AC503" s="4"/>
      <c r="AD503" s="4"/>
      <c r="AE503" s="4"/>
      <c r="AF503" s="4"/>
      <c r="AG503" s="4"/>
      <c r="AH503" s="4"/>
      <c r="AI503" s="4"/>
      <c r="AJ503" s="246"/>
      <c r="AK503" s="246"/>
      <c r="AL503" s="129"/>
      <c r="AM503" s="129"/>
      <c r="AN503" s="129"/>
      <c r="AO503" s="246"/>
      <c r="AP503" s="246"/>
      <c r="AQ503" s="249"/>
      <c r="AR503" s="4"/>
      <c r="AS503" s="4"/>
      <c r="AT503" s="4"/>
      <c r="AU503" s="4"/>
      <c r="AV503" s="4"/>
      <c r="AW503" s="4"/>
      <c r="AX503" s="4"/>
      <c r="AY503" s="128"/>
      <c r="AZ503" s="4"/>
      <c r="BA503" s="4"/>
      <c r="BB503" s="4"/>
      <c r="BC503" s="4"/>
      <c r="BD503" s="4"/>
      <c r="BE503" s="4"/>
      <c r="BF503" s="4"/>
      <c r="BG503" s="4"/>
      <c r="BH503" s="4"/>
      <c r="BI503" s="567"/>
    </row>
    <row r="504" spans="1:61" ht="12.75" customHeight="1" x14ac:dyDescent="0.25">
      <c r="A504" s="4"/>
      <c r="B504" s="4"/>
      <c r="C504" s="4"/>
      <c r="D504" s="4"/>
      <c r="E504" s="128"/>
      <c r="F504" s="128"/>
      <c r="G504" s="753"/>
      <c r="H504" s="128"/>
      <c r="I504" s="128"/>
      <c r="J504" s="130"/>
      <c r="K504" s="128"/>
      <c r="L504" s="128"/>
      <c r="M504" s="130"/>
      <c r="N504" s="130"/>
      <c r="O504" s="130"/>
      <c r="P504" s="128"/>
      <c r="Q504" s="128"/>
      <c r="R504" s="128"/>
      <c r="S504" s="298"/>
      <c r="T504" s="4"/>
      <c r="U504" s="4"/>
      <c r="V504" s="4"/>
      <c r="W504" s="4"/>
      <c r="X504" s="4"/>
      <c r="Y504" s="128"/>
      <c r="Z504" s="128"/>
      <c r="AA504" s="128"/>
      <c r="AB504" s="4"/>
      <c r="AC504" s="4"/>
      <c r="AD504" s="4"/>
      <c r="AE504" s="4"/>
      <c r="AF504" s="4"/>
      <c r="AG504" s="4"/>
      <c r="AH504" s="4"/>
      <c r="AI504" s="4"/>
      <c r="AJ504" s="246"/>
      <c r="AK504" s="246"/>
      <c r="AL504" s="129"/>
      <c r="AM504" s="129"/>
      <c r="AN504" s="129"/>
      <c r="AO504" s="246"/>
      <c r="AP504" s="246"/>
      <c r="AQ504" s="249"/>
      <c r="AR504" s="4"/>
      <c r="AS504" s="4"/>
      <c r="AT504" s="4"/>
      <c r="AU504" s="4"/>
      <c r="AV504" s="4"/>
      <c r="AW504" s="4"/>
      <c r="AX504" s="4"/>
      <c r="AY504" s="128"/>
      <c r="AZ504" s="4"/>
      <c r="BA504" s="4"/>
      <c r="BB504" s="4"/>
      <c r="BC504" s="4"/>
      <c r="BD504" s="4"/>
      <c r="BE504" s="4"/>
      <c r="BF504" s="4"/>
      <c r="BG504" s="4"/>
      <c r="BH504" s="4"/>
      <c r="BI504" s="567"/>
    </row>
    <row r="505" spans="1:61" ht="12.75" customHeight="1" x14ac:dyDescent="0.25">
      <c r="A505" s="4"/>
      <c r="B505" s="4"/>
      <c r="C505" s="4"/>
      <c r="D505" s="4"/>
      <c r="E505" s="128"/>
      <c r="F505" s="128"/>
      <c r="G505" s="753"/>
      <c r="H505" s="128"/>
      <c r="I505" s="128"/>
      <c r="J505" s="130"/>
      <c r="K505" s="128"/>
      <c r="L505" s="128"/>
      <c r="M505" s="130"/>
      <c r="N505" s="130"/>
      <c r="O505" s="130"/>
      <c r="P505" s="128"/>
      <c r="Q505" s="128"/>
      <c r="R505" s="128"/>
      <c r="S505" s="298"/>
      <c r="T505" s="4"/>
      <c r="U505" s="4"/>
      <c r="V505" s="4"/>
      <c r="W505" s="4"/>
      <c r="X505" s="4"/>
      <c r="Y505" s="128"/>
      <c r="Z505" s="128"/>
      <c r="AA505" s="128"/>
      <c r="AB505" s="4"/>
      <c r="AC505" s="4"/>
      <c r="AD505" s="4"/>
      <c r="AE505" s="4"/>
      <c r="AF505" s="4"/>
      <c r="AG505" s="4"/>
      <c r="AH505" s="4"/>
      <c r="AI505" s="4"/>
      <c r="AJ505" s="246"/>
      <c r="AK505" s="246"/>
      <c r="AL505" s="129"/>
      <c r="AM505" s="129"/>
      <c r="AN505" s="129"/>
      <c r="AO505" s="246"/>
      <c r="AP505" s="246"/>
      <c r="AQ505" s="249"/>
      <c r="AR505" s="4"/>
      <c r="AS505" s="4"/>
      <c r="AT505" s="4"/>
      <c r="AU505" s="4"/>
      <c r="AV505" s="4"/>
      <c r="AW505" s="4"/>
      <c r="AX505" s="4"/>
      <c r="AY505" s="128"/>
      <c r="AZ505" s="4"/>
      <c r="BA505" s="4"/>
      <c r="BB505" s="4"/>
      <c r="BC505" s="4"/>
      <c r="BD505" s="4"/>
      <c r="BE505" s="4"/>
      <c r="BF505" s="4"/>
      <c r="BG505" s="4"/>
      <c r="BH505" s="4"/>
      <c r="BI505" s="567"/>
    </row>
    <row r="506" spans="1:61" ht="12.75" customHeight="1" x14ac:dyDescent="0.25">
      <c r="A506" s="4"/>
      <c r="B506" s="4"/>
      <c r="C506" s="4"/>
      <c r="D506" s="4"/>
      <c r="E506" s="128"/>
      <c r="F506" s="128"/>
      <c r="G506" s="753"/>
      <c r="H506" s="128"/>
      <c r="I506" s="128"/>
      <c r="J506" s="130"/>
      <c r="K506" s="128"/>
      <c r="L506" s="128"/>
      <c r="M506" s="130"/>
      <c r="N506" s="130"/>
      <c r="O506" s="130"/>
      <c r="P506" s="128"/>
      <c r="Q506" s="128"/>
      <c r="R506" s="128"/>
      <c r="S506" s="298"/>
      <c r="T506" s="4"/>
      <c r="U506" s="4"/>
      <c r="V506" s="4"/>
      <c r="W506" s="4"/>
      <c r="X506" s="4"/>
      <c r="Y506" s="128"/>
      <c r="Z506" s="128"/>
      <c r="AA506" s="128"/>
      <c r="AB506" s="4"/>
      <c r="AC506" s="4"/>
      <c r="AD506" s="4"/>
      <c r="AE506" s="4"/>
      <c r="AF506" s="4"/>
      <c r="AG506" s="4"/>
      <c r="AH506" s="4"/>
      <c r="AI506" s="4"/>
      <c r="AJ506" s="246"/>
      <c r="AK506" s="246"/>
      <c r="AL506" s="129"/>
      <c r="AM506" s="129"/>
      <c r="AN506" s="129"/>
      <c r="AO506" s="246"/>
      <c r="AP506" s="246"/>
      <c r="AQ506" s="249"/>
      <c r="AR506" s="4"/>
      <c r="AS506" s="4"/>
      <c r="AT506" s="4"/>
      <c r="AU506" s="4"/>
      <c r="AV506" s="4"/>
      <c r="AW506" s="4"/>
      <c r="AX506" s="4"/>
      <c r="AY506" s="128"/>
      <c r="AZ506" s="4"/>
      <c r="BA506" s="4"/>
      <c r="BB506" s="4"/>
      <c r="BC506" s="4"/>
      <c r="BD506" s="4"/>
      <c r="BE506" s="4"/>
      <c r="BF506" s="4"/>
      <c r="BG506" s="4"/>
      <c r="BH506" s="4"/>
      <c r="BI506" s="567"/>
    </row>
    <row r="507" spans="1:61" ht="12.75" customHeight="1" x14ac:dyDescent="0.25">
      <c r="A507" s="4"/>
      <c r="B507" s="4"/>
      <c r="C507" s="4"/>
      <c r="D507" s="4"/>
      <c r="E507" s="128"/>
      <c r="F507" s="128"/>
      <c r="G507" s="753"/>
      <c r="H507" s="128"/>
      <c r="I507" s="128"/>
      <c r="J507" s="130"/>
      <c r="K507" s="128"/>
      <c r="L507" s="128"/>
      <c r="M507" s="130"/>
      <c r="N507" s="130"/>
      <c r="O507" s="130"/>
      <c r="P507" s="128"/>
      <c r="Q507" s="128"/>
      <c r="R507" s="128"/>
      <c r="S507" s="298"/>
      <c r="T507" s="4"/>
      <c r="U507" s="4"/>
      <c r="V507" s="4"/>
      <c r="W507" s="4"/>
      <c r="X507" s="4"/>
      <c r="Y507" s="128"/>
      <c r="Z507" s="128"/>
      <c r="AA507" s="128"/>
      <c r="AB507" s="4"/>
      <c r="AC507" s="4"/>
      <c r="AD507" s="4"/>
      <c r="AE507" s="4"/>
      <c r="AF507" s="4"/>
      <c r="AG507" s="4"/>
      <c r="AH507" s="4"/>
      <c r="AI507" s="4"/>
      <c r="AJ507" s="246"/>
      <c r="AK507" s="246"/>
      <c r="AL507" s="129"/>
      <c r="AM507" s="129"/>
      <c r="AN507" s="129"/>
      <c r="AO507" s="246"/>
      <c r="AP507" s="246"/>
      <c r="AQ507" s="249"/>
      <c r="AR507" s="4"/>
      <c r="AS507" s="4"/>
      <c r="AT507" s="4"/>
      <c r="AU507" s="4"/>
      <c r="AV507" s="4"/>
      <c r="AW507" s="4"/>
      <c r="AX507" s="4"/>
      <c r="AY507" s="128"/>
      <c r="AZ507" s="4"/>
      <c r="BA507" s="4"/>
      <c r="BB507" s="4"/>
      <c r="BC507" s="4"/>
      <c r="BD507" s="4"/>
      <c r="BE507" s="4"/>
      <c r="BF507" s="4"/>
      <c r="BG507" s="4"/>
      <c r="BH507" s="4"/>
      <c r="BI507" s="567"/>
    </row>
    <row r="508" spans="1:61" ht="12.75" customHeight="1" x14ac:dyDescent="0.25">
      <c r="A508" s="4"/>
      <c r="B508" s="4"/>
      <c r="C508" s="4"/>
      <c r="D508" s="4"/>
      <c r="E508" s="128"/>
      <c r="F508" s="128"/>
      <c r="G508" s="753"/>
      <c r="H508" s="128"/>
      <c r="I508" s="128"/>
      <c r="J508" s="130"/>
      <c r="K508" s="128"/>
      <c r="L508" s="128"/>
      <c r="M508" s="130"/>
      <c r="N508" s="130"/>
      <c r="O508" s="130"/>
      <c r="P508" s="128"/>
      <c r="Q508" s="128"/>
      <c r="R508" s="128"/>
      <c r="S508" s="298"/>
      <c r="T508" s="4"/>
      <c r="U508" s="4"/>
      <c r="V508" s="4"/>
      <c r="W508" s="4"/>
      <c r="X508" s="4"/>
      <c r="Y508" s="128"/>
      <c r="Z508" s="128"/>
      <c r="AA508" s="128"/>
      <c r="AB508" s="4"/>
      <c r="AC508" s="4"/>
      <c r="AD508" s="4"/>
      <c r="AE508" s="4"/>
      <c r="AF508" s="4"/>
      <c r="AG508" s="4"/>
      <c r="AH508" s="4"/>
      <c r="AI508" s="4"/>
      <c r="AJ508" s="246"/>
      <c r="AK508" s="246"/>
      <c r="AL508" s="129"/>
      <c r="AM508" s="129"/>
      <c r="AN508" s="129"/>
      <c r="AO508" s="246"/>
      <c r="AP508" s="246"/>
      <c r="AQ508" s="249"/>
      <c r="AR508" s="4"/>
      <c r="AS508" s="4"/>
      <c r="AT508" s="4"/>
      <c r="AU508" s="4"/>
      <c r="AV508" s="4"/>
      <c r="AW508" s="4"/>
      <c r="AX508" s="4"/>
      <c r="AY508" s="128"/>
      <c r="AZ508" s="4"/>
      <c r="BA508" s="4"/>
      <c r="BB508" s="4"/>
      <c r="BC508" s="4"/>
      <c r="BD508" s="4"/>
      <c r="BE508" s="4"/>
      <c r="BF508" s="4"/>
      <c r="BG508" s="4"/>
      <c r="BH508" s="4"/>
      <c r="BI508" s="567"/>
    </row>
    <row r="509" spans="1:61" ht="12.75" customHeight="1" x14ac:dyDescent="0.25">
      <c r="A509" s="4"/>
      <c r="B509" s="4"/>
      <c r="C509" s="4"/>
      <c r="D509" s="4"/>
      <c r="E509" s="128"/>
      <c r="F509" s="128"/>
      <c r="G509" s="753"/>
      <c r="H509" s="128"/>
      <c r="I509" s="128"/>
      <c r="J509" s="130"/>
      <c r="K509" s="128"/>
      <c r="L509" s="128"/>
      <c r="M509" s="130"/>
      <c r="N509" s="130"/>
      <c r="O509" s="130"/>
      <c r="P509" s="128"/>
      <c r="Q509" s="128"/>
      <c r="R509" s="128"/>
      <c r="S509" s="298"/>
      <c r="T509" s="4"/>
      <c r="U509" s="4"/>
      <c r="V509" s="4"/>
      <c r="W509" s="4"/>
      <c r="X509" s="4"/>
      <c r="Y509" s="128"/>
      <c r="Z509" s="128"/>
      <c r="AA509" s="128"/>
      <c r="AB509" s="4"/>
      <c r="AC509" s="4"/>
      <c r="AD509" s="4"/>
      <c r="AE509" s="4"/>
      <c r="AF509" s="4"/>
      <c r="AG509" s="4"/>
      <c r="AH509" s="4"/>
      <c r="AI509" s="4"/>
      <c r="AJ509" s="246"/>
      <c r="AK509" s="246"/>
      <c r="AL509" s="129"/>
      <c r="AM509" s="129"/>
      <c r="AN509" s="129"/>
      <c r="AO509" s="246"/>
      <c r="AP509" s="246"/>
      <c r="AQ509" s="249"/>
      <c r="AR509" s="4"/>
      <c r="AS509" s="4"/>
      <c r="AT509" s="4"/>
      <c r="AU509" s="4"/>
      <c r="AV509" s="4"/>
      <c r="AW509" s="4"/>
      <c r="AX509" s="4"/>
      <c r="AY509" s="128"/>
      <c r="AZ509" s="4"/>
      <c r="BA509" s="4"/>
      <c r="BB509" s="4"/>
      <c r="BC509" s="4"/>
      <c r="BD509" s="4"/>
      <c r="BE509" s="4"/>
      <c r="BF509" s="4"/>
      <c r="BG509" s="4"/>
      <c r="BH509" s="4"/>
      <c r="BI509" s="567"/>
    </row>
    <row r="510" spans="1:61" ht="12.75" customHeight="1" x14ac:dyDescent="0.25">
      <c r="A510" s="4"/>
      <c r="B510" s="4"/>
      <c r="C510" s="4"/>
      <c r="D510" s="4"/>
      <c r="E510" s="128"/>
      <c r="F510" s="128"/>
      <c r="G510" s="753"/>
      <c r="H510" s="128"/>
      <c r="I510" s="128"/>
      <c r="J510" s="130"/>
      <c r="K510" s="128"/>
      <c r="L510" s="128"/>
      <c r="M510" s="130"/>
      <c r="N510" s="130"/>
      <c r="O510" s="130"/>
      <c r="P510" s="128"/>
      <c r="Q510" s="128"/>
      <c r="R510" s="128"/>
      <c r="S510" s="298"/>
      <c r="T510" s="4"/>
      <c r="U510" s="4"/>
      <c r="V510" s="4"/>
      <c r="W510" s="4"/>
      <c r="X510" s="4"/>
      <c r="Y510" s="128"/>
      <c r="Z510" s="128"/>
      <c r="AA510" s="128"/>
      <c r="AB510" s="4"/>
      <c r="AC510" s="4"/>
      <c r="AD510" s="4"/>
      <c r="AE510" s="4"/>
      <c r="AF510" s="4"/>
      <c r="AG510" s="4"/>
      <c r="AH510" s="4"/>
      <c r="AI510" s="4"/>
      <c r="AJ510" s="246"/>
      <c r="AK510" s="246"/>
      <c r="AL510" s="129"/>
      <c r="AM510" s="129"/>
      <c r="AN510" s="129"/>
      <c r="AO510" s="246"/>
      <c r="AP510" s="246"/>
      <c r="AQ510" s="249"/>
      <c r="AR510" s="4"/>
      <c r="AS510" s="4"/>
      <c r="AT510" s="4"/>
      <c r="AU510" s="4"/>
      <c r="AV510" s="4"/>
      <c r="AW510" s="4"/>
      <c r="AX510" s="4"/>
      <c r="AY510" s="128"/>
      <c r="AZ510" s="4"/>
      <c r="BA510" s="4"/>
      <c r="BB510" s="4"/>
      <c r="BC510" s="4"/>
      <c r="BD510" s="4"/>
      <c r="BE510" s="4"/>
      <c r="BF510" s="4"/>
      <c r="BG510" s="4"/>
      <c r="BH510" s="4"/>
      <c r="BI510" s="567"/>
    </row>
    <row r="511" spans="1:61" ht="12.75" customHeight="1" x14ac:dyDescent="0.25">
      <c r="A511" s="4"/>
      <c r="B511" s="4"/>
      <c r="C511" s="4"/>
      <c r="D511" s="4"/>
      <c r="E511" s="128"/>
      <c r="F511" s="128"/>
      <c r="G511" s="753"/>
      <c r="H511" s="128"/>
      <c r="I511" s="128"/>
      <c r="J511" s="130"/>
      <c r="K511" s="128"/>
      <c r="L511" s="128"/>
      <c r="M511" s="130"/>
      <c r="N511" s="130"/>
      <c r="O511" s="130"/>
      <c r="P511" s="128"/>
      <c r="Q511" s="128"/>
      <c r="R511" s="128"/>
      <c r="S511" s="298"/>
      <c r="T511" s="4"/>
      <c r="U511" s="4"/>
      <c r="V511" s="4"/>
      <c r="W511" s="4"/>
      <c r="X511" s="4"/>
      <c r="Y511" s="128"/>
      <c r="Z511" s="128"/>
      <c r="AA511" s="128"/>
      <c r="AB511" s="4"/>
      <c r="AC511" s="4"/>
      <c r="AD511" s="4"/>
      <c r="AE511" s="4"/>
      <c r="AF511" s="4"/>
      <c r="AG511" s="4"/>
      <c r="AH511" s="4"/>
      <c r="AI511" s="4"/>
      <c r="AJ511" s="246"/>
      <c r="AK511" s="246"/>
      <c r="AL511" s="129"/>
      <c r="AM511" s="129"/>
      <c r="AN511" s="129"/>
      <c r="AO511" s="246"/>
      <c r="AP511" s="246"/>
      <c r="AQ511" s="249"/>
      <c r="AR511" s="4"/>
      <c r="AS511" s="4"/>
      <c r="AT511" s="4"/>
      <c r="AU511" s="4"/>
      <c r="AV511" s="4"/>
      <c r="AW511" s="4"/>
      <c r="AX511" s="4"/>
      <c r="AY511" s="128"/>
      <c r="AZ511" s="4"/>
      <c r="BA511" s="4"/>
      <c r="BB511" s="4"/>
      <c r="BC511" s="4"/>
      <c r="BD511" s="4"/>
      <c r="BE511" s="4"/>
      <c r="BF511" s="4"/>
      <c r="BG511" s="4"/>
      <c r="BH511" s="4"/>
      <c r="BI511" s="567"/>
    </row>
    <row r="512" spans="1:61" ht="12.75" customHeight="1" x14ac:dyDescent="0.25">
      <c r="A512" s="4"/>
      <c r="B512" s="4"/>
      <c r="C512" s="4"/>
      <c r="D512" s="4"/>
      <c r="E512" s="128"/>
      <c r="F512" s="128"/>
      <c r="G512" s="753"/>
      <c r="H512" s="128"/>
      <c r="I512" s="128"/>
      <c r="J512" s="130"/>
      <c r="K512" s="128"/>
      <c r="L512" s="128"/>
      <c r="M512" s="130"/>
      <c r="N512" s="130"/>
      <c r="O512" s="130"/>
      <c r="P512" s="128"/>
      <c r="Q512" s="128"/>
      <c r="R512" s="128"/>
      <c r="S512" s="298"/>
      <c r="T512" s="4"/>
      <c r="U512" s="4"/>
      <c r="V512" s="4"/>
      <c r="W512" s="4"/>
      <c r="X512" s="4"/>
      <c r="Y512" s="128"/>
      <c r="Z512" s="128"/>
      <c r="AA512" s="128"/>
      <c r="AB512" s="4"/>
      <c r="AC512" s="4"/>
      <c r="AD512" s="4"/>
      <c r="AE512" s="4"/>
      <c r="AF512" s="4"/>
      <c r="AG512" s="4"/>
      <c r="AH512" s="4"/>
      <c r="AI512" s="4"/>
      <c r="AJ512" s="246"/>
      <c r="AK512" s="246"/>
      <c r="AL512" s="129"/>
      <c r="AM512" s="129"/>
      <c r="AN512" s="129"/>
      <c r="AO512" s="246"/>
      <c r="AP512" s="246"/>
      <c r="AQ512" s="249"/>
      <c r="AR512" s="4"/>
      <c r="AS512" s="4"/>
      <c r="AT512" s="4"/>
      <c r="AU512" s="4"/>
      <c r="AV512" s="4"/>
      <c r="AW512" s="4"/>
      <c r="AX512" s="4"/>
      <c r="AY512" s="128"/>
      <c r="AZ512" s="4"/>
      <c r="BA512" s="4"/>
      <c r="BB512" s="4"/>
      <c r="BC512" s="4"/>
      <c r="BD512" s="4"/>
      <c r="BE512" s="4"/>
      <c r="BF512" s="4"/>
      <c r="BG512" s="4"/>
      <c r="BH512" s="4"/>
      <c r="BI512" s="567"/>
    </row>
    <row r="513" spans="1:61" ht="12.75" customHeight="1" x14ac:dyDescent="0.25">
      <c r="A513" s="4"/>
      <c r="B513" s="4"/>
      <c r="C513" s="4"/>
      <c r="D513" s="4"/>
      <c r="E513" s="128"/>
      <c r="F513" s="128"/>
      <c r="G513" s="753"/>
      <c r="H513" s="128"/>
      <c r="I513" s="128"/>
      <c r="J513" s="130"/>
      <c r="K513" s="128"/>
      <c r="L513" s="128"/>
      <c r="M513" s="130"/>
      <c r="N513" s="130"/>
      <c r="O513" s="130"/>
      <c r="P513" s="128"/>
      <c r="Q513" s="128"/>
      <c r="R513" s="128"/>
      <c r="S513" s="298"/>
      <c r="T513" s="4"/>
      <c r="U513" s="4"/>
      <c r="V513" s="4"/>
      <c r="W513" s="4"/>
      <c r="X513" s="4"/>
      <c r="Y513" s="128"/>
      <c r="Z513" s="128"/>
      <c r="AA513" s="128"/>
      <c r="AB513" s="4"/>
      <c r="AC513" s="4"/>
      <c r="AD513" s="4"/>
      <c r="AE513" s="4"/>
      <c r="AF513" s="4"/>
      <c r="AG513" s="4"/>
      <c r="AH513" s="4"/>
      <c r="AI513" s="4"/>
      <c r="AJ513" s="246"/>
      <c r="AK513" s="246"/>
      <c r="AL513" s="129"/>
      <c r="AM513" s="129"/>
      <c r="AN513" s="129"/>
      <c r="AO513" s="246"/>
      <c r="AP513" s="246"/>
      <c r="AQ513" s="249"/>
      <c r="AR513" s="4"/>
      <c r="AS513" s="4"/>
      <c r="AT513" s="4"/>
      <c r="AU513" s="4"/>
      <c r="AV513" s="4"/>
      <c r="AW513" s="4"/>
      <c r="AX513" s="4"/>
      <c r="AY513" s="128"/>
      <c r="AZ513" s="4"/>
      <c r="BA513" s="4"/>
      <c r="BB513" s="4"/>
      <c r="BC513" s="4"/>
      <c r="BD513" s="4"/>
      <c r="BE513" s="4"/>
      <c r="BF513" s="4"/>
      <c r="BG513" s="4"/>
      <c r="BH513" s="4"/>
      <c r="BI513" s="567"/>
    </row>
    <row r="514" spans="1:61" ht="12.75" customHeight="1" x14ac:dyDescent="0.25">
      <c r="A514" s="4"/>
      <c r="B514" s="4"/>
      <c r="C514" s="4"/>
      <c r="D514" s="4"/>
      <c r="E514" s="128"/>
      <c r="F514" s="128"/>
      <c r="G514" s="753"/>
      <c r="H514" s="128"/>
      <c r="I514" s="128"/>
      <c r="J514" s="130"/>
      <c r="K514" s="128"/>
      <c r="L514" s="128"/>
      <c r="M514" s="130"/>
      <c r="N514" s="130"/>
      <c r="O514" s="130"/>
      <c r="P514" s="128"/>
      <c r="Q514" s="128"/>
      <c r="R514" s="128"/>
      <c r="S514" s="298"/>
      <c r="T514" s="4"/>
      <c r="U514" s="4"/>
      <c r="V514" s="4"/>
      <c r="W514" s="4"/>
      <c r="X514" s="4"/>
      <c r="Y514" s="128"/>
      <c r="Z514" s="128"/>
      <c r="AA514" s="128"/>
      <c r="AB514" s="4"/>
      <c r="AC514" s="4"/>
      <c r="AD514" s="4"/>
      <c r="AE514" s="4"/>
      <c r="AF514" s="4"/>
      <c r="AG514" s="4"/>
      <c r="AH514" s="4"/>
      <c r="AI514" s="4"/>
      <c r="AJ514" s="246"/>
      <c r="AK514" s="246"/>
      <c r="AL514" s="129"/>
      <c r="AM514" s="129"/>
      <c r="AN514" s="129"/>
      <c r="AO514" s="246"/>
      <c r="AP514" s="246"/>
      <c r="AQ514" s="249"/>
      <c r="AR514" s="4"/>
      <c r="AS514" s="4"/>
      <c r="AT514" s="4"/>
      <c r="AU514" s="4"/>
      <c r="AV514" s="4"/>
      <c r="AW514" s="4"/>
      <c r="AX514" s="4"/>
      <c r="AY514" s="128"/>
      <c r="AZ514" s="4"/>
      <c r="BA514" s="4"/>
      <c r="BB514" s="4"/>
      <c r="BC514" s="4"/>
      <c r="BD514" s="4"/>
      <c r="BE514" s="4"/>
      <c r="BF514" s="4"/>
      <c r="BG514" s="4"/>
      <c r="BH514" s="4"/>
      <c r="BI514" s="567"/>
    </row>
    <row r="515" spans="1:61" ht="12.75" customHeight="1" x14ac:dyDescent="0.25">
      <c r="A515" s="4"/>
      <c r="B515" s="4"/>
      <c r="C515" s="4"/>
      <c r="D515" s="4"/>
      <c r="E515" s="128"/>
      <c r="F515" s="128"/>
      <c r="G515" s="753"/>
      <c r="H515" s="128"/>
      <c r="I515" s="128"/>
      <c r="J515" s="130"/>
      <c r="K515" s="128"/>
      <c r="L515" s="128"/>
      <c r="M515" s="130"/>
      <c r="N515" s="130"/>
      <c r="O515" s="130"/>
      <c r="P515" s="128"/>
      <c r="Q515" s="128"/>
      <c r="R515" s="128"/>
      <c r="S515" s="298"/>
      <c r="T515" s="4"/>
      <c r="U515" s="4"/>
      <c r="V515" s="4"/>
      <c r="W515" s="4"/>
      <c r="X515" s="4"/>
      <c r="Y515" s="128"/>
      <c r="Z515" s="128"/>
      <c r="AA515" s="128"/>
      <c r="AB515" s="4"/>
      <c r="AC515" s="4"/>
      <c r="AD515" s="4"/>
      <c r="AE515" s="4"/>
      <c r="AF515" s="4"/>
      <c r="AG515" s="4"/>
      <c r="AH515" s="4"/>
      <c r="AI515" s="4"/>
      <c r="AJ515" s="246"/>
      <c r="AK515" s="246"/>
      <c r="AL515" s="129"/>
      <c r="AM515" s="129"/>
      <c r="AN515" s="129"/>
      <c r="AO515" s="246"/>
      <c r="AP515" s="246"/>
      <c r="AQ515" s="249"/>
      <c r="AR515" s="4"/>
      <c r="AS515" s="4"/>
      <c r="AT515" s="4"/>
      <c r="AU515" s="4"/>
      <c r="AV515" s="4"/>
      <c r="AW515" s="4"/>
      <c r="AX515" s="4"/>
      <c r="AY515" s="128"/>
      <c r="AZ515" s="4"/>
      <c r="BA515" s="4"/>
      <c r="BB515" s="4"/>
      <c r="BC515" s="4"/>
      <c r="BD515" s="4"/>
      <c r="BE515" s="4"/>
      <c r="BF515" s="4"/>
      <c r="BG515" s="4"/>
      <c r="BH515" s="4"/>
      <c r="BI515" s="567"/>
    </row>
    <row r="516" spans="1:61" ht="12.75" customHeight="1" x14ac:dyDescent="0.25">
      <c r="A516" s="4"/>
      <c r="B516" s="4"/>
      <c r="C516" s="4"/>
      <c r="D516" s="4"/>
      <c r="E516" s="128"/>
      <c r="F516" s="128"/>
      <c r="G516" s="753"/>
      <c r="H516" s="128"/>
      <c r="I516" s="128"/>
      <c r="J516" s="130"/>
      <c r="K516" s="128"/>
      <c r="L516" s="128"/>
      <c r="M516" s="130"/>
      <c r="N516" s="130"/>
      <c r="O516" s="130"/>
      <c r="P516" s="128"/>
      <c r="Q516" s="128"/>
      <c r="R516" s="128"/>
      <c r="S516" s="298"/>
      <c r="T516" s="4"/>
      <c r="U516" s="4"/>
      <c r="V516" s="4"/>
      <c r="W516" s="4"/>
      <c r="X516" s="4"/>
      <c r="Y516" s="128"/>
      <c r="Z516" s="128"/>
      <c r="AA516" s="128"/>
      <c r="AB516" s="4"/>
      <c r="AC516" s="4"/>
      <c r="AD516" s="4"/>
      <c r="AE516" s="4"/>
      <c r="AF516" s="4"/>
      <c r="AG516" s="4"/>
      <c r="AH516" s="4"/>
      <c r="AI516" s="4"/>
      <c r="AJ516" s="246"/>
      <c r="AK516" s="246"/>
      <c r="AL516" s="129"/>
      <c r="AM516" s="129"/>
      <c r="AN516" s="129"/>
      <c r="AO516" s="246"/>
      <c r="AP516" s="246"/>
      <c r="AQ516" s="249"/>
      <c r="AR516" s="4"/>
      <c r="AS516" s="4"/>
      <c r="AT516" s="4"/>
      <c r="AU516" s="4"/>
      <c r="AV516" s="4"/>
      <c r="AW516" s="4"/>
      <c r="AX516" s="4"/>
      <c r="AY516" s="128"/>
      <c r="AZ516" s="4"/>
      <c r="BA516" s="4"/>
      <c r="BB516" s="4"/>
      <c r="BC516" s="4"/>
      <c r="BD516" s="4"/>
      <c r="BE516" s="4"/>
      <c r="BF516" s="4"/>
      <c r="BG516" s="4"/>
      <c r="BH516" s="4"/>
      <c r="BI516" s="567"/>
    </row>
    <row r="517" spans="1:61" ht="12.75" customHeight="1" x14ac:dyDescent="0.25">
      <c r="A517" s="4"/>
      <c r="B517" s="4"/>
      <c r="C517" s="4"/>
      <c r="D517" s="4"/>
      <c r="E517" s="128"/>
      <c r="F517" s="128"/>
      <c r="G517" s="753"/>
      <c r="H517" s="128"/>
      <c r="I517" s="128"/>
      <c r="J517" s="130"/>
      <c r="K517" s="128"/>
      <c r="L517" s="128"/>
      <c r="M517" s="130"/>
      <c r="N517" s="130"/>
      <c r="O517" s="130"/>
      <c r="P517" s="128"/>
      <c r="Q517" s="128"/>
      <c r="R517" s="128"/>
      <c r="S517" s="298"/>
      <c r="T517" s="4"/>
      <c r="U517" s="4"/>
      <c r="V517" s="4"/>
      <c r="W517" s="4"/>
      <c r="X517" s="4"/>
      <c r="Y517" s="128"/>
      <c r="Z517" s="128"/>
      <c r="AA517" s="128"/>
      <c r="AB517" s="4"/>
      <c r="AC517" s="4"/>
      <c r="AD517" s="4"/>
      <c r="AE517" s="4"/>
      <c r="AF517" s="4"/>
      <c r="AG517" s="4"/>
      <c r="AH517" s="4"/>
      <c r="AI517" s="4"/>
      <c r="AJ517" s="246"/>
      <c r="AK517" s="246"/>
      <c r="AL517" s="129"/>
      <c r="AM517" s="129"/>
      <c r="AN517" s="129"/>
      <c r="AO517" s="246"/>
      <c r="AP517" s="246"/>
      <c r="AQ517" s="249"/>
      <c r="AR517" s="4"/>
      <c r="AS517" s="4"/>
      <c r="AT517" s="4"/>
      <c r="AU517" s="4"/>
      <c r="AV517" s="4"/>
      <c r="AW517" s="4"/>
      <c r="AX517" s="4"/>
      <c r="AY517" s="128"/>
      <c r="AZ517" s="4"/>
      <c r="BA517" s="4"/>
      <c r="BB517" s="4"/>
      <c r="BC517" s="4"/>
      <c r="BD517" s="4"/>
      <c r="BE517" s="4"/>
      <c r="BF517" s="4"/>
      <c r="BG517" s="4"/>
      <c r="BH517" s="4"/>
      <c r="BI517" s="567"/>
    </row>
    <row r="518" spans="1:61" ht="12.75" customHeight="1" x14ac:dyDescent="0.25">
      <c r="A518" s="4"/>
      <c r="B518" s="4"/>
      <c r="C518" s="4"/>
      <c r="D518" s="4"/>
      <c r="E518" s="128"/>
      <c r="F518" s="128"/>
      <c r="G518" s="753"/>
      <c r="H518" s="128"/>
      <c r="I518" s="128"/>
      <c r="J518" s="130"/>
      <c r="K518" s="128"/>
      <c r="L518" s="128"/>
      <c r="M518" s="130"/>
      <c r="N518" s="130"/>
      <c r="O518" s="130"/>
      <c r="P518" s="128"/>
      <c r="Q518" s="128"/>
      <c r="R518" s="128"/>
      <c r="S518" s="298"/>
      <c r="T518" s="4"/>
      <c r="U518" s="4"/>
      <c r="V518" s="4"/>
      <c r="W518" s="4"/>
      <c r="X518" s="4"/>
      <c r="Y518" s="128"/>
      <c r="Z518" s="128"/>
      <c r="AA518" s="128"/>
      <c r="AB518" s="4"/>
      <c r="AC518" s="4"/>
      <c r="AD518" s="4"/>
      <c r="AE518" s="4"/>
      <c r="AF518" s="4"/>
      <c r="AG518" s="4"/>
      <c r="AH518" s="4"/>
      <c r="AI518" s="4"/>
      <c r="AJ518" s="246"/>
      <c r="AK518" s="246"/>
      <c r="AL518" s="129"/>
      <c r="AM518" s="129"/>
      <c r="AN518" s="129"/>
      <c r="AO518" s="246"/>
      <c r="AP518" s="246"/>
      <c r="AQ518" s="249"/>
      <c r="AR518" s="4"/>
      <c r="AS518" s="4"/>
      <c r="AT518" s="4"/>
      <c r="AU518" s="4"/>
      <c r="AV518" s="4"/>
      <c r="AW518" s="4"/>
      <c r="AX518" s="4"/>
      <c r="AY518" s="128"/>
      <c r="AZ518" s="4"/>
      <c r="BA518" s="4"/>
      <c r="BB518" s="4"/>
      <c r="BC518" s="4"/>
      <c r="BD518" s="4"/>
      <c r="BE518" s="4"/>
      <c r="BF518" s="4"/>
      <c r="BG518" s="4"/>
      <c r="BH518" s="4"/>
      <c r="BI518" s="567"/>
    </row>
    <row r="519" spans="1:61" ht="12.75" customHeight="1" x14ac:dyDescent="0.25">
      <c r="A519" s="4"/>
      <c r="B519" s="4"/>
      <c r="C519" s="4"/>
      <c r="D519" s="4"/>
      <c r="E519" s="128"/>
      <c r="F519" s="128"/>
      <c r="G519" s="753"/>
      <c r="H519" s="128"/>
      <c r="I519" s="128"/>
      <c r="J519" s="130"/>
      <c r="K519" s="128"/>
      <c r="L519" s="128"/>
      <c r="M519" s="130"/>
      <c r="N519" s="130"/>
      <c r="O519" s="130"/>
      <c r="P519" s="128"/>
      <c r="Q519" s="128"/>
      <c r="R519" s="128"/>
      <c r="S519" s="298"/>
      <c r="T519" s="4"/>
      <c r="U519" s="4"/>
      <c r="V519" s="4"/>
      <c r="W519" s="4"/>
      <c r="X519" s="4"/>
      <c r="Y519" s="128"/>
      <c r="Z519" s="128"/>
      <c r="AA519" s="128"/>
      <c r="AB519" s="4"/>
      <c r="AC519" s="4"/>
      <c r="AD519" s="4"/>
      <c r="AE519" s="4"/>
      <c r="AF519" s="4"/>
      <c r="AG519" s="4"/>
      <c r="AH519" s="4"/>
      <c r="AI519" s="4"/>
      <c r="AJ519" s="246"/>
      <c r="AK519" s="246"/>
      <c r="AL519" s="129"/>
      <c r="AM519" s="129"/>
      <c r="AN519" s="129"/>
      <c r="AO519" s="246"/>
      <c r="AP519" s="246"/>
      <c r="AQ519" s="249"/>
      <c r="AR519" s="4"/>
      <c r="AS519" s="4"/>
      <c r="AT519" s="4"/>
      <c r="AU519" s="4"/>
      <c r="AV519" s="4"/>
      <c r="AW519" s="4"/>
      <c r="AX519" s="4"/>
      <c r="AY519" s="128"/>
      <c r="AZ519" s="4"/>
      <c r="BA519" s="4"/>
      <c r="BB519" s="4"/>
      <c r="BC519" s="4"/>
      <c r="BD519" s="4"/>
      <c r="BE519" s="4"/>
      <c r="BF519" s="4"/>
      <c r="BG519" s="4"/>
      <c r="BH519" s="4"/>
      <c r="BI519" s="567"/>
    </row>
    <row r="520" spans="1:61" ht="12.75" customHeight="1" x14ac:dyDescent="0.25">
      <c r="A520" s="4"/>
      <c r="B520" s="4"/>
      <c r="C520" s="4"/>
      <c r="D520" s="4"/>
      <c r="E520" s="128"/>
      <c r="F520" s="128"/>
      <c r="G520" s="753"/>
      <c r="H520" s="128"/>
      <c r="I520" s="128"/>
      <c r="J520" s="130"/>
      <c r="K520" s="128"/>
      <c r="L520" s="128"/>
      <c r="M520" s="130"/>
      <c r="N520" s="130"/>
      <c r="O520" s="130"/>
      <c r="P520" s="128"/>
      <c r="Q520" s="128"/>
      <c r="R520" s="128"/>
      <c r="S520" s="298"/>
      <c r="T520" s="4"/>
      <c r="U520" s="4"/>
      <c r="V520" s="4"/>
      <c r="W520" s="4"/>
      <c r="X520" s="4"/>
      <c r="Y520" s="128"/>
      <c r="Z520" s="128"/>
      <c r="AA520" s="128"/>
      <c r="AB520" s="4"/>
      <c r="AC520" s="4"/>
      <c r="AD520" s="4"/>
      <c r="AE520" s="4"/>
      <c r="AF520" s="4"/>
      <c r="AG520" s="4"/>
      <c r="AH520" s="4"/>
      <c r="AI520" s="4"/>
      <c r="AJ520" s="246"/>
      <c r="AK520" s="246"/>
      <c r="AL520" s="129"/>
      <c r="AM520" s="129"/>
      <c r="AN520" s="129"/>
      <c r="AO520" s="246"/>
      <c r="AP520" s="246"/>
      <c r="AQ520" s="249"/>
      <c r="AR520" s="4"/>
      <c r="AS520" s="4"/>
      <c r="AT520" s="4"/>
      <c r="AU520" s="4"/>
      <c r="AV520" s="4"/>
      <c r="AW520" s="4"/>
      <c r="AX520" s="4"/>
      <c r="AY520" s="128"/>
      <c r="AZ520" s="4"/>
      <c r="BA520" s="4"/>
      <c r="BB520" s="4"/>
      <c r="BC520" s="4"/>
      <c r="BD520" s="4"/>
      <c r="BE520" s="4"/>
      <c r="BF520" s="4"/>
      <c r="BG520" s="4"/>
      <c r="BH520" s="4"/>
      <c r="BI520" s="567"/>
    </row>
    <row r="521" spans="1:61" ht="12.75" customHeight="1" x14ac:dyDescent="0.25">
      <c r="A521" s="4"/>
      <c r="B521" s="4"/>
      <c r="C521" s="4"/>
      <c r="D521" s="4"/>
      <c r="E521" s="128"/>
      <c r="F521" s="128"/>
      <c r="G521" s="753"/>
      <c r="H521" s="128"/>
      <c r="I521" s="128"/>
      <c r="J521" s="130"/>
      <c r="K521" s="128"/>
      <c r="L521" s="128"/>
      <c r="M521" s="130"/>
      <c r="N521" s="130"/>
      <c r="O521" s="130"/>
      <c r="P521" s="128"/>
      <c r="Q521" s="128"/>
      <c r="R521" s="128"/>
      <c r="S521" s="298"/>
      <c r="T521" s="4"/>
      <c r="U521" s="4"/>
      <c r="V521" s="4"/>
      <c r="W521" s="4"/>
      <c r="X521" s="4"/>
      <c r="Y521" s="128"/>
      <c r="Z521" s="128"/>
      <c r="AA521" s="128"/>
      <c r="AB521" s="4"/>
      <c r="AC521" s="4"/>
      <c r="AD521" s="4"/>
      <c r="AE521" s="4"/>
      <c r="AF521" s="4"/>
      <c r="AG521" s="4"/>
      <c r="AH521" s="4"/>
      <c r="AI521" s="4"/>
      <c r="AJ521" s="246"/>
      <c r="AK521" s="246"/>
      <c r="AL521" s="129"/>
      <c r="AM521" s="129"/>
      <c r="AN521" s="129"/>
      <c r="AO521" s="246"/>
      <c r="AP521" s="246"/>
      <c r="AQ521" s="249"/>
      <c r="AR521" s="4"/>
      <c r="AS521" s="4"/>
      <c r="AT521" s="4"/>
      <c r="AU521" s="4"/>
      <c r="AV521" s="4"/>
      <c r="AW521" s="4"/>
      <c r="AX521" s="4"/>
      <c r="AY521" s="128"/>
      <c r="AZ521" s="4"/>
      <c r="BA521" s="4"/>
      <c r="BB521" s="4"/>
      <c r="BC521" s="4"/>
      <c r="BD521" s="4"/>
      <c r="BE521" s="4"/>
      <c r="BF521" s="4"/>
      <c r="BG521" s="4"/>
      <c r="BH521" s="4"/>
      <c r="BI521" s="567"/>
    </row>
    <row r="522" spans="1:61" ht="12.75" customHeight="1" x14ac:dyDescent="0.25">
      <c r="A522" s="4"/>
      <c r="B522" s="4"/>
      <c r="C522" s="4"/>
      <c r="D522" s="4"/>
      <c r="E522" s="128"/>
      <c r="F522" s="128"/>
      <c r="G522" s="753"/>
      <c r="H522" s="128"/>
      <c r="I522" s="128"/>
      <c r="J522" s="130"/>
      <c r="K522" s="128"/>
      <c r="L522" s="128"/>
      <c r="M522" s="130"/>
      <c r="N522" s="130"/>
      <c r="O522" s="130"/>
      <c r="P522" s="128"/>
      <c r="Q522" s="128"/>
      <c r="R522" s="128"/>
      <c r="S522" s="298"/>
      <c r="T522" s="4"/>
      <c r="U522" s="4"/>
      <c r="V522" s="4"/>
      <c r="W522" s="4"/>
      <c r="X522" s="4"/>
      <c r="Y522" s="128"/>
      <c r="Z522" s="128"/>
      <c r="AA522" s="128"/>
      <c r="AB522" s="4"/>
      <c r="AC522" s="4"/>
      <c r="AD522" s="4"/>
      <c r="AE522" s="4"/>
      <c r="AF522" s="4"/>
      <c r="AG522" s="4"/>
      <c r="AH522" s="4"/>
      <c r="AI522" s="4"/>
      <c r="AJ522" s="246"/>
      <c r="AK522" s="246"/>
      <c r="AL522" s="129"/>
      <c r="AM522" s="129"/>
      <c r="AN522" s="129"/>
      <c r="AO522" s="246"/>
      <c r="AP522" s="246"/>
      <c r="AQ522" s="249"/>
      <c r="AR522" s="4"/>
      <c r="AS522" s="4"/>
      <c r="AT522" s="4"/>
      <c r="AU522" s="4"/>
      <c r="AV522" s="4"/>
      <c r="AW522" s="4"/>
      <c r="AX522" s="4"/>
      <c r="AY522" s="128"/>
      <c r="AZ522" s="4"/>
      <c r="BA522" s="4"/>
      <c r="BB522" s="4"/>
      <c r="BC522" s="4"/>
      <c r="BD522" s="4"/>
      <c r="BE522" s="4"/>
      <c r="BF522" s="4"/>
      <c r="BG522" s="4"/>
      <c r="BH522" s="4"/>
      <c r="BI522" s="567"/>
    </row>
    <row r="523" spans="1:61" ht="12.75" customHeight="1" x14ac:dyDescent="0.25">
      <c r="A523" s="4"/>
      <c r="B523" s="4"/>
      <c r="C523" s="4"/>
      <c r="D523" s="4"/>
      <c r="E523" s="128"/>
      <c r="F523" s="128"/>
      <c r="G523" s="753"/>
      <c r="H523" s="128"/>
      <c r="I523" s="128"/>
      <c r="J523" s="130"/>
      <c r="K523" s="128"/>
      <c r="L523" s="128"/>
      <c r="M523" s="130"/>
      <c r="N523" s="130"/>
      <c r="O523" s="130"/>
      <c r="P523" s="128"/>
      <c r="Q523" s="128"/>
      <c r="R523" s="128"/>
      <c r="S523" s="298"/>
      <c r="T523" s="4"/>
      <c r="U523" s="4"/>
      <c r="V523" s="4"/>
      <c r="W523" s="4"/>
      <c r="X523" s="4"/>
      <c r="Y523" s="128"/>
      <c r="Z523" s="128"/>
      <c r="AA523" s="128"/>
      <c r="AB523" s="4"/>
      <c r="AC523" s="4"/>
      <c r="AD523" s="4"/>
      <c r="AE523" s="4"/>
      <c r="AF523" s="4"/>
      <c r="AG523" s="4"/>
      <c r="AH523" s="4"/>
      <c r="AI523" s="4"/>
      <c r="AJ523" s="246"/>
      <c r="AK523" s="246"/>
      <c r="AL523" s="129"/>
      <c r="AM523" s="129"/>
      <c r="AN523" s="129"/>
      <c r="AO523" s="246"/>
      <c r="AP523" s="246"/>
      <c r="AQ523" s="249"/>
      <c r="AR523" s="4"/>
      <c r="AS523" s="4"/>
      <c r="AT523" s="4"/>
      <c r="AU523" s="4"/>
      <c r="AV523" s="4"/>
      <c r="AW523" s="4"/>
      <c r="AX523" s="4"/>
      <c r="AY523" s="128"/>
      <c r="AZ523" s="4"/>
      <c r="BA523" s="4"/>
      <c r="BB523" s="4"/>
      <c r="BC523" s="4"/>
      <c r="BD523" s="4"/>
      <c r="BE523" s="4"/>
      <c r="BF523" s="4"/>
      <c r="BG523" s="4"/>
      <c r="BH523" s="4"/>
      <c r="BI523" s="567"/>
    </row>
    <row r="524" spans="1:61" ht="12.75" customHeight="1" x14ac:dyDescent="0.25">
      <c r="A524" s="4"/>
      <c r="B524" s="4"/>
      <c r="C524" s="4"/>
      <c r="D524" s="4"/>
      <c r="E524" s="128"/>
      <c r="F524" s="128"/>
      <c r="G524" s="753"/>
      <c r="H524" s="128"/>
      <c r="I524" s="128"/>
      <c r="J524" s="130"/>
      <c r="K524" s="128"/>
      <c r="L524" s="128"/>
      <c r="M524" s="130"/>
      <c r="N524" s="130"/>
      <c r="O524" s="130"/>
      <c r="P524" s="128"/>
      <c r="Q524" s="128"/>
      <c r="R524" s="128"/>
      <c r="S524" s="298"/>
      <c r="T524" s="4"/>
      <c r="U524" s="4"/>
      <c r="V524" s="4"/>
      <c r="W524" s="4"/>
      <c r="X524" s="4"/>
      <c r="Y524" s="128"/>
      <c r="Z524" s="128"/>
      <c r="AA524" s="128"/>
      <c r="AB524" s="4"/>
      <c r="AC524" s="4"/>
      <c r="AD524" s="4"/>
      <c r="AE524" s="4"/>
      <c r="AF524" s="4"/>
      <c r="AG524" s="4"/>
      <c r="AH524" s="4"/>
      <c r="AI524" s="4"/>
      <c r="AJ524" s="246"/>
      <c r="AK524" s="246"/>
      <c r="AL524" s="129"/>
      <c r="AM524" s="129"/>
      <c r="AN524" s="129"/>
      <c r="AO524" s="246"/>
      <c r="AP524" s="246"/>
      <c r="AQ524" s="249"/>
      <c r="AR524" s="4"/>
      <c r="AS524" s="4"/>
      <c r="AT524" s="4"/>
      <c r="AU524" s="4"/>
      <c r="AV524" s="4"/>
      <c r="AW524" s="4"/>
      <c r="AX524" s="4"/>
      <c r="AY524" s="128"/>
      <c r="AZ524" s="4"/>
      <c r="BA524" s="4"/>
      <c r="BB524" s="4"/>
      <c r="BC524" s="4"/>
      <c r="BD524" s="4"/>
      <c r="BE524" s="4"/>
      <c r="BF524" s="4"/>
      <c r="BG524" s="4"/>
      <c r="BH524" s="4"/>
      <c r="BI524" s="567"/>
    </row>
    <row r="525" spans="1:61" ht="12.75" customHeight="1" x14ac:dyDescent="0.25">
      <c r="A525" s="4"/>
      <c r="B525" s="4"/>
      <c r="C525" s="4"/>
      <c r="D525" s="4"/>
      <c r="E525" s="128"/>
      <c r="F525" s="128"/>
      <c r="G525" s="753"/>
      <c r="H525" s="128"/>
      <c r="I525" s="128"/>
      <c r="J525" s="130"/>
      <c r="K525" s="128"/>
      <c r="L525" s="128"/>
      <c r="M525" s="130"/>
      <c r="N525" s="130"/>
      <c r="O525" s="130"/>
      <c r="P525" s="128"/>
      <c r="Q525" s="128"/>
      <c r="R525" s="128"/>
      <c r="S525" s="298"/>
      <c r="T525" s="4"/>
      <c r="U525" s="4"/>
      <c r="V525" s="4"/>
      <c r="W525" s="4"/>
      <c r="X525" s="4"/>
      <c r="Y525" s="128"/>
      <c r="Z525" s="128"/>
      <c r="AA525" s="128"/>
      <c r="AB525" s="4"/>
      <c r="AC525" s="4"/>
      <c r="AD525" s="4"/>
      <c r="AE525" s="4"/>
      <c r="AF525" s="4"/>
      <c r="AG525" s="4"/>
      <c r="AH525" s="4"/>
      <c r="AI525" s="4"/>
      <c r="AJ525" s="246"/>
      <c r="AK525" s="246"/>
      <c r="AL525" s="129"/>
      <c r="AM525" s="129"/>
      <c r="AN525" s="129"/>
      <c r="AO525" s="246"/>
      <c r="AP525" s="246"/>
      <c r="AQ525" s="249"/>
      <c r="AR525" s="4"/>
      <c r="AS525" s="4"/>
      <c r="AT525" s="4"/>
      <c r="AU525" s="4"/>
      <c r="AV525" s="4"/>
      <c r="AW525" s="4"/>
      <c r="AX525" s="4"/>
      <c r="AY525" s="128"/>
      <c r="AZ525" s="4"/>
      <c r="BA525" s="4"/>
      <c r="BB525" s="4"/>
      <c r="BC525" s="4"/>
      <c r="BD525" s="4"/>
      <c r="BE525" s="4"/>
      <c r="BF525" s="4"/>
      <c r="BG525" s="4"/>
      <c r="BH525" s="4"/>
      <c r="BI525" s="567"/>
    </row>
    <row r="526" spans="1:61" ht="12.75" customHeight="1" x14ac:dyDescent="0.25">
      <c r="A526" s="4"/>
      <c r="B526" s="4"/>
      <c r="C526" s="4"/>
      <c r="D526" s="4"/>
      <c r="E526" s="128"/>
      <c r="F526" s="128"/>
      <c r="G526" s="753"/>
      <c r="H526" s="128"/>
      <c r="I526" s="128"/>
      <c r="J526" s="130"/>
      <c r="K526" s="128"/>
      <c r="L526" s="128"/>
      <c r="M526" s="130"/>
      <c r="N526" s="130"/>
      <c r="O526" s="130"/>
      <c r="P526" s="128"/>
      <c r="Q526" s="128"/>
      <c r="R526" s="128"/>
      <c r="S526" s="298"/>
      <c r="T526" s="4"/>
      <c r="U526" s="4"/>
      <c r="V526" s="4"/>
      <c r="W526" s="4"/>
      <c r="X526" s="4"/>
      <c r="Y526" s="128"/>
      <c r="Z526" s="128"/>
      <c r="AA526" s="128"/>
      <c r="AB526" s="4"/>
      <c r="AC526" s="4"/>
      <c r="AD526" s="4"/>
      <c r="AE526" s="4"/>
      <c r="AF526" s="4"/>
      <c r="AG526" s="4"/>
      <c r="AH526" s="4"/>
      <c r="AI526" s="4"/>
      <c r="AJ526" s="246"/>
      <c r="AK526" s="246"/>
      <c r="AL526" s="129"/>
      <c r="AM526" s="129"/>
      <c r="AN526" s="129"/>
      <c r="AO526" s="246"/>
      <c r="AP526" s="246"/>
      <c r="AQ526" s="249"/>
      <c r="AR526" s="4"/>
      <c r="AS526" s="4"/>
      <c r="AT526" s="4"/>
      <c r="AU526" s="4"/>
      <c r="AV526" s="4"/>
      <c r="AW526" s="4"/>
      <c r="AX526" s="4"/>
      <c r="AY526" s="128"/>
      <c r="AZ526" s="4"/>
      <c r="BA526" s="4"/>
      <c r="BB526" s="4"/>
      <c r="BC526" s="4"/>
      <c r="BD526" s="4"/>
      <c r="BE526" s="4"/>
      <c r="BF526" s="4"/>
      <c r="BG526" s="4"/>
      <c r="BH526" s="4"/>
      <c r="BI526" s="567"/>
    </row>
    <row r="527" spans="1:61" ht="12.75" customHeight="1" x14ac:dyDescent="0.25">
      <c r="A527" s="4"/>
      <c r="B527" s="4"/>
      <c r="C527" s="4"/>
      <c r="D527" s="4"/>
      <c r="E527" s="128"/>
      <c r="F527" s="128"/>
      <c r="G527" s="753"/>
      <c r="H527" s="128"/>
      <c r="I527" s="128"/>
      <c r="J527" s="130"/>
      <c r="K527" s="128"/>
      <c r="L527" s="128"/>
      <c r="M527" s="130"/>
      <c r="N527" s="130"/>
      <c r="O527" s="130"/>
      <c r="P527" s="128"/>
      <c r="Q527" s="128"/>
      <c r="R527" s="128"/>
      <c r="S527" s="298"/>
      <c r="T527" s="4"/>
      <c r="U527" s="4"/>
      <c r="V527" s="4"/>
      <c r="W527" s="4"/>
      <c r="X527" s="4"/>
      <c r="Y527" s="128"/>
      <c r="Z527" s="128"/>
      <c r="AA527" s="128"/>
      <c r="AB527" s="4"/>
      <c r="AC527" s="4"/>
      <c r="AD527" s="4"/>
      <c r="AE527" s="4"/>
      <c r="AF527" s="4"/>
      <c r="AG527" s="4"/>
      <c r="AH527" s="4"/>
      <c r="AI527" s="4"/>
      <c r="AJ527" s="246"/>
      <c r="AK527" s="246"/>
      <c r="AL527" s="129"/>
      <c r="AM527" s="129"/>
      <c r="AN527" s="129"/>
      <c r="AO527" s="246"/>
      <c r="AP527" s="246"/>
      <c r="AQ527" s="249"/>
      <c r="AR527" s="4"/>
      <c r="AS527" s="4"/>
      <c r="AT527" s="4"/>
      <c r="AU527" s="4"/>
      <c r="AV527" s="4"/>
      <c r="AW527" s="4"/>
      <c r="AX527" s="4"/>
      <c r="AY527" s="128"/>
      <c r="AZ527" s="4"/>
      <c r="BA527" s="4"/>
      <c r="BB527" s="4"/>
      <c r="BC527" s="4"/>
      <c r="BD527" s="4"/>
      <c r="BE527" s="4"/>
      <c r="BF527" s="4"/>
      <c r="BG527" s="4"/>
      <c r="BH527" s="4"/>
      <c r="BI527" s="567"/>
    </row>
    <row r="528" spans="1:61" ht="12.75" customHeight="1" x14ac:dyDescent="0.25">
      <c r="A528" s="4"/>
      <c r="B528" s="4"/>
      <c r="C528" s="4"/>
      <c r="D528" s="4"/>
      <c r="E528" s="128"/>
      <c r="F528" s="128"/>
      <c r="G528" s="753"/>
      <c r="H528" s="128"/>
      <c r="I528" s="128"/>
      <c r="J528" s="130"/>
      <c r="K528" s="128"/>
      <c r="L528" s="128"/>
      <c r="M528" s="130"/>
      <c r="N528" s="130"/>
      <c r="O528" s="130"/>
      <c r="P528" s="128"/>
      <c r="Q528" s="128"/>
      <c r="R528" s="128"/>
      <c r="S528" s="298"/>
      <c r="T528" s="4"/>
      <c r="U528" s="4"/>
      <c r="V528" s="4"/>
      <c r="W528" s="4"/>
      <c r="X528" s="4"/>
      <c r="Y528" s="128"/>
      <c r="Z528" s="128"/>
      <c r="AA528" s="128"/>
      <c r="AB528" s="4"/>
      <c r="AC528" s="4"/>
      <c r="AD528" s="4"/>
      <c r="AE528" s="4"/>
      <c r="AF528" s="4"/>
      <c r="AG528" s="4"/>
      <c r="AH528" s="4"/>
      <c r="AI528" s="4"/>
      <c r="AJ528" s="246"/>
      <c r="AK528" s="246"/>
      <c r="AL528" s="129"/>
      <c r="AM528" s="129"/>
      <c r="AN528" s="129"/>
      <c r="AO528" s="246"/>
      <c r="AP528" s="246"/>
      <c r="AQ528" s="249"/>
      <c r="AR528" s="4"/>
      <c r="AS528" s="4"/>
      <c r="AT528" s="4"/>
      <c r="AU528" s="4"/>
      <c r="AV528" s="4"/>
      <c r="AW528" s="4"/>
      <c r="AX528" s="4"/>
      <c r="AY528" s="128"/>
      <c r="AZ528" s="4"/>
      <c r="BA528" s="4"/>
      <c r="BB528" s="4"/>
      <c r="BC528" s="4"/>
      <c r="BD528" s="4"/>
      <c r="BE528" s="4"/>
      <c r="BF528" s="4"/>
      <c r="BG528" s="4"/>
      <c r="BH528" s="4"/>
      <c r="BI528" s="567"/>
    </row>
    <row r="529" spans="1:61" ht="12.75" customHeight="1" x14ac:dyDescent="0.25">
      <c r="A529" s="4"/>
      <c r="B529" s="4"/>
      <c r="C529" s="4"/>
      <c r="D529" s="4"/>
      <c r="E529" s="128"/>
      <c r="F529" s="128"/>
      <c r="G529" s="753"/>
      <c r="H529" s="128"/>
      <c r="I529" s="128"/>
      <c r="J529" s="130"/>
      <c r="K529" s="128"/>
      <c r="L529" s="128"/>
      <c r="M529" s="130"/>
      <c r="N529" s="130"/>
      <c r="O529" s="130"/>
      <c r="P529" s="128"/>
      <c r="Q529" s="128"/>
      <c r="R529" s="128"/>
      <c r="S529" s="298"/>
      <c r="T529" s="4"/>
      <c r="U529" s="4"/>
      <c r="V529" s="4"/>
      <c r="W529" s="4"/>
      <c r="X529" s="4"/>
      <c r="Y529" s="128"/>
      <c r="Z529" s="128"/>
      <c r="AA529" s="128"/>
      <c r="AB529" s="4"/>
      <c r="AC529" s="4"/>
      <c r="AD529" s="4"/>
      <c r="AE529" s="4"/>
      <c r="AF529" s="4"/>
      <c r="AG529" s="4"/>
      <c r="AH529" s="4"/>
      <c r="AI529" s="4"/>
      <c r="AJ529" s="246"/>
      <c r="AK529" s="246"/>
      <c r="AL529" s="129"/>
      <c r="AM529" s="129"/>
      <c r="AN529" s="129"/>
      <c r="AO529" s="246"/>
      <c r="AP529" s="246"/>
      <c r="AQ529" s="249"/>
      <c r="AR529" s="4"/>
      <c r="AS529" s="4"/>
      <c r="AT529" s="4"/>
      <c r="AU529" s="4"/>
      <c r="AV529" s="4"/>
      <c r="AW529" s="4"/>
      <c r="AX529" s="4"/>
      <c r="AY529" s="128"/>
      <c r="AZ529" s="4"/>
      <c r="BA529" s="4"/>
      <c r="BB529" s="4"/>
      <c r="BC529" s="4"/>
      <c r="BD529" s="4"/>
      <c r="BE529" s="4"/>
      <c r="BF529" s="4"/>
      <c r="BG529" s="4"/>
      <c r="BH529" s="4"/>
      <c r="BI529" s="567"/>
    </row>
    <row r="530" spans="1:61" ht="12.75" customHeight="1" x14ac:dyDescent="0.25">
      <c r="A530" s="4"/>
      <c r="B530" s="4"/>
      <c r="C530" s="4"/>
      <c r="D530" s="4"/>
      <c r="E530" s="128"/>
      <c r="F530" s="128"/>
      <c r="G530" s="753"/>
      <c r="H530" s="128"/>
      <c r="I530" s="128"/>
      <c r="J530" s="130"/>
      <c r="K530" s="128"/>
      <c r="L530" s="128"/>
      <c r="M530" s="130"/>
      <c r="N530" s="130"/>
      <c r="O530" s="130"/>
      <c r="P530" s="128"/>
      <c r="Q530" s="128"/>
      <c r="R530" s="128"/>
      <c r="S530" s="298"/>
      <c r="T530" s="4"/>
      <c r="U530" s="4"/>
      <c r="V530" s="4"/>
      <c r="W530" s="4"/>
      <c r="X530" s="4"/>
      <c r="Y530" s="128"/>
      <c r="Z530" s="128"/>
      <c r="AA530" s="128"/>
      <c r="AB530" s="4"/>
      <c r="AC530" s="4"/>
      <c r="AD530" s="4"/>
      <c r="AE530" s="4"/>
      <c r="AF530" s="4"/>
      <c r="AG530" s="4"/>
      <c r="AH530" s="4"/>
      <c r="AI530" s="4"/>
      <c r="AJ530" s="246"/>
      <c r="AK530" s="246"/>
      <c r="AL530" s="129"/>
      <c r="AM530" s="129"/>
      <c r="AN530" s="129"/>
      <c r="AO530" s="246"/>
      <c r="AP530" s="246"/>
      <c r="AQ530" s="249"/>
      <c r="AR530" s="4"/>
      <c r="AS530" s="4"/>
      <c r="AT530" s="4"/>
      <c r="AU530" s="4"/>
      <c r="AV530" s="4"/>
      <c r="AW530" s="4"/>
      <c r="AX530" s="4"/>
      <c r="AY530" s="128"/>
      <c r="AZ530" s="4"/>
      <c r="BA530" s="4"/>
      <c r="BB530" s="4"/>
      <c r="BC530" s="4"/>
      <c r="BD530" s="4"/>
      <c r="BE530" s="4"/>
      <c r="BF530" s="4"/>
      <c r="BG530" s="4"/>
      <c r="BH530" s="4"/>
      <c r="BI530" s="567"/>
    </row>
    <row r="531" spans="1:61" ht="12.75" customHeight="1" x14ac:dyDescent="0.25">
      <c r="A531" s="4"/>
      <c r="B531" s="4"/>
      <c r="C531" s="4"/>
      <c r="D531" s="4"/>
      <c r="E531" s="128"/>
      <c r="F531" s="128"/>
      <c r="G531" s="753"/>
      <c r="H531" s="128"/>
      <c r="I531" s="128"/>
      <c r="J531" s="130"/>
      <c r="K531" s="128"/>
      <c r="L531" s="128"/>
      <c r="M531" s="130"/>
      <c r="N531" s="130"/>
      <c r="O531" s="130"/>
      <c r="P531" s="128"/>
      <c r="Q531" s="128"/>
      <c r="R531" s="128"/>
      <c r="S531" s="298"/>
      <c r="T531" s="4"/>
      <c r="U531" s="4"/>
      <c r="V531" s="4"/>
      <c r="W531" s="4"/>
      <c r="X531" s="4"/>
      <c r="Y531" s="128"/>
      <c r="Z531" s="128"/>
      <c r="AA531" s="128"/>
      <c r="AB531" s="4"/>
      <c r="AC531" s="4"/>
      <c r="AD531" s="4"/>
      <c r="AE531" s="4"/>
      <c r="AF531" s="4"/>
      <c r="AG531" s="4"/>
      <c r="AH531" s="4"/>
      <c r="AI531" s="4"/>
      <c r="AJ531" s="246"/>
      <c r="AK531" s="246"/>
      <c r="AL531" s="129"/>
      <c r="AM531" s="129"/>
      <c r="AN531" s="129"/>
      <c r="AO531" s="246"/>
      <c r="AP531" s="246"/>
      <c r="AQ531" s="249"/>
      <c r="AR531" s="4"/>
      <c r="AS531" s="4"/>
      <c r="AT531" s="4"/>
      <c r="AU531" s="4"/>
      <c r="AV531" s="4"/>
      <c r="AW531" s="4"/>
      <c r="AX531" s="4"/>
      <c r="AY531" s="128"/>
      <c r="AZ531" s="4"/>
      <c r="BA531" s="4"/>
      <c r="BB531" s="4"/>
      <c r="BC531" s="4"/>
      <c r="BD531" s="4"/>
      <c r="BE531" s="4"/>
      <c r="BF531" s="4"/>
      <c r="BG531" s="4"/>
      <c r="BH531" s="4"/>
      <c r="BI531" s="567"/>
    </row>
    <row r="532" spans="1:61" ht="12.75" customHeight="1" x14ac:dyDescent="0.25">
      <c r="A532" s="4"/>
      <c r="B532" s="4"/>
      <c r="C532" s="4"/>
      <c r="D532" s="4"/>
      <c r="E532" s="128"/>
      <c r="F532" s="128"/>
      <c r="G532" s="753"/>
      <c r="H532" s="128"/>
      <c r="I532" s="128"/>
      <c r="J532" s="130"/>
      <c r="K532" s="128"/>
      <c r="L532" s="128"/>
      <c r="M532" s="130"/>
      <c r="N532" s="130"/>
      <c r="O532" s="130"/>
      <c r="P532" s="128"/>
      <c r="Q532" s="128"/>
      <c r="R532" s="128"/>
      <c r="S532" s="298"/>
      <c r="T532" s="4"/>
      <c r="U532" s="4"/>
      <c r="V532" s="4"/>
      <c r="W532" s="4"/>
      <c r="X532" s="4"/>
      <c r="Y532" s="128"/>
      <c r="Z532" s="128"/>
      <c r="AA532" s="128"/>
      <c r="AB532" s="4"/>
      <c r="AC532" s="4"/>
      <c r="AD532" s="4"/>
      <c r="AE532" s="4"/>
      <c r="AF532" s="4"/>
      <c r="AG532" s="4"/>
      <c r="AH532" s="4"/>
      <c r="AI532" s="4"/>
      <c r="AJ532" s="246"/>
      <c r="AK532" s="246"/>
      <c r="AL532" s="129"/>
      <c r="AM532" s="129"/>
      <c r="AN532" s="129"/>
      <c r="AO532" s="246"/>
      <c r="AP532" s="246"/>
      <c r="AQ532" s="249"/>
      <c r="AR532" s="4"/>
      <c r="AS532" s="4"/>
      <c r="AT532" s="4"/>
      <c r="AU532" s="4"/>
      <c r="AV532" s="4"/>
      <c r="AW532" s="4"/>
      <c r="AX532" s="4"/>
      <c r="AY532" s="128"/>
      <c r="AZ532" s="4"/>
      <c r="BA532" s="4"/>
      <c r="BB532" s="4"/>
      <c r="BC532" s="4"/>
      <c r="BD532" s="4"/>
      <c r="BE532" s="4"/>
      <c r="BF532" s="4"/>
      <c r="BG532" s="4"/>
      <c r="BH532" s="4"/>
      <c r="BI532" s="567"/>
    </row>
    <row r="533" spans="1:61" ht="12.75" customHeight="1" x14ac:dyDescent="0.25">
      <c r="A533" s="4"/>
      <c r="B533" s="4"/>
      <c r="C533" s="4"/>
      <c r="D533" s="4"/>
      <c r="E533" s="128"/>
      <c r="F533" s="128"/>
      <c r="G533" s="753"/>
      <c r="H533" s="128"/>
      <c r="I533" s="128"/>
      <c r="J533" s="130"/>
      <c r="K533" s="128"/>
      <c r="L533" s="128"/>
      <c r="M533" s="130"/>
      <c r="N533" s="130"/>
      <c r="O533" s="130"/>
      <c r="P533" s="128"/>
      <c r="Q533" s="128"/>
      <c r="R533" s="128"/>
      <c r="S533" s="298"/>
      <c r="T533" s="4"/>
      <c r="U533" s="4"/>
      <c r="V533" s="4"/>
      <c r="W533" s="4"/>
      <c r="X533" s="4"/>
      <c r="Y533" s="128"/>
      <c r="Z533" s="128"/>
      <c r="AA533" s="128"/>
      <c r="AB533" s="4"/>
      <c r="AC533" s="4"/>
      <c r="AD533" s="4"/>
      <c r="AE533" s="4"/>
      <c r="AF533" s="4"/>
      <c r="AG533" s="4"/>
      <c r="AH533" s="4"/>
      <c r="AI533" s="4"/>
      <c r="AJ533" s="246"/>
      <c r="AK533" s="246"/>
      <c r="AL533" s="129"/>
      <c r="AM533" s="129"/>
      <c r="AN533" s="129"/>
      <c r="AO533" s="246"/>
      <c r="AP533" s="246"/>
      <c r="AQ533" s="249"/>
      <c r="AR533" s="4"/>
      <c r="AS533" s="4"/>
      <c r="AT533" s="4"/>
      <c r="AU533" s="4"/>
      <c r="AV533" s="4"/>
      <c r="AW533" s="4"/>
      <c r="AX533" s="4"/>
      <c r="AY533" s="128"/>
      <c r="AZ533" s="4"/>
      <c r="BA533" s="4"/>
      <c r="BB533" s="4"/>
      <c r="BC533" s="4"/>
      <c r="BD533" s="4"/>
      <c r="BE533" s="4"/>
      <c r="BF533" s="4"/>
      <c r="BG533" s="4"/>
      <c r="BH533" s="4"/>
      <c r="BI533" s="567"/>
    </row>
    <row r="534" spans="1:61" ht="12.75" customHeight="1" x14ac:dyDescent="0.25">
      <c r="A534" s="4"/>
      <c r="B534" s="4"/>
      <c r="C534" s="4"/>
      <c r="D534" s="4"/>
      <c r="E534" s="128"/>
      <c r="F534" s="128"/>
      <c r="G534" s="753"/>
      <c r="H534" s="128"/>
      <c r="I534" s="128"/>
      <c r="J534" s="130"/>
      <c r="K534" s="128"/>
      <c r="L534" s="128"/>
      <c r="M534" s="130"/>
      <c r="N534" s="130"/>
      <c r="O534" s="130"/>
      <c r="P534" s="128"/>
      <c r="Q534" s="128"/>
      <c r="R534" s="128"/>
      <c r="S534" s="298"/>
      <c r="T534" s="4"/>
      <c r="U534" s="4"/>
      <c r="V534" s="4"/>
      <c r="W534" s="4"/>
      <c r="X534" s="4"/>
      <c r="Y534" s="128"/>
      <c r="Z534" s="128"/>
      <c r="AA534" s="128"/>
      <c r="AB534" s="4"/>
      <c r="AC534" s="4"/>
      <c r="AD534" s="4"/>
      <c r="AE534" s="4"/>
      <c r="AF534" s="4"/>
      <c r="AG534" s="4"/>
      <c r="AH534" s="4"/>
      <c r="AI534" s="4"/>
      <c r="AJ534" s="246"/>
      <c r="AK534" s="246"/>
      <c r="AL534" s="129"/>
      <c r="AM534" s="129"/>
      <c r="AN534" s="129"/>
      <c r="AO534" s="246"/>
      <c r="AP534" s="246"/>
      <c r="AQ534" s="249"/>
      <c r="AR534" s="4"/>
      <c r="AS534" s="4"/>
      <c r="AT534" s="4"/>
      <c r="AU534" s="4"/>
      <c r="AV534" s="4"/>
      <c r="AW534" s="4"/>
      <c r="AX534" s="4"/>
      <c r="AY534" s="128"/>
      <c r="AZ534" s="4"/>
      <c r="BA534" s="4"/>
      <c r="BB534" s="4"/>
      <c r="BC534" s="4"/>
      <c r="BD534" s="4"/>
      <c r="BE534" s="4"/>
      <c r="BF534" s="4"/>
      <c r="BG534" s="4"/>
      <c r="BH534" s="4"/>
      <c r="BI534" s="567"/>
    </row>
    <row r="535" spans="1:61" ht="12.75" customHeight="1" x14ac:dyDescent="0.25">
      <c r="A535" s="4"/>
      <c r="B535" s="4"/>
      <c r="C535" s="4"/>
      <c r="D535" s="4"/>
      <c r="E535" s="128"/>
      <c r="F535" s="128"/>
      <c r="G535" s="753"/>
      <c r="H535" s="128"/>
      <c r="I535" s="128"/>
      <c r="J535" s="130"/>
      <c r="K535" s="128"/>
      <c r="L535" s="128"/>
      <c r="M535" s="130"/>
      <c r="N535" s="130"/>
      <c r="O535" s="130"/>
      <c r="P535" s="128"/>
      <c r="Q535" s="128"/>
      <c r="R535" s="128"/>
      <c r="S535" s="298"/>
      <c r="T535" s="4"/>
      <c r="U535" s="4"/>
      <c r="V535" s="4"/>
      <c r="W535" s="4"/>
      <c r="X535" s="4"/>
      <c r="Y535" s="128"/>
      <c r="Z535" s="128"/>
      <c r="AA535" s="128"/>
      <c r="AB535" s="4"/>
      <c r="AC535" s="4"/>
      <c r="AD535" s="4"/>
      <c r="AE535" s="4"/>
      <c r="AF535" s="4"/>
      <c r="AG535" s="4"/>
      <c r="AH535" s="4"/>
      <c r="AI535" s="4"/>
      <c r="AJ535" s="246"/>
      <c r="AK535" s="246"/>
      <c r="AL535" s="129"/>
      <c r="AM535" s="129"/>
      <c r="AN535" s="129"/>
      <c r="AO535" s="246"/>
      <c r="AP535" s="246"/>
      <c r="AQ535" s="249"/>
      <c r="AR535" s="4"/>
      <c r="AS535" s="4"/>
      <c r="AT535" s="4"/>
      <c r="AU535" s="4"/>
      <c r="AV535" s="4"/>
      <c r="AW535" s="4"/>
      <c r="AX535" s="4"/>
      <c r="AY535" s="128"/>
      <c r="AZ535" s="4"/>
      <c r="BA535" s="4"/>
      <c r="BB535" s="4"/>
      <c r="BC535" s="4"/>
      <c r="BD535" s="4"/>
      <c r="BE535" s="4"/>
      <c r="BF535" s="4"/>
      <c r="BG535" s="4"/>
      <c r="BH535" s="4"/>
      <c r="BI535" s="567"/>
    </row>
    <row r="536" spans="1:61" ht="12.75" customHeight="1" x14ac:dyDescent="0.25">
      <c r="A536" s="4"/>
      <c r="B536" s="4"/>
      <c r="C536" s="4"/>
      <c r="D536" s="4"/>
      <c r="E536" s="128"/>
      <c r="F536" s="128"/>
      <c r="G536" s="753"/>
      <c r="H536" s="128"/>
      <c r="I536" s="128"/>
      <c r="J536" s="130"/>
      <c r="K536" s="128"/>
      <c r="L536" s="128"/>
      <c r="M536" s="130"/>
      <c r="N536" s="130"/>
      <c r="O536" s="130"/>
      <c r="P536" s="128"/>
      <c r="Q536" s="128"/>
      <c r="R536" s="128"/>
      <c r="S536" s="298"/>
      <c r="T536" s="4"/>
      <c r="U536" s="4"/>
      <c r="V536" s="4"/>
      <c r="W536" s="4"/>
      <c r="X536" s="4"/>
      <c r="Y536" s="128"/>
      <c r="Z536" s="128"/>
      <c r="AA536" s="128"/>
      <c r="AB536" s="4"/>
      <c r="AC536" s="4"/>
      <c r="AD536" s="4"/>
      <c r="AE536" s="4"/>
      <c r="AF536" s="4"/>
      <c r="AG536" s="4"/>
      <c r="AH536" s="4"/>
      <c r="AI536" s="4"/>
      <c r="AJ536" s="246"/>
      <c r="AK536" s="246"/>
      <c r="AL536" s="129"/>
      <c r="AM536" s="129"/>
      <c r="AN536" s="129"/>
      <c r="AO536" s="246"/>
      <c r="AP536" s="246"/>
      <c r="AQ536" s="249"/>
      <c r="AR536" s="4"/>
      <c r="AS536" s="4"/>
      <c r="AT536" s="4"/>
      <c r="AU536" s="4"/>
      <c r="AV536" s="4"/>
      <c r="AW536" s="4"/>
      <c r="AX536" s="4"/>
      <c r="AY536" s="128"/>
      <c r="AZ536" s="4"/>
      <c r="BA536" s="4"/>
      <c r="BB536" s="4"/>
      <c r="BC536" s="4"/>
      <c r="BD536" s="4"/>
      <c r="BE536" s="4"/>
      <c r="BF536" s="4"/>
      <c r="BG536" s="4"/>
      <c r="BH536" s="4"/>
      <c r="BI536" s="567"/>
    </row>
    <row r="537" spans="1:61" ht="12.75" customHeight="1" x14ac:dyDescent="0.25">
      <c r="A537" s="4"/>
      <c r="B537" s="4"/>
      <c r="C537" s="4"/>
      <c r="D537" s="4"/>
      <c r="E537" s="128"/>
      <c r="F537" s="128"/>
      <c r="G537" s="753"/>
      <c r="H537" s="128"/>
      <c r="I537" s="128"/>
      <c r="J537" s="130"/>
      <c r="K537" s="128"/>
      <c r="L537" s="128"/>
      <c r="M537" s="130"/>
      <c r="N537" s="130"/>
      <c r="O537" s="130"/>
      <c r="P537" s="128"/>
      <c r="Q537" s="128"/>
      <c r="R537" s="128"/>
      <c r="S537" s="298"/>
      <c r="T537" s="4"/>
      <c r="U537" s="4"/>
      <c r="V537" s="4"/>
      <c r="W537" s="4"/>
      <c r="X537" s="4"/>
      <c r="Y537" s="128"/>
      <c r="Z537" s="128"/>
      <c r="AA537" s="128"/>
      <c r="AB537" s="4"/>
      <c r="AC537" s="4"/>
      <c r="AD537" s="4"/>
      <c r="AE537" s="4"/>
      <c r="AF537" s="4"/>
      <c r="AG537" s="4"/>
      <c r="AH537" s="4"/>
      <c r="AI537" s="4"/>
      <c r="AJ537" s="246"/>
      <c r="AK537" s="246"/>
      <c r="AL537" s="129"/>
      <c r="AM537" s="129"/>
      <c r="AN537" s="129"/>
      <c r="AO537" s="246"/>
      <c r="AP537" s="246"/>
      <c r="AQ537" s="249"/>
      <c r="AR537" s="4"/>
      <c r="AS537" s="4"/>
      <c r="AT537" s="4"/>
      <c r="AU537" s="4"/>
      <c r="AV537" s="4"/>
      <c r="AW537" s="4"/>
      <c r="AX537" s="4"/>
      <c r="AY537" s="128"/>
      <c r="AZ537" s="4"/>
      <c r="BA537" s="4"/>
      <c r="BB537" s="4"/>
      <c r="BC537" s="4"/>
      <c r="BD537" s="4"/>
      <c r="BE537" s="4"/>
      <c r="BF537" s="4"/>
      <c r="BG537" s="4"/>
      <c r="BH537" s="4"/>
      <c r="BI537" s="567"/>
    </row>
    <row r="538" spans="1:61" ht="12.75" customHeight="1" x14ac:dyDescent="0.25">
      <c r="A538" s="4"/>
      <c r="B538" s="4"/>
      <c r="C538" s="4"/>
      <c r="D538" s="4"/>
      <c r="E538" s="128"/>
      <c r="F538" s="128"/>
      <c r="G538" s="753"/>
      <c r="H538" s="128"/>
      <c r="I538" s="128"/>
      <c r="J538" s="130"/>
      <c r="K538" s="128"/>
      <c r="L538" s="128"/>
      <c r="M538" s="130"/>
      <c r="N538" s="130"/>
      <c r="O538" s="130"/>
      <c r="P538" s="128"/>
      <c r="Q538" s="128"/>
      <c r="R538" s="128"/>
      <c r="S538" s="298"/>
      <c r="T538" s="4"/>
      <c r="U538" s="4"/>
      <c r="V538" s="4"/>
      <c r="W538" s="4"/>
      <c r="X538" s="4"/>
      <c r="Y538" s="128"/>
      <c r="Z538" s="128"/>
      <c r="AA538" s="128"/>
      <c r="AB538" s="4"/>
      <c r="AC538" s="4"/>
      <c r="AD538" s="4"/>
      <c r="AE538" s="4"/>
      <c r="AF538" s="4"/>
      <c r="AG538" s="4"/>
      <c r="AH538" s="4"/>
      <c r="AI538" s="4"/>
      <c r="AJ538" s="246"/>
      <c r="AK538" s="246"/>
      <c r="AL538" s="129"/>
      <c r="AM538" s="129"/>
      <c r="AN538" s="129"/>
      <c r="AO538" s="246"/>
      <c r="AP538" s="246"/>
      <c r="AQ538" s="249"/>
      <c r="AR538" s="4"/>
      <c r="AS538" s="4"/>
      <c r="AT538" s="4"/>
      <c r="AU538" s="4"/>
      <c r="AV538" s="4"/>
      <c r="AW538" s="4"/>
      <c r="AX538" s="4"/>
      <c r="AY538" s="128"/>
      <c r="AZ538" s="4"/>
      <c r="BA538" s="4"/>
      <c r="BB538" s="4"/>
      <c r="BC538" s="4"/>
      <c r="BD538" s="4"/>
      <c r="BE538" s="4"/>
      <c r="BF538" s="4"/>
      <c r="BG538" s="4"/>
      <c r="BH538" s="4"/>
      <c r="BI538" s="567"/>
    </row>
    <row r="539" spans="1:61" ht="12.75" customHeight="1" x14ac:dyDescent="0.25">
      <c r="A539" s="4"/>
      <c r="B539" s="4"/>
      <c r="C539" s="4"/>
      <c r="D539" s="4"/>
      <c r="E539" s="128"/>
      <c r="F539" s="128"/>
      <c r="G539" s="753"/>
      <c r="H539" s="128"/>
      <c r="I539" s="128"/>
      <c r="J539" s="130"/>
      <c r="K539" s="128"/>
      <c r="L539" s="128"/>
      <c r="M539" s="130"/>
      <c r="N539" s="130"/>
      <c r="O539" s="130"/>
      <c r="P539" s="128"/>
      <c r="Q539" s="128"/>
      <c r="R539" s="128"/>
      <c r="S539" s="298"/>
      <c r="T539" s="4"/>
      <c r="U539" s="4"/>
      <c r="V539" s="4"/>
      <c r="W539" s="4"/>
      <c r="X539" s="4"/>
      <c r="Y539" s="128"/>
      <c r="Z539" s="128"/>
      <c r="AA539" s="128"/>
      <c r="AB539" s="4"/>
      <c r="AC539" s="4"/>
      <c r="AD539" s="4"/>
      <c r="AE539" s="4"/>
      <c r="AF539" s="4"/>
      <c r="AG539" s="4"/>
      <c r="AH539" s="4"/>
      <c r="AI539" s="4"/>
      <c r="AJ539" s="246"/>
      <c r="AK539" s="246"/>
      <c r="AL539" s="129"/>
      <c r="AM539" s="129"/>
      <c r="AN539" s="129"/>
      <c r="AO539" s="246"/>
      <c r="AP539" s="246"/>
      <c r="AQ539" s="249"/>
      <c r="AR539" s="4"/>
      <c r="AS539" s="4"/>
      <c r="AT539" s="4"/>
      <c r="AU539" s="4"/>
      <c r="AV539" s="4"/>
      <c r="AW539" s="4"/>
      <c r="AX539" s="4"/>
      <c r="AY539" s="128"/>
      <c r="AZ539" s="4"/>
      <c r="BA539" s="4"/>
      <c r="BB539" s="4"/>
      <c r="BC539" s="4"/>
      <c r="BD539" s="4"/>
      <c r="BE539" s="4"/>
      <c r="BF539" s="4"/>
      <c r="BG539" s="4"/>
      <c r="BH539" s="4"/>
      <c r="BI539" s="567"/>
    </row>
    <row r="540" spans="1:61" ht="12.75" customHeight="1" x14ac:dyDescent="0.25">
      <c r="A540" s="4"/>
      <c r="B540" s="4"/>
      <c r="C540" s="4"/>
      <c r="D540" s="4"/>
      <c r="E540" s="128"/>
      <c r="F540" s="128"/>
      <c r="G540" s="753"/>
      <c r="H540" s="128"/>
      <c r="I540" s="128"/>
      <c r="J540" s="130"/>
      <c r="K540" s="128"/>
      <c r="L540" s="128"/>
      <c r="M540" s="130"/>
      <c r="N540" s="130"/>
      <c r="O540" s="130"/>
      <c r="P540" s="128"/>
      <c r="Q540" s="128"/>
      <c r="R540" s="128"/>
      <c r="S540" s="298"/>
      <c r="T540" s="4"/>
      <c r="U540" s="4"/>
      <c r="V540" s="4"/>
      <c r="W540" s="4"/>
      <c r="X540" s="4"/>
      <c r="Y540" s="128"/>
      <c r="Z540" s="128"/>
      <c r="AA540" s="128"/>
      <c r="AB540" s="4"/>
      <c r="AC540" s="4"/>
      <c r="AD540" s="4"/>
      <c r="AE540" s="4"/>
      <c r="AF540" s="4"/>
      <c r="AG540" s="4"/>
      <c r="AH540" s="4"/>
      <c r="AI540" s="4"/>
      <c r="AJ540" s="246"/>
      <c r="AK540" s="246"/>
      <c r="AL540" s="129"/>
      <c r="AM540" s="129"/>
      <c r="AN540" s="129"/>
      <c r="AO540" s="246"/>
      <c r="AP540" s="246"/>
      <c r="AQ540" s="249"/>
      <c r="AR540" s="4"/>
      <c r="AS540" s="4"/>
      <c r="AT540" s="4"/>
      <c r="AU540" s="4"/>
      <c r="AV540" s="4"/>
      <c r="AW540" s="4"/>
      <c r="AX540" s="4"/>
      <c r="AY540" s="128"/>
      <c r="AZ540" s="4"/>
      <c r="BA540" s="4"/>
      <c r="BB540" s="4"/>
      <c r="BC540" s="4"/>
      <c r="BD540" s="4"/>
      <c r="BE540" s="4"/>
      <c r="BF540" s="4"/>
      <c r="BG540" s="4"/>
      <c r="BH540" s="4"/>
      <c r="BI540" s="567"/>
    </row>
    <row r="541" spans="1:61" ht="12.75" customHeight="1" x14ac:dyDescent="0.25">
      <c r="A541" s="4"/>
      <c r="B541" s="4"/>
      <c r="C541" s="4"/>
      <c r="D541" s="4"/>
      <c r="E541" s="128"/>
      <c r="F541" s="128"/>
      <c r="G541" s="753"/>
      <c r="H541" s="128"/>
      <c r="I541" s="128"/>
      <c r="J541" s="130"/>
      <c r="K541" s="128"/>
      <c r="L541" s="128"/>
      <c r="M541" s="130"/>
      <c r="N541" s="130"/>
      <c r="O541" s="130"/>
      <c r="P541" s="128"/>
      <c r="Q541" s="128"/>
      <c r="R541" s="128"/>
      <c r="S541" s="298"/>
      <c r="T541" s="4"/>
      <c r="U541" s="4"/>
      <c r="V541" s="4"/>
      <c r="W541" s="4"/>
      <c r="X541" s="4"/>
      <c r="Y541" s="128"/>
      <c r="Z541" s="128"/>
      <c r="AA541" s="128"/>
      <c r="AB541" s="4"/>
      <c r="AC541" s="4"/>
      <c r="AD541" s="4"/>
      <c r="AE541" s="4"/>
      <c r="AF541" s="4"/>
      <c r="AG541" s="4"/>
      <c r="AH541" s="4"/>
      <c r="AI541" s="4"/>
      <c r="AJ541" s="246"/>
      <c r="AK541" s="246"/>
      <c r="AL541" s="129"/>
      <c r="AM541" s="129"/>
      <c r="AN541" s="129"/>
      <c r="AO541" s="246"/>
      <c r="AP541" s="246"/>
      <c r="AQ541" s="249"/>
      <c r="AR541" s="4"/>
      <c r="AS541" s="4"/>
      <c r="AT541" s="4"/>
      <c r="AU541" s="4"/>
      <c r="AV541" s="4"/>
      <c r="AW541" s="4"/>
      <c r="AX541" s="4"/>
      <c r="AY541" s="128"/>
      <c r="AZ541" s="4"/>
      <c r="BA541" s="4"/>
      <c r="BB541" s="4"/>
      <c r="BC541" s="4"/>
      <c r="BD541" s="4"/>
      <c r="BE541" s="4"/>
      <c r="BF541" s="4"/>
      <c r="BG541" s="4"/>
      <c r="BH541" s="4"/>
      <c r="BI541" s="567"/>
    </row>
    <row r="542" spans="1:61" ht="12.75" customHeight="1" x14ac:dyDescent="0.25">
      <c r="A542" s="4"/>
      <c r="B542" s="4"/>
      <c r="C542" s="4"/>
      <c r="D542" s="4"/>
      <c r="E542" s="128"/>
      <c r="F542" s="128"/>
      <c r="G542" s="753"/>
      <c r="H542" s="128"/>
      <c r="I542" s="128"/>
      <c r="J542" s="130"/>
      <c r="K542" s="128"/>
      <c r="L542" s="128"/>
      <c r="M542" s="130"/>
      <c r="N542" s="130"/>
      <c r="O542" s="130"/>
      <c r="P542" s="128"/>
      <c r="Q542" s="128"/>
      <c r="R542" s="128"/>
      <c r="S542" s="298"/>
      <c r="T542" s="4"/>
      <c r="U542" s="4"/>
      <c r="V542" s="4"/>
      <c r="W542" s="4"/>
      <c r="X542" s="4"/>
      <c r="Y542" s="128"/>
      <c r="Z542" s="128"/>
      <c r="AA542" s="128"/>
      <c r="AB542" s="4"/>
      <c r="AC542" s="4"/>
      <c r="AD542" s="4"/>
      <c r="AE542" s="4"/>
      <c r="AF542" s="4"/>
      <c r="AG542" s="4"/>
      <c r="AH542" s="4"/>
      <c r="AI542" s="4"/>
      <c r="AJ542" s="246"/>
      <c r="AK542" s="246"/>
      <c r="AL542" s="129"/>
      <c r="AM542" s="129"/>
      <c r="AN542" s="129"/>
      <c r="AO542" s="246"/>
      <c r="AP542" s="246"/>
      <c r="AQ542" s="249"/>
      <c r="AR542" s="4"/>
      <c r="AS542" s="4"/>
      <c r="AT542" s="4"/>
      <c r="AU542" s="4"/>
      <c r="AV542" s="4"/>
      <c r="AW542" s="4"/>
      <c r="AX542" s="4"/>
      <c r="AY542" s="128"/>
      <c r="AZ542" s="4"/>
      <c r="BA542" s="4"/>
      <c r="BB542" s="4"/>
      <c r="BC542" s="4"/>
      <c r="BD542" s="4"/>
      <c r="BE542" s="4"/>
      <c r="BF542" s="4"/>
      <c r="BG542" s="4"/>
      <c r="BH542" s="4"/>
      <c r="BI542" s="567"/>
    </row>
    <row r="543" spans="1:61" ht="12.75" customHeight="1" x14ac:dyDescent="0.25">
      <c r="A543" s="4"/>
      <c r="B543" s="4"/>
      <c r="C543" s="4"/>
      <c r="D543" s="4"/>
      <c r="E543" s="128"/>
      <c r="F543" s="128"/>
      <c r="G543" s="753"/>
      <c r="H543" s="128"/>
      <c r="I543" s="128"/>
      <c r="J543" s="130"/>
      <c r="K543" s="128"/>
      <c r="L543" s="128"/>
      <c r="M543" s="130"/>
      <c r="N543" s="130"/>
      <c r="O543" s="130"/>
      <c r="P543" s="128"/>
      <c r="Q543" s="128"/>
      <c r="R543" s="128"/>
      <c r="S543" s="298"/>
      <c r="T543" s="4"/>
      <c r="U543" s="4"/>
      <c r="V543" s="4"/>
      <c r="W543" s="4"/>
      <c r="X543" s="4"/>
      <c r="Y543" s="128"/>
      <c r="Z543" s="128"/>
      <c r="AA543" s="128"/>
      <c r="AB543" s="4"/>
      <c r="AC543" s="4"/>
      <c r="AD543" s="4"/>
      <c r="AE543" s="4"/>
      <c r="AF543" s="4"/>
      <c r="AG543" s="4"/>
      <c r="AH543" s="4"/>
      <c r="AI543" s="4"/>
      <c r="AJ543" s="246"/>
      <c r="AK543" s="246"/>
      <c r="AL543" s="129"/>
      <c r="AM543" s="129"/>
      <c r="AN543" s="129"/>
      <c r="AO543" s="246"/>
      <c r="AP543" s="246"/>
      <c r="AQ543" s="249"/>
      <c r="AR543" s="4"/>
      <c r="AS543" s="4"/>
      <c r="AT543" s="4"/>
      <c r="AU543" s="4"/>
      <c r="AV543" s="4"/>
      <c r="AW543" s="4"/>
      <c r="AX543" s="4"/>
      <c r="AY543" s="128"/>
      <c r="AZ543" s="4"/>
      <c r="BA543" s="4"/>
      <c r="BB543" s="4"/>
      <c r="BC543" s="4"/>
      <c r="BD543" s="4"/>
      <c r="BE543" s="4"/>
      <c r="BF543" s="4"/>
      <c r="BG543" s="4"/>
      <c r="BH543" s="4"/>
      <c r="BI543" s="567"/>
    </row>
    <row r="544" spans="1:61" ht="12.75" customHeight="1" x14ac:dyDescent="0.25">
      <c r="A544" s="4"/>
      <c r="B544" s="4"/>
      <c r="C544" s="4"/>
      <c r="D544" s="4"/>
      <c r="E544" s="128"/>
      <c r="F544" s="128"/>
      <c r="G544" s="753"/>
      <c r="H544" s="128"/>
      <c r="I544" s="128"/>
      <c r="J544" s="130"/>
      <c r="K544" s="128"/>
      <c r="L544" s="128"/>
      <c r="M544" s="130"/>
      <c r="N544" s="130"/>
      <c r="O544" s="130"/>
      <c r="P544" s="128"/>
      <c r="Q544" s="128"/>
      <c r="R544" s="128"/>
      <c r="S544" s="298"/>
      <c r="T544" s="4"/>
      <c r="U544" s="4"/>
      <c r="V544" s="4"/>
      <c r="W544" s="4"/>
      <c r="X544" s="4"/>
      <c r="Y544" s="128"/>
      <c r="Z544" s="128"/>
      <c r="AA544" s="128"/>
      <c r="AB544" s="4"/>
      <c r="AC544" s="4"/>
      <c r="AD544" s="4"/>
      <c r="AE544" s="4"/>
      <c r="AF544" s="4"/>
      <c r="AG544" s="4"/>
      <c r="AH544" s="4"/>
      <c r="AI544" s="4"/>
      <c r="AJ544" s="246"/>
      <c r="AK544" s="246"/>
      <c r="AL544" s="129"/>
      <c r="AM544" s="129"/>
      <c r="AN544" s="129"/>
      <c r="AO544" s="246"/>
      <c r="AP544" s="246"/>
      <c r="AQ544" s="249"/>
      <c r="AR544" s="4"/>
      <c r="AS544" s="4"/>
      <c r="AT544" s="4"/>
      <c r="AU544" s="4"/>
      <c r="AV544" s="4"/>
      <c r="AW544" s="4"/>
      <c r="AX544" s="4"/>
      <c r="AY544" s="128"/>
      <c r="AZ544" s="4"/>
      <c r="BA544" s="4"/>
      <c r="BB544" s="4"/>
      <c r="BC544" s="4"/>
      <c r="BD544" s="4"/>
      <c r="BE544" s="4"/>
      <c r="BF544" s="4"/>
      <c r="BG544" s="4"/>
      <c r="BH544" s="4"/>
      <c r="BI544" s="567"/>
    </row>
    <row r="545" spans="1:61" ht="12.75" customHeight="1" x14ac:dyDescent="0.25">
      <c r="A545" s="4"/>
      <c r="B545" s="4"/>
      <c r="C545" s="4"/>
      <c r="D545" s="4"/>
      <c r="E545" s="128"/>
      <c r="F545" s="128"/>
      <c r="G545" s="753"/>
      <c r="H545" s="128"/>
      <c r="I545" s="128"/>
      <c r="J545" s="130"/>
      <c r="K545" s="128"/>
      <c r="L545" s="128"/>
      <c r="M545" s="130"/>
      <c r="N545" s="130"/>
      <c r="O545" s="130"/>
      <c r="P545" s="128"/>
      <c r="Q545" s="128"/>
      <c r="R545" s="128"/>
      <c r="S545" s="298"/>
      <c r="T545" s="4"/>
      <c r="U545" s="4"/>
      <c r="V545" s="4"/>
      <c r="W545" s="4"/>
      <c r="X545" s="4"/>
      <c r="Y545" s="128"/>
      <c r="Z545" s="128"/>
      <c r="AA545" s="128"/>
      <c r="AB545" s="4"/>
      <c r="AC545" s="4"/>
      <c r="AD545" s="4"/>
      <c r="AE545" s="4"/>
      <c r="AF545" s="4"/>
      <c r="AG545" s="4"/>
      <c r="AH545" s="4"/>
      <c r="AI545" s="4"/>
      <c r="AJ545" s="246"/>
      <c r="AK545" s="246"/>
      <c r="AL545" s="129"/>
      <c r="AM545" s="129"/>
      <c r="AN545" s="129"/>
      <c r="AO545" s="246"/>
      <c r="AP545" s="246"/>
      <c r="AQ545" s="249"/>
      <c r="AR545" s="4"/>
      <c r="AS545" s="4"/>
      <c r="AT545" s="4"/>
      <c r="AU545" s="4"/>
      <c r="AV545" s="4"/>
      <c r="AW545" s="4"/>
      <c r="AX545" s="4"/>
      <c r="AY545" s="128"/>
      <c r="AZ545" s="4"/>
      <c r="BA545" s="4"/>
      <c r="BB545" s="4"/>
      <c r="BC545" s="4"/>
      <c r="BD545" s="4"/>
      <c r="BE545" s="4"/>
      <c r="BF545" s="4"/>
      <c r="BG545" s="4"/>
      <c r="BH545" s="4"/>
      <c r="BI545" s="567"/>
    </row>
    <row r="546" spans="1:61" ht="12.75" customHeight="1" x14ac:dyDescent="0.25">
      <c r="A546" s="4"/>
      <c r="B546" s="4"/>
      <c r="C546" s="4"/>
      <c r="D546" s="4"/>
      <c r="E546" s="128"/>
      <c r="F546" s="128"/>
      <c r="G546" s="753"/>
      <c r="H546" s="128"/>
      <c r="I546" s="128"/>
      <c r="J546" s="130"/>
      <c r="K546" s="128"/>
      <c r="L546" s="128"/>
      <c r="M546" s="130"/>
      <c r="N546" s="130"/>
      <c r="O546" s="130"/>
      <c r="P546" s="128"/>
      <c r="Q546" s="128"/>
      <c r="R546" s="128"/>
      <c r="S546" s="298"/>
      <c r="T546" s="4"/>
      <c r="U546" s="4"/>
      <c r="V546" s="4"/>
      <c r="W546" s="4"/>
      <c r="X546" s="4"/>
      <c r="Y546" s="128"/>
      <c r="Z546" s="128"/>
      <c r="AA546" s="128"/>
      <c r="AB546" s="4"/>
      <c r="AC546" s="4"/>
      <c r="AD546" s="4"/>
      <c r="AE546" s="4"/>
      <c r="AF546" s="4"/>
      <c r="AG546" s="4"/>
      <c r="AH546" s="4"/>
      <c r="AI546" s="4"/>
      <c r="AJ546" s="246"/>
      <c r="AK546" s="246"/>
      <c r="AL546" s="129"/>
      <c r="AM546" s="129"/>
      <c r="AN546" s="129"/>
      <c r="AO546" s="246"/>
      <c r="AP546" s="246"/>
      <c r="AQ546" s="249"/>
      <c r="AR546" s="4"/>
      <c r="AS546" s="4"/>
      <c r="AT546" s="4"/>
      <c r="AU546" s="4"/>
      <c r="AV546" s="4"/>
      <c r="AW546" s="4"/>
      <c r="AX546" s="4"/>
      <c r="AY546" s="128"/>
      <c r="AZ546" s="4"/>
      <c r="BA546" s="4"/>
      <c r="BB546" s="4"/>
      <c r="BC546" s="4"/>
      <c r="BD546" s="4"/>
      <c r="BE546" s="4"/>
      <c r="BF546" s="4"/>
      <c r="BG546" s="4"/>
      <c r="BH546" s="4"/>
      <c r="BI546" s="567"/>
    </row>
    <row r="547" spans="1:61" ht="12.75" customHeight="1" x14ac:dyDescent="0.25">
      <c r="A547" s="4"/>
      <c r="B547" s="4"/>
      <c r="C547" s="4"/>
      <c r="D547" s="4"/>
      <c r="E547" s="128"/>
      <c r="F547" s="128"/>
      <c r="G547" s="753"/>
      <c r="H547" s="128"/>
      <c r="I547" s="128"/>
      <c r="J547" s="130"/>
      <c r="K547" s="128"/>
      <c r="L547" s="128"/>
      <c r="M547" s="130"/>
      <c r="N547" s="130"/>
      <c r="O547" s="130"/>
      <c r="P547" s="128"/>
      <c r="Q547" s="128"/>
      <c r="R547" s="128"/>
      <c r="S547" s="298"/>
      <c r="T547" s="4"/>
      <c r="U547" s="4"/>
      <c r="V547" s="4"/>
      <c r="W547" s="4"/>
      <c r="X547" s="4"/>
      <c r="Y547" s="128"/>
      <c r="Z547" s="128"/>
      <c r="AA547" s="128"/>
      <c r="AB547" s="4"/>
      <c r="AC547" s="4"/>
      <c r="AD547" s="4"/>
      <c r="AE547" s="4"/>
      <c r="AF547" s="4"/>
      <c r="AG547" s="4"/>
      <c r="AH547" s="4"/>
      <c r="AI547" s="4"/>
      <c r="AJ547" s="246"/>
      <c r="AK547" s="246"/>
      <c r="AL547" s="129"/>
      <c r="AM547" s="129"/>
      <c r="AN547" s="129"/>
      <c r="AO547" s="246"/>
      <c r="AP547" s="246"/>
      <c r="AQ547" s="249"/>
      <c r="AR547" s="4"/>
      <c r="AS547" s="4"/>
      <c r="AT547" s="4"/>
      <c r="AU547" s="4"/>
      <c r="AV547" s="4"/>
      <c r="AW547" s="4"/>
      <c r="AX547" s="4"/>
      <c r="AY547" s="128"/>
      <c r="AZ547" s="4"/>
      <c r="BA547" s="4"/>
      <c r="BB547" s="4"/>
      <c r="BC547" s="4"/>
      <c r="BD547" s="4"/>
      <c r="BE547" s="4"/>
      <c r="BF547" s="4"/>
      <c r="BG547" s="4"/>
      <c r="BH547" s="4"/>
      <c r="BI547" s="567"/>
    </row>
    <row r="548" spans="1:61" ht="12.75" customHeight="1" x14ac:dyDescent="0.25">
      <c r="A548" s="4"/>
      <c r="B548" s="4"/>
      <c r="C548" s="4"/>
      <c r="D548" s="4"/>
      <c r="E548" s="128"/>
      <c r="F548" s="128"/>
      <c r="G548" s="753"/>
      <c r="H548" s="128"/>
      <c r="I548" s="128"/>
      <c r="J548" s="130"/>
      <c r="K548" s="128"/>
      <c r="L548" s="128"/>
      <c r="M548" s="130"/>
      <c r="N548" s="130"/>
      <c r="O548" s="130"/>
      <c r="P548" s="128"/>
      <c r="Q548" s="128"/>
      <c r="R548" s="128"/>
      <c r="S548" s="298"/>
      <c r="T548" s="4"/>
      <c r="U548" s="4"/>
      <c r="V548" s="4"/>
      <c r="W548" s="4"/>
      <c r="X548" s="4"/>
      <c r="Y548" s="128"/>
      <c r="Z548" s="128"/>
      <c r="AA548" s="128"/>
      <c r="AB548" s="4"/>
      <c r="AC548" s="4"/>
      <c r="AD548" s="4"/>
      <c r="AE548" s="4"/>
      <c r="AF548" s="4"/>
      <c r="AG548" s="4"/>
      <c r="AH548" s="4"/>
      <c r="AI548" s="4"/>
      <c r="AJ548" s="246"/>
      <c r="AK548" s="246"/>
      <c r="AL548" s="129"/>
      <c r="AM548" s="129"/>
      <c r="AN548" s="129"/>
      <c r="AO548" s="246"/>
      <c r="AP548" s="246"/>
      <c r="AQ548" s="249"/>
      <c r="AR548" s="4"/>
      <c r="AS548" s="4"/>
      <c r="AT548" s="4"/>
      <c r="AU548" s="4"/>
      <c r="AV548" s="4"/>
      <c r="AW548" s="4"/>
      <c r="AX548" s="4"/>
      <c r="AY548" s="128"/>
      <c r="AZ548" s="4"/>
      <c r="BA548" s="4"/>
      <c r="BB548" s="4"/>
      <c r="BC548" s="4"/>
      <c r="BD548" s="4"/>
      <c r="BE548" s="4"/>
      <c r="BF548" s="4"/>
      <c r="BG548" s="4"/>
      <c r="BH548" s="4"/>
      <c r="BI548" s="567"/>
    </row>
    <row r="549" spans="1:61" ht="12.75" customHeight="1" x14ac:dyDescent="0.25">
      <c r="A549" s="4"/>
      <c r="B549" s="4"/>
      <c r="C549" s="4"/>
      <c r="D549" s="4"/>
      <c r="E549" s="128"/>
      <c r="F549" s="128"/>
      <c r="G549" s="753"/>
      <c r="H549" s="128"/>
      <c r="I549" s="128"/>
      <c r="J549" s="130"/>
      <c r="K549" s="128"/>
      <c r="L549" s="128"/>
      <c r="M549" s="130"/>
      <c r="N549" s="130"/>
      <c r="O549" s="130"/>
      <c r="P549" s="128"/>
      <c r="Q549" s="128"/>
      <c r="R549" s="128"/>
      <c r="S549" s="298"/>
      <c r="T549" s="4"/>
      <c r="U549" s="4"/>
      <c r="V549" s="4"/>
      <c r="W549" s="4"/>
      <c r="X549" s="4"/>
      <c r="Y549" s="128"/>
      <c r="Z549" s="128"/>
      <c r="AA549" s="128"/>
      <c r="AB549" s="4"/>
      <c r="AC549" s="4"/>
      <c r="AD549" s="4"/>
      <c r="AE549" s="4"/>
      <c r="AF549" s="4"/>
      <c r="AG549" s="4"/>
      <c r="AH549" s="4"/>
      <c r="AI549" s="4"/>
      <c r="AJ549" s="246"/>
      <c r="AK549" s="246"/>
      <c r="AL549" s="129"/>
      <c r="AM549" s="129"/>
      <c r="AN549" s="129"/>
      <c r="AO549" s="246"/>
      <c r="AP549" s="246"/>
      <c r="AQ549" s="249"/>
      <c r="AR549" s="4"/>
      <c r="AS549" s="4"/>
      <c r="AT549" s="4"/>
      <c r="AU549" s="4"/>
      <c r="AV549" s="4"/>
      <c r="AW549" s="4"/>
      <c r="AX549" s="4"/>
      <c r="AY549" s="128"/>
      <c r="AZ549" s="4"/>
      <c r="BA549" s="4"/>
      <c r="BB549" s="4"/>
      <c r="BC549" s="4"/>
      <c r="BD549" s="4"/>
      <c r="BE549" s="4"/>
      <c r="BF549" s="4"/>
      <c r="BG549" s="4"/>
      <c r="BH549" s="4"/>
      <c r="BI549" s="567"/>
    </row>
    <row r="550" spans="1:61" ht="12.75" customHeight="1" x14ac:dyDescent="0.25">
      <c r="A550" s="4"/>
      <c r="B550" s="4"/>
      <c r="C550" s="4"/>
      <c r="D550" s="4"/>
      <c r="E550" s="128"/>
      <c r="F550" s="128"/>
      <c r="G550" s="753"/>
      <c r="H550" s="128"/>
      <c r="I550" s="128"/>
      <c r="J550" s="130"/>
      <c r="K550" s="128"/>
      <c r="L550" s="128"/>
      <c r="M550" s="130"/>
      <c r="N550" s="130"/>
      <c r="O550" s="130"/>
      <c r="P550" s="128"/>
      <c r="Q550" s="128"/>
      <c r="R550" s="128"/>
      <c r="S550" s="298"/>
      <c r="T550" s="4"/>
      <c r="U550" s="4"/>
      <c r="V550" s="4"/>
      <c r="W550" s="4"/>
      <c r="X550" s="4"/>
      <c r="Y550" s="128"/>
      <c r="Z550" s="128"/>
      <c r="AA550" s="128"/>
      <c r="AB550" s="4"/>
      <c r="AC550" s="4"/>
      <c r="AD550" s="4"/>
      <c r="AE550" s="4"/>
      <c r="AF550" s="4"/>
      <c r="AG550" s="4"/>
      <c r="AH550" s="4"/>
      <c r="AI550" s="4"/>
      <c r="AJ550" s="246"/>
      <c r="AK550" s="246"/>
      <c r="AL550" s="129"/>
      <c r="AM550" s="129"/>
      <c r="AN550" s="129"/>
      <c r="AO550" s="246"/>
      <c r="AP550" s="246"/>
      <c r="AQ550" s="249"/>
      <c r="AR550" s="4"/>
      <c r="AS550" s="4"/>
      <c r="AT550" s="4"/>
      <c r="AU550" s="4"/>
      <c r="AV550" s="4"/>
      <c r="AW550" s="4"/>
      <c r="AX550" s="4"/>
      <c r="AY550" s="128"/>
      <c r="AZ550" s="4"/>
      <c r="BA550" s="4"/>
      <c r="BB550" s="4"/>
      <c r="BC550" s="4"/>
      <c r="BD550" s="4"/>
      <c r="BE550" s="4"/>
      <c r="BF550" s="4"/>
      <c r="BG550" s="4"/>
      <c r="BH550" s="4"/>
      <c r="BI550" s="567"/>
    </row>
    <row r="551" spans="1:61" ht="12.75" customHeight="1" x14ac:dyDescent="0.25">
      <c r="A551" s="4"/>
      <c r="B551" s="4"/>
      <c r="C551" s="4"/>
      <c r="D551" s="4"/>
      <c r="E551" s="128"/>
      <c r="F551" s="128"/>
      <c r="G551" s="753"/>
      <c r="H551" s="128"/>
      <c r="I551" s="128"/>
      <c r="J551" s="130"/>
      <c r="K551" s="128"/>
      <c r="L551" s="128"/>
      <c r="M551" s="130"/>
      <c r="N551" s="130"/>
      <c r="O551" s="130"/>
      <c r="P551" s="128"/>
      <c r="Q551" s="128"/>
      <c r="R551" s="128"/>
      <c r="S551" s="298"/>
      <c r="T551" s="4"/>
      <c r="U551" s="4"/>
      <c r="V551" s="4"/>
      <c r="W551" s="4"/>
      <c r="X551" s="4"/>
      <c r="Y551" s="128"/>
      <c r="Z551" s="128"/>
      <c r="AA551" s="128"/>
      <c r="AB551" s="4"/>
      <c r="AC551" s="4"/>
      <c r="AD551" s="4"/>
      <c r="AE551" s="4"/>
      <c r="AF551" s="4"/>
      <c r="AG551" s="4"/>
      <c r="AH551" s="4"/>
      <c r="AI551" s="4"/>
      <c r="AJ551" s="246"/>
      <c r="AK551" s="246"/>
      <c r="AL551" s="129"/>
      <c r="AM551" s="129"/>
      <c r="AN551" s="129"/>
      <c r="AO551" s="246"/>
      <c r="AP551" s="246"/>
      <c r="AQ551" s="249"/>
      <c r="AR551" s="4"/>
      <c r="AS551" s="4"/>
      <c r="AT551" s="4"/>
      <c r="AU551" s="4"/>
      <c r="AV551" s="4"/>
      <c r="AW551" s="4"/>
      <c r="AX551" s="4"/>
      <c r="AY551" s="128"/>
      <c r="AZ551" s="4"/>
      <c r="BA551" s="4"/>
      <c r="BB551" s="4"/>
      <c r="BC551" s="4"/>
      <c r="BD551" s="4"/>
      <c r="BE551" s="4"/>
      <c r="BF551" s="4"/>
      <c r="BG551" s="4"/>
      <c r="BH551" s="4"/>
      <c r="BI551" s="567"/>
    </row>
    <row r="552" spans="1:61" ht="12.75" customHeight="1" x14ac:dyDescent="0.25">
      <c r="A552" s="4"/>
      <c r="B552" s="4"/>
      <c r="C552" s="4"/>
      <c r="D552" s="4"/>
      <c r="E552" s="128"/>
      <c r="F552" s="128"/>
      <c r="G552" s="753"/>
      <c r="H552" s="128"/>
      <c r="I552" s="128"/>
      <c r="J552" s="130"/>
      <c r="K552" s="128"/>
      <c r="L552" s="128"/>
      <c r="M552" s="130"/>
      <c r="N552" s="130"/>
      <c r="O552" s="130"/>
      <c r="P552" s="128"/>
      <c r="Q552" s="128"/>
      <c r="R552" s="128"/>
      <c r="S552" s="298"/>
      <c r="T552" s="4"/>
      <c r="U552" s="4"/>
      <c r="V552" s="4"/>
      <c r="W552" s="4"/>
      <c r="X552" s="4"/>
      <c r="Y552" s="128"/>
      <c r="Z552" s="128"/>
      <c r="AA552" s="128"/>
      <c r="AB552" s="4"/>
      <c r="AC552" s="4"/>
      <c r="AD552" s="4"/>
      <c r="AE552" s="4"/>
      <c r="AF552" s="4"/>
      <c r="AG552" s="4"/>
      <c r="AH552" s="4"/>
      <c r="AI552" s="4"/>
      <c r="AJ552" s="246"/>
      <c r="AK552" s="246"/>
      <c r="AL552" s="129"/>
      <c r="AM552" s="129"/>
      <c r="AN552" s="129"/>
      <c r="AO552" s="246"/>
      <c r="AP552" s="246"/>
      <c r="AQ552" s="249"/>
      <c r="AR552" s="4"/>
      <c r="AS552" s="4"/>
      <c r="AT552" s="4"/>
      <c r="AU552" s="4"/>
      <c r="AV552" s="4"/>
      <c r="AW552" s="4"/>
      <c r="AX552" s="4"/>
      <c r="AY552" s="128"/>
      <c r="AZ552" s="4"/>
      <c r="BA552" s="4"/>
      <c r="BB552" s="4"/>
      <c r="BC552" s="4"/>
      <c r="BD552" s="4"/>
      <c r="BE552" s="4"/>
      <c r="BF552" s="4"/>
      <c r="BG552" s="4"/>
      <c r="BH552" s="4"/>
      <c r="BI552" s="567"/>
    </row>
    <row r="553" spans="1:61" ht="12.75" customHeight="1" x14ac:dyDescent="0.25">
      <c r="A553" s="4"/>
      <c r="B553" s="4"/>
      <c r="C553" s="4"/>
      <c r="D553" s="4"/>
      <c r="E553" s="128"/>
      <c r="F553" s="128"/>
      <c r="G553" s="753"/>
      <c r="H553" s="128"/>
      <c r="I553" s="128"/>
      <c r="J553" s="130"/>
      <c r="K553" s="128"/>
      <c r="L553" s="128"/>
      <c r="M553" s="130"/>
      <c r="N553" s="130"/>
      <c r="O553" s="130"/>
      <c r="P553" s="128"/>
      <c r="Q553" s="128"/>
      <c r="R553" s="128"/>
      <c r="S553" s="298"/>
      <c r="T553" s="4"/>
      <c r="U553" s="4"/>
      <c r="V553" s="4"/>
      <c r="W553" s="4"/>
      <c r="X553" s="4"/>
      <c r="Y553" s="128"/>
      <c r="Z553" s="128"/>
      <c r="AA553" s="128"/>
      <c r="AB553" s="4"/>
      <c r="AC553" s="4"/>
      <c r="AD553" s="4"/>
      <c r="AE553" s="4"/>
      <c r="AF553" s="4"/>
      <c r="AG553" s="4"/>
      <c r="AH553" s="4"/>
      <c r="AI553" s="4"/>
      <c r="AJ553" s="246"/>
      <c r="AK553" s="246"/>
      <c r="AL553" s="129"/>
      <c r="AM553" s="129"/>
      <c r="AN553" s="129"/>
      <c r="AO553" s="246"/>
      <c r="AP553" s="246"/>
      <c r="AQ553" s="249"/>
      <c r="AR553" s="4"/>
      <c r="AS553" s="4"/>
      <c r="AT553" s="4"/>
      <c r="AU553" s="4"/>
      <c r="AV553" s="4"/>
      <c r="AW553" s="4"/>
      <c r="AX553" s="4"/>
      <c r="AY553" s="128"/>
      <c r="AZ553" s="4"/>
      <c r="BA553" s="4"/>
      <c r="BB553" s="4"/>
      <c r="BC553" s="4"/>
      <c r="BD553" s="4"/>
      <c r="BE553" s="4"/>
      <c r="BF553" s="4"/>
      <c r="BG553" s="4"/>
      <c r="BH553" s="4"/>
      <c r="BI553" s="567"/>
    </row>
    <row r="554" spans="1:61" ht="12.75" customHeight="1" x14ac:dyDescent="0.25">
      <c r="A554" s="4"/>
      <c r="B554" s="4"/>
      <c r="C554" s="4"/>
      <c r="D554" s="4"/>
      <c r="E554" s="128"/>
      <c r="F554" s="128"/>
      <c r="G554" s="753"/>
      <c r="H554" s="128"/>
      <c r="I554" s="128"/>
      <c r="J554" s="130"/>
      <c r="K554" s="128"/>
      <c r="L554" s="128"/>
      <c r="M554" s="130"/>
      <c r="N554" s="130"/>
      <c r="O554" s="130"/>
      <c r="P554" s="128"/>
      <c r="Q554" s="128"/>
      <c r="R554" s="128"/>
      <c r="S554" s="298"/>
      <c r="T554" s="4"/>
      <c r="U554" s="4"/>
      <c r="V554" s="4"/>
      <c r="W554" s="4"/>
      <c r="X554" s="4"/>
      <c r="Y554" s="128"/>
      <c r="Z554" s="128"/>
      <c r="AA554" s="128"/>
      <c r="AB554" s="4"/>
      <c r="AC554" s="4"/>
      <c r="AD554" s="4"/>
      <c r="AE554" s="4"/>
      <c r="AF554" s="4"/>
      <c r="AG554" s="4"/>
      <c r="AH554" s="4"/>
      <c r="AI554" s="4"/>
      <c r="AJ554" s="246"/>
      <c r="AK554" s="246"/>
      <c r="AL554" s="129"/>
      <c r="AM554" s="129"/>
      <c r="AN554" s="129"/>
      <c r="AO554" s="246"/>
      <c r="AP554" s="246"/>
      <c r="AQ554" s="249"/>
      <c r="AR554" s="4"/>
      <c r="AS554" s="4"/>
      <c r="AT554" s="4"/>
      <c r="AU554" s="4"/>
      <c r="AV554" s="4"/>
      <c r="AW554" s="4"/>
      <c r="AX554" s="4"/>
      <c r="AY554" s="128"/>
      <c r="AZ554" s="4"/>
      <c r="BA554" s="4"/>
      <c r="BB554" s="4"/>
      <c r="BC554" s="4"/>
      <c r="BD554" s="4"/>
      <c r="BE554" s="4"/>
      <c r="BF554" s="4"/>
      <c r="BG554" s="4"/>
      <c r="BH554" s="4"/>
      <c r="BI554" s="567"/>
    </row>
    <row r="555" spans="1:61" ht="12.75" customHeight="1" x14ac:dyDescent="0.25">
      <c r="A555" s="4"/>
      <c r="B555" s="4"/>
      <c r="C555" s="4"/>
      <c r="D555" s="4"/>
      <c r="E555" s="128"/>
      <c r="F555" s="128"/>
      <c r="G555" s="753"/>
      <c r="H555" s="128"/>
      <c r="I555" s="128"/>
      <c r="J555" s="130"/>
      <c r="K555" s="128"/>
      <c r="L555" s="128"/>
      <c r="M555" s="130"/>
      <c r="N555" s="130"/>
      <c r="O555" s="130"/>
      <c r="P555" s="128"/>
      <c r="Q555" s="128"/>
      <c r="R555" s="128"/>
      <c r="S555" s="298"/>
      <c r="T555" s="4"/>
      <c r="U555" s="4"/>
      <c r="V555" s="4"/>
      <c r="W555" s="4"/>
      <c r="X555" s="4"/>
      <c r="Y555" s="128"/>
      <c r="Z555" s="128"/>
      <c r="AA555" s="128"/>
      <c r="AB555" s="4"/>
      <c r="AC555" s="4"/>
      <c r="AD555" s="4"/>
      <c r="AE555" s="4"/>
      <c r="AF555" s="4"/>
      <c r="AG555" s="4"/>
      <c r="AH555" s="4"/>
      <c r="AI555" s="4"/>
      <c r="AJ555" s="246"/>
      <c r="AK555" s="246"/>
      <c r="AL555" s="129"/>
      <c r="AM555" s="129"/>
      <c r="AN555" s="129"/>
      <c r="AO555" s="246"/>
      <c r="AP555" s="246"/>
      <c r="AQ555" s="249"/>
      <c r="AR555" s="4"/>
      <c r="AS555" s="4"/>
      <c r="AT555" s="4"/>
      <c r="AU555" s="4"/>
      <c r="AV555" s="4"/>
      <c r="AW555" s="4"/>
      <c r="AX555" s="4"/>
      <c r="AY555" s="128"/>
      <c r="AZ555" s="4"/>
      <c r="BA555" s="4"/>
      <c r="BB555" s="4"/>
      <c r="BC555" s="4"/>
      <c r="BD555" s="4"/>
      <c r="BE555" s="4"/>
      <c r="BF555" s="4"/>
      <c r="BG555" s="4"/>
      <c r="BH555" s="4"/>
      <c r="BI555" s="567"/>
    </row>
    <row r="556" spans="1:61" ht="12.75" customHeight="1" x14ac:dyDescent="0.25">
      <c r="A556" s="4"/>
      <c r="B556" s="4"/>
      <c r="C556" s="4"/>
      <c r="D556" s="4"/>
      <c r="E556" s="128"/>
      <c r="F556" s="128"/>
      <c r="G556" s="753"/>
      <c r="H556" s="128"/>
      <c r="I556" s="128"/>
      <c r="J556" s="130"/>
      <c r="K556" s="128"/>
      <c r="L556" s="128"/>
      <c r="M556" s="130"/>
      <c r="N556" s="130"/>
      <c r="O556" s="130"/>
      <c r="P556" s="128"/>
      <c r="Q556" s="128"/>
      <c r="R556" s="128"/>
      <c r="S556" s="298"/>
      <c r="T556" s="4"/>
      <c r="U556" s="4"/>
      <c r="V556" s="4"/>
      <c r="W556" s="4"/>
      <c r="X556" s="4"/>
      <c r="Y556" s="128"/>
      <c r="Z556" s="128"/>
      <c r="AA556" s="128"/>
      <c r="AB556" s="4"/>
      <c r="AC556" s="4"/>
      <c r="AD556" s="4"/>
      <c r="AE556" s="4"/>
      <c r="AF556" s="4"/>
      <c r="AG556" s="4"/>
      <c r="AH556" s="4"/>
      <c r="AI556" s="4"/>
      <c r="AJ556" s="246"/>
      <c r="AK556" s="246"/>
      <c r="AL556" s="129"/>
      <c r="AM556" s="129"/>
      <c r="AN556" s="129"/>
      <c r="AO556" s="246"/>
      <c r="AP556" s="246"/>
      <c r="AQ556" s="249"/>
      <c r="AR556" s="4"/>
      <c r="AS556" s="4"/>
      <c r="AT556" s="4"/>
      <c r="AU556" s="4"/>
      <c r="AV556" s="4"/>
      <c r="AW556" s="4"/>
      <c r="AX556" s="4"/>
      <c r="AY556" s="128"/>
      <c r="AZ556" s="4"/>
      <c r="BA556" s="4"/>
      <c r="BB556" s="4"/>
      <c r="BC556" s="4"/>
      <c r="BD556" s="4"/>
      <c r="BE556" s="4"/>
      <c r="BF556" s="4"/>
      <c r="BG556" s="4"/>
      <c r="BH556" s="4"/>
      <c r="BI556" s="567"/>
    </row>
    <row r="557" spans="1:61" ht="12.75" customHeight="1" x14ac:dyDescent="0.25">
      <c r="A557" s="4"/>
      <c r="B557" s="4"/>
      <c r="C557" s="4"/>
      <c r="D557" s="4"/>
      <c r="E557" s="128"/>
      <c r="F557" s="128"/>
      <c r="G557" s="753"/>
      <c r="H557" s="128"/>
      <c r="I557" s="128"/>
      <c r="J557" s="130"/>
      <c r="K557" s="128"/>
      <c r="L557" s="128"/>
      <c r="M557" s="130"/>
      <c r="N557" s="130"/>
      <c r="O557" s="130"/>
      <c r="P557" s="128"/>
      <c r="Q557" s="128"/>
      <c r="R557" s="128"/>
      <c r="S557" s="298"/>
      <c r="T557" s="4"/>
      <c r="U557" s="4"/>
      <c r="V557" s="4"/>
      <c r="W557" s="4"/>
      <c r="X557" s="4"/>
      <c r="Y557" s="128"/>
      <c r="Z557" s="128"/>
      <c r="AA557" s="128"/>
      <c r="AB557" s="4"/>
      <c r="AC557" s="4"/>
      <c r="AD557" s="4"/>
      <c r="AE557" s="4"/>
      <c r="AF557" s="4"/>
      <c r="AG557" s="4"/>
      <c r="AH557" s="4"/>
      <c r="AI557" s="4"/>
      <c r="AJ557" s="246"/>
      <c r="AK557" s="246"/>
      <c r="AL557" s="129"/>
      <c r="AM557" s="129"/>
      <c r="AN557" s="129"/>
      <c r="AO557" s="246"/>
      <c r="AP557" s="246"/>
      <c r="AQ557" s="249"/>
      <c r="AR557" s="4"/>
      <c r="AS557" s="4"/>
      <c r="AT557" s="4"/>
      <c r="AU557" s="4"/>
      <c r="AV557" s="4"/>
      <c r="AW557" s="4"/>
      <c r="AX557" s="4"/>
      <c r="AY557" s="128"/>
      <c r="AZ557" s="4"/>
      <c r="BA557" s="4"/>
      <c r="BB557" s="4"/>
      <c r="BC557" s="4"/>
      <c r="BD557" s="4"/>
      <c r="BE557" s="4"/>
      <c r="BF557" s="4"/>
      <c r="BG557" s="4"/>
      <c r="BH557" s="4"/>
      <c r="BI557" s="567"/>
    </row>
    <row r="558" spans="1:61" ht="12.75" customHeight="1" x14ac:dyDescent="0.25">
      <c r="A558" s="4"/>
      <c r="B558" s="4"/>
      <c r="C558" s="4"/>
      <c r="D558" s="4"/>
      <c r="E558" s="128"/>
      <c r="F558" s="128"/>
      <c r="G558" s="753"/>
      <c r="H558" s="128"/>
      <c r="I558" s="128"/>
      <c r="J558" s="130"/>
      <c r="K558" s="128"/>
      <c r="L558" s="128"/>
      <c r="M558" s="130"/>
      <c r="N558" s="130"/>
      <c r="O558" s="130"/>
      <c r="P558" s="128"/>
      <c r="Q558" s="128"/>
      <c r="R558" s="128"/>
      <c r="S558" s="298"/>
      <c r="T558" s="4"/>
      <c r="U558" s="4"/>
      <c r="V558" s="4"/>
      <c r="W558" s="4"/>
      <c r="X558" s="4"/>
      <c r="Y558" s="128"/>
      <c r="Z558" s="128"/>
      <c r="AA558" s="128"/>
      <c r="AB558" s="4"/>
      <c r="AC558" s="4"/>
      <c r="AD558" s="4"/>
      <c r="AE558" s="4"/>
      <c r="AF558" s="4"/>
      <c r="AG558" s="4"/>
      <c r="AH558" s="4"/>
      <c r="AI558" s="4"/>
      <c r="AJ558" s="246"/>
      <c r="AK558" s="246"/>
      <c r="AL558" s="129"/>
      <c r="AM558" s="129"/>
      <c r="AN558" s="129"/>
      <c r="AO558" s="246"/>
      <c r="AP558" s="246"/>
      <c r="AQ558" s="249"/>
      <c r="AR558" s="4"/>
      <c r="AS558" s="4"/>
      <c r="AT558" s="4"/>
      <c r="AU558" s="4"/>
      <c r="AV558" s="4"/>
      <c r="AW558" s="4"/>
      <c r="AX558" s="4"/>
      <c r="AY558" s="128"/>
      <c r="AZ558" s="4"/>
      <c r="BA558" s="4"/>
      <c r="BB558" s="4"/>
      <c r="BC558" s="4"/>
      <c r="BD558" s="4"/>
      <c r="BE558" s="4"/>
      <c r="BF558" s="4"/>
      <c r="BG558" s="4"/>
      <c r="BH558" s="4"/>
      <c r="BI558" s="567"/>
    </row>
    <row r="559" spans="1:61" ht="12.75" customHeight="1" x14ac:dyDescent="0.25">
      <c r="A559" s="4"/>
      <c r="B559" s="4"/>
      <c r="C559" s="4"/>
      <c r="D559" s="4"/>
      <c r="E559" s="128"/>
      <c r="F559" s="128"/>
      <c r="G559" s="753"/>
      <c r="H559" s="128"/>
      <c r="I559" s="128"/>
      <c r="J559" s="130"/>
      <c r="K559" s="128"/>
      <c r="L559" s="128"/>
      <c r="M559" s="130"/>
      <c r="N559" s="130"/>
      <c r="O559" s="130"/>
      <c r="P559" s="128"/>
      <c r="Q559" s="128"/>
      <c r="R559" s="128"/>
      <c r="S559" s="298"/>
      <c r="T559" s="4"/>
      <c r="U559" s="4"/>
      <c r="V559" s="4"/>
      <c r="W559" s="4"/>
      <c r="X559" s="4"/>
      <c r="Y559" s="128"/>
      <c r="Z559" s="128"/>
      <c r="AA559" s="128"/>
      <c r="AB559" s="4"/>
      <c r="AC559" s="4"/>
      <c r="AD559" s="4"/>
      <c r="AE559" s="4"/>
      <c r="AF559" s="4"/>
      <c r="AG559" s="4"/>
      <c r="AH559" s="4"/>
      <c r="AI559" s="4"/>
      <c r="AJ559" s="246"/>
      <c r="AK559" s="246"/>
      <c r="AL559" s="129"/>
      <c r="AM559" s="129"/>
      <c r="AN559" s="129"/>
      <c r="AO559" s="246"/>
      <c r="AP559" s="246"/>
      <c r="AQ559" s="249"/>
      <c r="AR559" s="4"/>
      <c r="AS559" s="4"/>
      <c r="AT559" s="4"/>
      <c r="AU559" s="4"/>
      <c r="AV559" s="4"/>
      <c r="AW559" s="4"/>
      <c r="AX559" s="4"/>
      <c r="AY559" s="128"/>
      <c r="AZ559" s="4"/>
      <c r="BA559" s="4"/>
      <c r="BB559" s="4"/>
      <c r="BC559" s="4"/>
      <c r="BD559" s="4"/>
      <c r="BE559" s="4"/>
      <c r="BF559" s="4"/>
      <c r="BG559" s="4"/>
      <c r="BH559" s="4"/>
      <c r="BI559" s="567"/>
    </row>
    <row r="560" spans="1:61" ht="12.75" customHeight="1" x14ac:dyDescent="0.25">
      <c r="A560" s="4"/>
      <c r="B560" s="4"/>
      <c r="C560" s="4"/>
      <c r="D560" s="4"/>
      <c r="E560" s="128"/>
      <c r="F560" s="128"/>
      <c r="G560" s="753"/>
      <c r="H560" s="128"/>
      <c r="I560" s="128"/>
      <c r="J560" s="130"/>
      <c r="K560" s="128"/>
      <c r="L560" s="128"/>
      <c r="M560" s="130"/>
      <c r="N560" s="130"/>
      <c r="O560" s="130"/>
      <c r="P560" s="128"/>
      <c r="Q560" s="128"/>
      <c r="R560" s="128"/>
      <c r="S560" s="298"/>
      <c r="T560" s="4"/>
      <c r="U560" s="4"/>
      <c r="V560" s="4"/>
      <c r="W560" s="4"/>
      <c r="X560" s="4"/>
      <c r="Y560" s="128"/>
      <c r="Z560" s="128"/>
      <c r="AA560" s="128"/>
      <c r="AB560" s="4"/>
      <c r="AC560" s="4"/>
      <c r="AD560" s="4"/>
      <c r="AE560" s="4"/>
      <c r="AF560" s="4"/>
      <c r="AG560" s="4"/>
      <c r="AH560" s="4"/>
      <c r="AI560" s="4"/>
      <c r="AJ560" s="246"/>
      <c r="AK560" s="246"/>
      <c r="AL560" s="129"/>
      <c r="AM560" s="129"/>
      <c r="AN560" s="129"/>
      <c r="AO560" s="246"/>
      <c r="AP560" s="246"/>
      <c r="AQ560" s="249"/>
      <c r="AR560" s="4"/>
      <c r="AS560" s="4"/>
      <c r="AT560" s="4"/>
      <c r="AU560" s="4"/>
      <c r="AV560" s="4"/>
      <c r="AW560" s="4"/>
      <c r="AX560" s="4"/>
      <c r="AY560" s="128"/>
      <c r="AZ560" s="4"/>
      <c r="BA560" s="4"/>
      <c r="BB560" s="4"/>
      <c r="BC560" s="4"/>
      <c r="BD560" s="4"/>
      <c r="BE560" s="4"/>
      <c r="BF560" s="4"/>
      <c r="BG560" s="4"/>
      <c r="BH560" s="4"/>
      <c r="BI560" s="567"/>
    </row>
    <row r="561" spans="1:61" ht="12.75" customHeight="1" x14ac:dyDescent="0.25">
      <c r="A561" s="4"/>
      <c r="B561" s="4"/>
      <c r="C561" s="4"/>
      <c r="D561" s="4"/>
      <c r="E561" s="128"/>
      <c r="F561" s="128"/>
      <c r="G561" s="753"/>
      <c r="H561" s="128"/>
      <c r="I561" s="128"/>
      <c r="J561" s="130"/>
      <c r="K561" s="128"/>
      <c r="L561" s="128"/>
      <c r="M561" s="130"/>
      <c r="N561" s="130"/>
      <c r="O561" s="130"/>
      <c r="P561" s="128"/>
      <c r="Q561" s="128"/>
      <c r="R561" s="128"/>
      <c r="S561" s="298"/>
      <c r="T561" s="4"/>
      <c r="U561" s="4"/>
      <c r="V561" s="4"/>
      <c r="W561" s="4"/>
      <c r="X561" s="4"/>
      <c r="Y561" s="128"/>
      <c r="Z561" s="128"/>
      <c r="AA561" s="128"/>
      <c r="AB561" s="4"/>
      <c r="AC561" s="4"/>
      <c r="AD561" s="4"/>
      <c r="AE561" s="4"/>
      <c r="AF561" s="4"/>
      <c r="AG561" s="4"/>
      <c r="AH561" s="4"/>
      <c r="AI561" s="4"/>
      <c r="AJ561" s="246"/>
      <c r="AK561" s="246"/>
      <c r="AL561" s="129"/>
      <c r="AM561" s="129"/>
      <c r="AN561" s="129"/>
      <c r="AO561" s="246"/>
      <c r="AP561" s="246"/>
      <c r="AQ561" s="249"/>
      <c r="AR561" s="4"/>
      <c r="AS561" s="4"/>
      <c r="AT561" s="4"/>
      <c r="AU561" s="4"/>
      <c r="AV561" s="4"/>
      <c r="AW561" s="4"/>
      <c r="AX561" s="4"/>
      <c r="AY561" s="128"/>
      <c r="AZ561" s="4"/>
      <c r="BA561" s="4"/>
      <c r="BB561" s="4"/>
      <c r="BC561" s="4"/>
      <c r="BD561" s="4"/>
      <c r="BE561" s="4"/>
      <c r="BF561" s="4"/>
      <c r="BG561" s="4"/>
      <c r="BH561" s="4"/>
      <c r="BI561" s="567"/>
    </row>
    <row r="562" spans="1:61" ht="12.75" customHeight="1" x14ac:dyDescent="0.25">
      <c r="A562" s="4"/>
      <c r="B562" s="4"/>
      <c r="C562" s="4"/>
      <c r="D562" s="4"/>
      <c r="E562" s="128"/>
      <c r="F562" s="128"/>
      <c r="G562" s="753"/>
      <c r="H562" s="128"/>
      <c r="I562" s="128"/>
      <c r="J562" s="130"/>
      <c r="K562" s="128"/>
      <c r="L562" s="128"/>
      <c r="M562" s="130"/>
      <c r="N562" s="130"/>
      <c r="O562" s="130"/>
      <c r="P562" s="128"/>
      <c r="Q562" s="128"/>
      <c r="R562" s="128"/>
      <c r="S562" s="298"/>
      <c r="T562" s="4"/>
      <c r="U562" s="4"/>
      <c r="V562" s="4"/>
      <c r="W562" s="4"/>
      <c r="X562" s="4"/>
      <c r="Y562" s="128"/>
      <c r="Z562" s="128"/>
      <c r="AA562" s="128"/>
      <c r="AB562" s="4"/>
      <c r="AC562" s="4"/>
      <c r="AD562" s="4"/>
      <c r="AE562" s="4"/>
      <c r="AF562" s="4"/>
      <c r="AG562" s="4"/>
      <c r="AH562" s="4"/>
      <c r="AI562" s="4"/>
      <c r="AJ562" s="246"/>
      <c r="AK562" s="246"/>
      <c r="AL562" s="129"/>
      <c r="AM562" s="129"/>
      <c r="AN562" s="129"/>
      <c r="AO562" s="246"/>
      <c r="AP562" s="246"/>
      <c r="AQ562" s="249"/>
      <c r="AR562" s="4"/>
      <c r="AS562" s="4"/>
      <c r="AT562" s="4"/>
      <c r="AU562" s="4"/>
      <c r="AV562" s="4"/>
      <c r="AW562" s="4"/>
      <c r="AX562" s="4"/>
      <c r="AY562" s="128"/>
      <c r="AZ562" s="4"/>
      <c r="BA562" s="4"/>
      <c r="BB562" s="4"/>
      <c r="BC562" s="4"/>
      <c r="BD562" s="4"/>
      <c r="BE562" s="4"/>
      <c r="BF562" s="4"/>
      <c r="BG562" s="4"/>
      <c r="BH562" s="4"/>
      <c r="BI562" s="567"/>
    </row>
    <row r="563" spans="1:61" ht="12.75" customHeight="1" x14ac:dyDescent="0.25">
      <c r="A563" s="4"/>
      <c r="B563" s="4"/>
      <c r="C563" s="4"/>
      <c r="D563" s="4"/>
      <c r="E563" s="128"/>
      <c r="F563" s="128"/>
      <c r="G563" s="753"/>
      <c r="H563" s="128"/>
      <c r="I563" s="128"/>
      <c r="J563" s="130"/>
      <c r="K563" s="128"/>
      <c r="L563" s="128"/>
      <c r="M563" s="130"/>
      <c r="N563" s="130"/>
      <c r="O563" s="130"/>
      <c r="P563" s="128"/>
      <c r="Q563" s="128"/>
      <c r="R563" s="128"/>
      <c r="S563" s="298"/>
      <c r="T563" s="4"/>
      <c r="U563" s="4"/>
      <c r="V563" s="4"/>
      <c r="W563" s="4"/>
      <c r="X563" s="4"/>
      <c r="Y563" s="128"/>
      <c r="Z563" s="128"/>
      <c r="AA563" s="128"/>
      <c r="AB563" s="4"/>
      <c r="AC563" s="4"/>
      <c r="AD563" s="4"/>
      <c r="AE563" s="4"/>
      <c r="AF563" s="4"/>
      <c r="AG563" s="4"/>
      <c r="AH563" s="4"/>
      <c r="AI563" s="4"/>
      <c r="AJ563" s="246"/>
      <c r="AK563" s="246"/>
      <c r="AL563" s="129"/>
      <c r="AM563" s="129"/>
      <c r="AN563" s="129"/>
      <c r="AO563" s="246"/>
      <c r="AP563" s="246"/>
      <c r="AQ563" s="249"/>
      <c r="AR563" s="4"/>
      <c r="AS563" s="4"/>
      <c r="AT563" s="4"/>
      <c r="AU563" s="4"/>
      <c r="AV563" s="4"/>
      <c r="AW563" s="4"/>
      <c r="AX563" s="4"/>
      <c r="AY563" s="128"/>
      <c r="AZ563" s="4"/>
      <c r="BA563" s="4"/>
      <c r="BB563" s="4"/>
      <c r="BC563" s="4"/>
      <c r="BD563" s="4"/>
      <c r="BE563" s="4"/>
      <c r="BF563" s="4"/>
      <c r="BG563" s="4"/>
      <c r="BH563" s="4"/>
      <c r="BI563" s="567"/>
    </row>
    <row r="564" spans="1:61" ht="12.75" customHeight="1" x14ac:dyDescent="0.25">
      <c r="A564" s="4"/>
      <c r="B564" s="4"/>
      <c r="C564" s="4"/>
      <c r="D564" s="4"/>
      <c r="E564" s="128"/>
      <c r="F564" s="128"/>
      <c r="G564" s="753"/>
      <c r="H564" s="128"/>
      <c r="I564" s="128"/>
      <c r="J564" s="130"/>
      <c r="K564" s="128"/>
      <c r="L564" s="128"/>
      <c r="M564" s="130"/>
      <c r="N564" s="130"/>
      <c r="O564" s="130"/>
      <c r="P564" s="128"/>
      <c r="Q564" s="128"/>
      <c r="R564" s="128"/>
      <c r="S564" s="298"/>
      <c r="T564" s="4"/>
      <c r="U564" s="4"/>
      <c r="V564" s="4"/>
      <c r="W564" s="4"/>
      <c r="X564" s="4"/>
      <c r="Y564" s="128"/>
      <c r="Z564" s="128"/>
      <c r="AA564" s="128"/>
      <c r="AB564" s="4"/>
      <c r="AC564" s="4"/>
      <c r="AD564" s="4"/>
      <c r="AE564" s="4"/>
      <c r="AF564" s="4"/>
      <c r="AG564" s="4"/>
      <c r="AH564" s="4"/>
      <c r="AI564" s="4"/>
      <c r="AJ564" s="246"/>
      <c r="AK564" s="246"/>
      <c r="AL564" s="129"/>
      <c r="AM564" s="129"/>
      <c r="AN564" s="129"/>
      <c r="AO564" s="246"/>
      <c r="AP564" s="246"/>
      <c r="AQ564" s="249"/>
      <c r="AR564" s="4"/>
      <c r="AS564" s="4"/>
      <c r="AT564" s="4"/>
      <c r="AU564" s="4"/>
      <c r="AV564" s="4"/>
      <c r="AW564" s="4"/>
      <c r="AX564" s="4"/>
      <c r="AY564" s="128"/>
      <c r="AZ564" s="4"/>
      <c r="BA564" s="4"/>
      <c r="BB564" s="4"/>
      <c r="BC564" s="4"/>
      <c r="BD564" s="4"/>
      <c r="BE564" s="4"/>
      <c r="BF564" s="4"/>
      <c r="BG564" s="4"/>
      <c r="BH564" s="4"/>
      <c r="BI564" s="567"/>
    </row>
    <row r="565" spans="1:61" ht="12.75" customHeight="1" x14ac:dyDescent="0.25">
      <c r="A565" s="4"/>
      <c r="B565" s="4"/>
      <c r="C565" s="4"/>
      <c r="D565" s="4"/>
      <c r="E565" s="128"/>
      <c r="F565" s="128"/>
      <c r="G565" s="753"/>
      <c r="H565" s="128"/>
      <c r="I565" s="128"/>
      <c r="J565" s="130"/>
      <c r="K565" s="128"/>
      <c r="L565" s="128"/>
      <c r="M565" s="130"/>
      <c r="N565" s="130"/>
      <c r="O565" s="130"/>
      <c r="P565" s="128"/>
      <c r="Q565" s="128"/>
      <c r="R565" s="128"/>
      <c r="S565" s="298"/>
      <c r="T565" s="4"/>
      <c r="U565" s="4"/>
      <c r="V565" s="4"/>
      <c r="W565" s="4"/>
      <c r="X565" s="4"/>
      <c r="Y565" s="128"/>
      <c r="Z565" s="128"/>
      <c r="AA565" s="128"/>
      <c r="AB565" s="4"/>
      <c r="AC565" s="4"/>
      <c r="AD565" s="4"/>
      <c r="AE565" s="4"/>
      <c r="AF565" s="4"/>
      <c r="AG565" s="4"/>
      <c r="AH565" s="4"/>
      <c r="AI565" s="4"/>
      <c r="AJ565" s="246"/>
      <c r="AK565" s="246"/>
      <c r="AL565" s="129"/>
      <c r="AM565" s="129"/>
      <c r="AN565" s="129"/>
      <c r="AO565" s="246"/>
      <c r="AP565" s="246"/>
      <c r="AQ565" s="249"/>
      <c r="AR565" s="4"/>
      <c r="AS565" s="4"/>
      <c r="AT565" s="4"/>
      <c r="AU565" s="4"/>
      <c r="AV565" s="4"/>
      <c r="AW565" s="4"/>
      <c r="AX565" s="4"/>
      <c r="AY565" s="128"/>
      <c r="AZ565" s="4"/>
      <c r="BA565" s="4"/>
      <c r="BB565" s="4"/>
      <c r="BC565" s="4"/>
      <c r="BD565" s="4"/>
      <c r="BE565" s="4"/>
      <c r="BF565" s="4"/>
      <c r="BG565" s="4"/>
      <c r="BH565" s="4"/>
      <c r="BI565" s="567"/>
    </row>
    <row r="566" spans="1:61" ht="12.75" customHeight="1" x14ac:dyDescent="0.25">
      <c r="A566" s="4"/>
      <c r="B566" s="4"/>
      <c r="C566" s="4"/>
      <c r="D566" s="4"/>
      <c r="E566" s="128"/>
      <c r="F566" s="128"/>
      <c r="G566" s="753"/>
      <c r="H566" s="128"/>
      <c r="I566" s="128"/>
      <c r="J566" s="130"/>
      <c r="K566" s="128"/>
      <c r="L566" s="128"/>
      <c r="M566" s="130"/>
      <c r="N566" s="130"/>
      <c r="O566" s="130"/>
      <c r="P566" s="128"/>
      <c r="Q566" s="128"/>
      <c r="R566" s="128"/>
      <c r="S566" s="298"/>
      <c r="T566" s="4"/>
      <c r="U566" s="4"/>
      <c r="V566" s="4"/>
      <c r="W566" s="4"/>
      <c r="X566" s="4"/>
      <c r="Y566" s="128"/>
      <c r="Z566" s="128"/>
      <c r="AA566" s="128"/>
      <c r="AB566" s="4"/>
      <c r="AC566" s="4"/>
      <c r="AD566" s="4"/>
      <c r="AE566" s="4"/>
      <c r="AF566" s="4"/>
      <c r="AG566" s="4"/>
      <c r="AH566" s="4"/>
      <c r="AI566" s="4"/>
      <c r="AJ566" s="246"/>
      <c r="AK566" s="246"/>
      <c r="AL566" s="129"/>
      <c r="AM566" s="129"/>
      <c r="AN566" s="129"/>
      <c r="AO566" s="246"/>
      <c r="AP566" s="246"/>
      <c r="AQ566" s="249"/>
      <c r="AR566" s="4"/>
      <c r="AS566" s="4"/>
      <c r="AT566" s="4"/>
      <c r="AU566" s="4"/>
      <c r="AV566" s="4"/>
      <c r="AW566" s="4"/>
      <c r="AX566" s="4"/>
      <c r="AY566" s="128"/>
      <c r="AZ566" s="4"/>
      <c r="BA566" s="4"/>
      <c r="BB566" s="4"/>
      <c r="BC566" s="4"/>
      <c r="BD566" s="4"/>
      <c r="BE566" s="4"/>
      <c r="BF566" s="4"/>
      <c r="BG566" s="4"/>
      <c r="BH566" s="4"/>
      <c r="BI566" s="567"/>
    </row>
    <row r="567" spans="1:61" ht="12.75" customHeight="1" x14ac:dyDescent="0.25">
      <c r="A567" s="4"/>
      <c r="B567" s="4"/>
      <c r="C567" s="4"/>
      <c r="D567" s="4"/>
      <c r="E567" s="128"/>
      <c r="F567" s="128"/>
      <c r="G567" s="753"/>
      <c r="H567" s="128"/>
      <c r="I567" s="128"/>
      <c r="J567" s="130"/>
      <c r="K567" s="128"/>
      <c r="L567" s="128"/>
      <c r="M567" s="130"/>
      <c r="N567" s="130"/>
      <c r="O567" s="130"/>
      <c r="P567" s="128"/>
      <c r="Q567" s="128"/>
      <c r="R567" s="128"/>
      <c r="S567" s="298"/>
      <c r="T567" s="4"/>
      <c r="U567" s="4"/>
      <c r="V567" s="4"/>
      <c r="W567" s="4"/>
      <c r="X567" s="4"/>
      <c r="Y567" s="128"/>
      <c r="Z567" s="128"/>
      <c r="AA567" s="128"/>
      <c r="AB567" s="4"/>
      <c r="AC567" s="4"/>
      <c r="AD567" s="4"/>
      <c r="AE567" s="4"/>
      <c r="AF567" s="4"/>
      <c r="AG567" s="4"/>
      <c r="AH567" s="4"/>
      <c r="AI567" s="4"/>
      <c r="AJ567" s="246"/>
      <c r="AK567" s="246"/>
      <c r="AL567" s="129"/>
      <c r="AM567" s="129"/>
      <c r="AN567" s="129"/>
      <c r="AO567" s="246"/>
      <c r="AP567" s="246"/>
      <c r="AQ567" s="249"/>
      <c r="AR567" s="4"/>
      <c r="AS567" s="4"/>
      <c r="AT567" s="4"/>
      <c r="AU567" s="4"/>
      <c r="AV567" s="4"/>
      <c r="AW567" s="4"/>
      <c r="AX567" s="4"/>
      <c r="AY567" s="128"/>
      <c r="AZ567" s="4"/>
      <c r="BA567" s="4"/>
      <c r="BB567" s="4"/>
      <c r="BC567" s="4"/>
      <c r="BD567" s="4"/>
      <c r="BE567" s="4"/>
      <c r="BF567" s="4"/>
      <c r="BG567" s="4"/>
      <c r="BH567" s="4"/>
      <c r="BI567" s="567"/>
    </row>
    <row r="568" spans="1:61" ht="12.75" customHeight="1" x14ac:dyDescent="0.25">
      <c r="A568" s="4"/>
      <c r="B568" s="4"/>
      <c r="C568" s="4"/>
      <c r="D568" s="4"/>
      <c r="E568" s="128"/>
      <c r="F568" s="128"/>
      <c r="G568" s="753"/>
      <c r="H568" s="128"/>
      <c r="I568" s="128"/>
      <c r="J568" s="130"/>
      <c r="K568" s="128"/>
      <c r="L568" s="128"/>
      <c r="M568" s="130"/>
      <c r="N568" s="130"/>
      <c r="O568" s="130"/>
      <c r="P568" s="128"/>
      <c r="Q568" s="128"/>
      <c r="R568" s="128"/>
      <c r="S568" s="298"/>
      <c r="T568" s="4"/>
      <c r="U568" s="4"/>
      <c r="V568" s="4"/>
      <c r="W568" s="4"/>
      <c r="X568" s="4"/>
      <c r="Y568" s="128"/>
      <c r="Z568" s="128"/>
      <c r="AA568" s="128"/>
      <c r="AB568" s="4"/>
      <c r="AC568" s="4"/>
      <c r="AD568" s="4"/>
      <c r="AE568" s="4"/>
      <c r="AF568" s="4"/>
      <c r="AG568" s="4"/>
      <c r="AH568" s="4"/>
      <c r="AI568" s="4"/>
      <c r="AJ568" s="246"/>
      <c r="AK568" s="246"/>
      <c r="AL568" s="129"/>
      <c r="AM568" s="129"/>
      <c r="AN568" s="129"/>
      <c r="AO568" s="246"/>
      <c r="AP568" s="246"/>
      <c r="AQ568" s="249"/>
      <c r="AR568" s="4"/>
      <c r="AS568" s="4"/>
      <c r="AT568" s="4"/>
      <c r="AU568" s="4"/>
      <c r="AV568" s="4"/>
      <c r="AW568" s="4"/>
      <c r="AX568" s="4"/>
      <c r="AY568" s="128"/>
      <c r="AZ568" s="4"/>
      <c r="BA568" s="4"/>
      <c r="BB568" s="4"/>
      <c r="BC568" s="4"/>
      <c r="BD568" s="4"/>
      <c r="BE568" s="4"/>
      <c r="BF568" s="4"/>
      <c r="BG568" s="4"/>
      <c r="BH568" s="4"/>
      <c r="BI568" s="567"/>
    </row>
    <row r="569" spans="1:61" ht="12.75" customHeight="1" x14ac:dyDescent="0.25">
      <c r="A569" s="4"/>
      <c r="B569" s="4"/>
      <c r="C569" s="4"/>
      <c r="D569" s="4"/>
      <c r="E569" s="128"/>
      <c r="F569" s="128"/>
      <c r="G569" s="753"/>
      <c r="H569" s="128"/>
      <c r="I569" s="128"/>
      <c r="J569" s="130"/>
      <c r="K569" s="128"/>
      <c r="L569" s="128"/>
      <c r="M569" s="130"/>
      <c r="N569" s="130"/>
      <c r="O569" s="130"/>
      <c r="P569" s="128"/>
      <c r="Q569" s="128"/>
      <c r="R569" s="128"/>
      <c r="S569" s="298"/>
      <c r="T569" s="4"/>
      <c r="U569" s="4"/>
      <c r="V569" s="4"/>
      <c r="W569" s="4"/>
      <c r="X569" s="4"/>
      <c r="Y569" s="128"/>
      <c r="Z569" s="128"/>
      <c r="AA569" s="128"/>
      <c r="AB569" s="4"/>
      <c r="AC569" s="4"/>
      <c r="AD569" s="4"/>
      <c r="AE569" s="4"/>
      <c r="AF569" s="4"/>
      <c r="AG569" s="4"/>
      <c r="AH569" s="4"/>
      <c r="AI569" s="4"/>
      <c r="AJ569" s="246"/>
      <c r="AK569" s="246"/>
      <c r="AL569" s="129"/>
      <c r="AM569" s="129"/>
      <c r="AN569" s="129"/>
      <c r="AO569" s="246"/>
      <c r="AP569" s="246"/>
      <c r="AQ569" s="249"/>
      <c r="AR569" s="4"/>
      <c r="AS569" s="4"/>
      <c r="AT569" s="4"/>
      <c r="AU569" s="4"/>
      <c r="AV569" s="4"/>
      <c r="AW569" s="4"/>
      <c r="AX569" s="4"/>
      <c r="AY569" s="128"/>
      <c r="AZ569" s="4"/>
      <c r="BA569" s="4"/>
      <c r="BB569" s="4"/>
      <c r="BC569" s="4"/>
      <c r="BD569" s="4"/>
      <c r="BE569" s="4"/>
      <c r="BF569" s="4"/>
      <c r="BG569" s="4"/>
      <c r="BH569" s="4"/>
      <c r="BI569" s="567"/>
    </row>
    <row r="570" spans="1:61" ht="12.75" customHeight="1" x14ac:dyDescent="0.25">
      <c r="A570" s="4"/>
      <c r="B570" s="4"/>
      <c r="C570" s="4"/>
      <c r="D570" s="4"/>
      <c r="E570" s="128"/>
      <c r="F570" s="128"/>
      <c r="G570" s="753"/>
      <c r="H570" s="128"/>
      <c r="I570" s="128"/>
      <c r="J570" s="130"/>
      <c r="K570" s="128"/>
      <c r="L570" s="128"/>
      <c r="M570" s="130"/>
      <c r="N570" s="130"/>
      <c r="O570" s="130"/>
      <c r="P570" s="128"/>
      <c r="Q570" s="128"/>
      <c r="R570" s="128"/>
      <c r="S570" s="298"/>
      <c r="T570" s="4"/>
      <c r="U570" s="4"/>
      <c r="V570" s="4"/>
      <c r="W570" s="4"/>
      <c r="X570" s="4"/>
      <c r="Y570" s="128"/>
      <c r="Z570" s="128"/>
      <c r="AA570" s="128"/>
      <c r="AB570" s="4"/>
      <c r="AC570" s="4"/>
      <c r="AD570" s="4"/>
      <c r="AE570" s="4"/>
      <c r="AF570" s="4"/>
      <c r="AG570" s="4"/>
      <c r="AH570" s="4"/>
      <c r="AI570" s="4"/>
      <c r="AJ570" s="246"/>
      <c r="AK570" s="246"/>
      <c r="AL570" s="129"/>
      <c r="AM570" s="129"/>
      <c r="AN570" s="129"/>
      <c r="AO570" s="246"/>
      <c r="AP570" s="246"/>
      <c r="AQ570" s="249"/>
      <c r="AR570" s="4"/>
      <c r="AS570" s="4"/>
      <c r="AT570" s="4"/>
      <c r="AU570" s="4"/>
      <c r="AV570" s="4"/>
      <c r="AW570" s="4"/>
      <c r="AX570" s="4"/>
      <c r="AY570" s="128"/>
      <c r="AZ570" s="4"/>
      <c r="BA570" s="4"/>
      <c r="BB570" s="4"/>
      <c r="BC570" s="4"/>
      <c r="BD570" s="4"/>
      <c r="BE570" s="4"/>
      <c r="BF570" s="4"/>
      <c r="BG570" s="4"/>
      <c r="BH570" s="4"/>
      <c r="BI570" s="567"/>
    </row>
    <row r="571" spans="1:61" ht="12.75" customHeight="1" x14ac:dyDescent="0.25">
      <c r="A571" s="4"/>
      <c r="B571" s="4"/>
      <c r="C571" s="4"/>
      <c r="D571" s="4"/>
      <c r="E571" s="128"/>
      <c r="F571" s="128"/>
      <c r="G571" s="753"/>
      <c r="H571" s="128"/>
      <c r="I571" s="128"/>
      <c r="J571" s="130"/>
      <c r="K571" s="128"/>
      <c r="L571" s="128"/>
      <c r="M571" s="130"/>
      <c r="N571" s="130"/>
      <c r="O571" s="130"/>
      <c r="P571" s="128"/>
      <c r="Q571" s="128"/>
      <c r="R571" s="128"/>
      <c r="S571" s="298"/>
      <c r="T571" s="4"/>
      <c r="U571" s="4"/>
      <c r="V571" s="4"/>
      <c r="W571" s="4"/>
      <c r="X571" s="4"/>
      <c r="Y571" s="128"/>
      <c r="Z571" s="128"/>
      <c r="AA571" s="128"/>
      <c r="AB571" s="4"/>
      <c r="AC571" s="4"/>
      <c r="AD571" s="4"/>
      <c r="AE571" s="4"/>
      <c r="AF571" s="4"/>
      <c r="AG571" s="4"/>
      <c r="AH571" s="4"/>
      <c r="AI571" s="4"/>
      <c r="AJ571" s="246"/>
      <c r="AK571" s="246"/>
      <c r="AL571" s="129"/>
      <c r="AM571" s="129"/>
      <c r="AN571" s="129"/>
      <c r="AO571" s="246"/>
      <c r="AP571" s="246"/>
      <c r="AQ571" s="249"/>
      <c r="AR571" s="4"/>
      <c r="AS571" s="4"/>
      <c r="AT571" s="4"/>
      <c r="AU571" s="4"/>
      <c r="AV571" s="4"/>
      <c r="AW571" s="4"/>
      <c r="AX571" s="4"/>
      <c r="AY571" s="128"/>
      <c r="AZ571" s="4"/>
      <c r="BA571" s="4"/>
      <c r="BB571" s="4"/>
      <c r="BC571" s="4"/>
      <c r="BD571" s="4"/>
      <c r="BE571" s="4"/>
      <c r="BF571" s="4"/>
      <c r="BG571" s="4"/>
      <c r="BH571" s="4"/>
      <c r="BI571" s="567"/>
    </row>
    <row r="572" spans="1:61" ht="12.75" customHeight="1" x14ac:dyDescent="0.25">
      <c r="A572" s="4"/>
      <c r="B572" s="4"/>
      <c r="C572" s="4"/>
      <c r="D572" s="4"/>
      <c r="E572" s="128"/>
      <c r="F572" s="128"/>
      <c r="G572" s="753"/>
      <c r="H572" s="128"/>
      <c r="I572" s="128"/>
      <c r="J572" s="130"/>
      <c r="K572" s="128"/>
      <c r="L572" s="128"/>
      <c r="M572" s="130"/>
      <c r="N572" s="130"/>
      <c r="O572" s="130"/>
      <c r="P572" s="128"/>
      <c r="Q572" s="128"/>
      <c r="R572" s="128"/>
      <c r="S572" s="298"/>
      <c r="T572" s="4"/>
      <c r="U572" s="4"/>
      <c r="V572" s="4"/>
      <c r="W572" s="4"/>
      <c r="X572" s="4"/>
      <c r="Y572" s="128"/>
      <c r="Z572" s="128"/>
      <c r="AA572" s="128"/>
      <c r="AB572" s="4"/>
      <c r="AC572" s="4"/>
      <c r="AD572" s="4"/>
      <c r="AE572" s="4"/>
      <c r="AF572" s="4"/>
      <c r="AG572" s="4"/>
      <c r="AH572" s="4"/>
      <c r="AI572" s="4"/>
      <c r="AJ572" s="246"/>
      <c r="AK572" s="246"/>
      <c r="AL572" s="129"/>
      <c r="AM572" s="129"/>
      <c r="AN572" s="129"/>
      <c r="AO572" s="246"/>
      <c r="AP572" s="246"/>
      <c r="AQ572" s="249"/>
      <c r="AR572" s="4"/>
      <c r="AS572" s="4"/>
      <c r="AT572" s="4"/>
      <c r="AU572" s="4"/>
      <c r="AV572" s="4"/>
      <c r="AW572" s="4"/>
      <c r="AX572" s="4"/>
      <c r="AY572" s="128"/>
      <c r="AZ572" s="4"/>
      <c r="BA572" s="4"/>
      <c r="BB572" s="4"/>
      <c r="BC572" s="4"/>
      <c r="BD572" s="4"/>
      <c r="BE572" s="4"/>
      <c r="BF572" s="4"/>
      <c r="BG572" s="4"/>
      <c r="BH572" s="4"/>
      <c r="BI572" s="567"/>
    </row>
    <row r="573" spans="1:61" ht="12.75" customHeight="1" x14ac:dyDescent="0.25">
      <c r="A573" s="4"/>
      <c r="B573" s="4"/>
      <c r="C573" s="4"/>
      <c r="D573" s="4"/>
      <c r="E573" s="128"/>
      <c r="F573" s="128"/>
      <c r="G573" s="753"/>
      <c r="H573" s="128"/>
      <c r="I573" s="128"/>
      <c r="J573" s="130"/>
      <c r="K573" s="128"/>
      <c r="L573" s="128"/>
      <c r="M573" s="130"/>
      <c r="N573" s="130"/>
      <c r="O573" s="130"/>
      <c r="P573" s="128"/>
      <c r="Q573" s="128"/>
      <c r="R573" s="128"/>
      <c r="S573" s="298"/>
      <c r="T573" s="4"/>
      <c r="U573" s="4"/>
      <c r="V573" s="4"/>
      <c r="W573" s="4"/>
      <c r="X573" s="4"/>
      <c r="Y573" s="128"/>
      <c r="Z573" s="128"/>
      <c r="AA573" s="128"/>
      <c r="AB573" s="4"/>
      <c r="AC573" s="4"/>
      <c r="AD573" s="4"/>
      <c r="AE573" s="4"/>
      <c r="AF573" s="4"/>
      <c r="AG573" s="4"/>
      <c r="AH573" s="4"/>
      <c r="AI573" s="4"/>
      <c r="AJ573" s="246"/>
      <c r="AK573" s="246"/>
      <c r="AL573" s="129"/>
      <c r="AM573" s="129"/>
      <c r="AN573" s="129"/>
      <c r="AO573" s="246"/>
      <c r="AP573" s="246"/>
      <c r="AQ573" s="249"/>
      <c r="AR573" s="4"/>
      <c r="AS573" s="4"/>
      <c r="AT573" s="4"/>
      <c r="AU573" s="4"/>
      <c r="AV573" s="4"/>
      <c r="AW573" s="4"/>
      <c r="AX573" s="4"/>
      <c r="AY573" s="128"/>
      <c r="AZ573" s="4"/>
      <c r="BA573" s="4"/>
      <c r="BB573" s="4"/>
      <c r="BC573" s="4"/>
      <c r="BD573" s="4"/>
      <c r="BE573" s="4"/>
      <c r="BF573" s="4"/>
      <c r="BG573" s="4"/>
      <c r="BH573" s="4"/>
      <c r="BI573" s="567"/>
    </row>
    <row r="574" spans="1:61" ht="12.75" customHeight="1" x14ac:dyDescent="0.25">
      <c r="A574" s="4"/>
      <c r="B574" s="4"/>
      <c r="C574" s="4"/>
      <c r="D574" s="4"/>
      <c r="E574" s="128"/>
      <c r="F574" s="128"/>
      <c r="G574" s="753"/>
      <c r="H574" s="128"/>
      <c r="I574" s="128"/>
      <c r="J574" s="130"/>
      <c r="K574" s="128"/>
      <c r="L574" s="128"/>
      <c r="M574" s="130"/>
      <c r="N574" s="130"/>
      <c r="O574" s="130"/>
      <c r="P574" s="128"/>
      <c r="Q574" s="128"/>
      <c r="R574" s="128"/>
      <c r="S574" s="298"/>
      <c r="T574" s="4"/>
      <c r="U574" s="4"/>
      <c r="V574" s="4"/>
      <c r="W574" s="4"/>
      <c r="X574" s="4"/>
      <c r="Y574" s="128"/>
      <c r="Z574" s="128"/>
      <c r="AA574" s="128"/>
      <c r="AB574" s="4"/>
      <c r="AC574" s="4"/>
      <c r="AD574" s="4"/>
      <c r="AE574" s="4"/>
      <c r="AF574" s="4"/>
      <c r="AG574" s="4"/>
      <c r="AH574" s="4"/>
      <c r="AI574" s="4"/>
      <c r="AJ574" s="246"/>
      <c r="AK574" s="246"/>
      <c r="AL574" s="129"/>
      <c r="AM574" s="129"/>
      <c r="AN574" s="129"/>
      <c r="AO574" s="246"/>
      <c r="AP574" s="246"/>
      <c r="AQ574" s="249"/>
      <c r="AR574" s="4"/>
      <c r="AS574" s="4"/>
      <c r="AT574" s="4"/>
      <c r="AU574" s="4"/>
      <c r="AV574" s="4"/>
      <c r="AW574" s="4"/>
      <c r="AX574" s="4"/>
      <c r="AY574" s="128"/>
      <c r="AZ574" s="4"/>
      <c r="BA574" s="4"/>
      <c r="BB574" s="4"/>
      <c r="BC574" s="4"/>
      <c r="BD574" s="4"/>
      <c r="BE574" s="4"/>
      <c r="BF574" s="4"/>
      <c r="BG574" s="4"/>
      <c r="BH574" s="4"/>
      <c r="BI574" s="567"/>
    </row>
    <row r="575" spans="1:61" ht="12.75" customHeight="1" x14ac:dyDescent="0.25">
      <c r="A575" s="4"/>
      <c r="B575" s="4"/>
      <c r="C575" s="4"/>
      <c r="D575" s="4"/>
      <c r="E575" s="128"/>
      <c r="F575" s="128"/>
      <c r="G575" s="753"/>
      <c r="H575" s="128"/>
      <c r="I575" s="128"/>
      <c r="J575" s="130"/>
      <c r="K575" s="128"/>
      <c r="L575" s="128"/>
      <c r="M575" s="130"/>
      <c r="N575" s="130"/>
      <c r="O575" s="130"/>
      <c r="P575" s="128"/>
      <c r="Q575" s="128"/>
      <c r="R575" s="128"/>
      <c r="S575" s="298"/>
      <c r="T575" s="4"/>
      <c r="U575" s="4"/>
      <c r="V575" s="4"/>
      <c r="W575" s="4"/>
      <c r="X575" s="4"/>
      <c r="Y575" s="128"/>
      <c r="Z575" s="128"/>
      <c r="AA575" s="128"/>
      <c r="AB575" s="4"/>
      <c r="AC575" s="4"/>
      <c r="AD575" s="4"/>
      <c r="AE575" s="4"/>
      <c r="AF575" s="4"/>
      <c r="AG575" s="4"/>
      <c r="AH575" s="4"/>
      <c r="AI575" s="4"/>
      <c r="AJ575" s="246"/>
      <c r="AK575" s="246"/>
      <c r="AL575" s="129"/>
      <c r="AM575" s="129"/>
      <c r="AN575" s="129"/>
      <c r="AO575" s="246"/>
      <c r="AP575" s="246"/>
      <c r="AQ575" s="249"/>
      <c r="AR575" s="4"/>
      <c r="AS575" s="4"/>
      <c r="AT575" s="4"/>
      <c r="AU575" s="4"/>
      <c r="AV575" s="4"/>
      <c r="AW575" s="4"/>
      <c r="AX575" s="4"/>
      <c r="AY575" s="128"/>
      <c r="AZ575" s="4"/>
      <c r="BA575" s="4"/>
      <c r="BB575" s="4"/>
      <c r="BC575" s="4"/>
      <c r="BD575" s="4"/>
      <c r="BE575" s="4"/>
      <c r="BF575" s="4"/>
      <c r="BG575" s="4"/>
      <c r="BH575" s="4"/>
      <c r="BI575" s="567"/>
    </row>
    <row r="576" spans="1:61" ht="12.75" customHeight="1" x14ac:dyDescent="0.25">
      <c r="A576" s="4"/>
      <c r="B576" s="4"/>
      <c r="C576" s="4"/>
      <c r="D576" s="4"/>
      <c r="E576" s="128"/>
      <c r="F576" s="128"/>
      <c r="G576" s="753"/>
      <c r="H576" s="128"/>
      <c r="I576" s="128"/>
      <c r="J576" s="130"/>
      <c r="K576" s="128"/>
      <c r="L576" s="128"/>
      <c r="M576" s="130"/>
      <c r="N576" s="130"/>
      <c r="O576" s="130"/>
      <c r="P576" s="128"/>
      <c r="Q576" s="128"/>
      <c r="R576" s="128"/>
      <c r="S576" s="298"/>
      <c r="T576" s="4"/>
      <c r="U576" s="4"/>
      <c r="V576" s="4"/>
      <c r="W576" s="4"/>
      <c r="X576" s="4"/>
      <c r="Y576" s="128"/>
      <c r="Z576" s="128"/>
      <c r="AA576" s="128"/>
      <c r="AB576" s="4"/>
      <c r="AC576" s="4"/>
      <c r="AD576" s="4"/>
      <c r="AE576" s="4"/>
      <c r="AF576" s="4"/>
      <c r="AG576" s="4"/>
      <c r="AH576" s="4"/>
      <c r="AI576" s="4"/>
      <c r="AJ576" s="246"/>
      <c r="AK576" s="246"/>
      <c r="AL576" s="129"/>
      <c r="AM576" s="129"/>
      <c r="AN576" s="129"/>
      <c r="AO576" s="246"/>
      <c r="AP576" s="246"/>
      <c r="AQ576" s="249"/>
      <c r="AR576" s="4"/>
      <c r="AS576" s="4"/>
      <c r="AT576" s="4"/>
      <c r="AU576" s="4"/>
      <c r="AV576" s="4"/>
      <c r="AW576" s="4"/>
      <c r="AX576" s="4"/>
      <c r="AY576" s="128"/>
      <c r="AZ576" s="4"/>
      <c r="BA576" s="4"/>
      <c r="BB576" s="4"/>
      <c r="BC576" s="4"/>
      <c r="BD576" s="4"/>
      <c r="BE576" s="4"/>
      <c r="BF576" s="4"/>
      <c r="BG576" s="4"/>
      <c r="BH576" s="4"/>
      <c r="BI576" s="567"/>
    </row>
    <row r="577" spans="1:61" ht="12.75" customHeight="1" x14ac:dyDescent="0.25">
      <c r="A577" s="4"/>
      <c r="B577" s="4"/>
      <c r="C577" s="4"/>
      <c r="D577" s="4"/>
      <c r="E577" s="128"/>
      <c r="F577" s="128"/>
      <c r="G577" s="753"/>
      <c r="H577" s="128"/>
      <c r="I577" s="128"/>
      <c r="J577" s="130"/>
      <c r="K577" s="128"/>
      <c r="L577" s="128"/>
      <c r="M577" s="130"/>
      <c r="N577" s="130"/>
      <c r="O577" s="130"/>
      <c r="P577" s="128"/>
      <c r="Q577" s="128"/>
      <c r="R577" s="128"/>
      <c r="S577" s="298"/>
      <c r="T577" s="4"/>
      <c r="U577" s="4"/>
      <c r="V577" s="4"/>
      <c r="W577" s="4"/>
      <c r="X577" s="4"/>
      <c r="Y577" s="128"/>
      <c r="Z577" s="128"/>
      <c r="AA577" s="128"/>
      <c r="AB577" s="4"/>
      <c r="AC577" s="4"/>
      <c r="AD577" s="4"/>
      <c r="AE577" s="4"/>
      <c r="AF577" s="4"/>
      <c r="AG577" s="4"/>
      <c r="AH577" s="4"/>
      <c r="AI577" s="4"/>
      <c r="AJ577" s="246"/>
      <c r="AK577" s="246"/>
      <c r="AL577" s="129"/>
      <c r="AM577" s="129"/>
      <c r="AN577" s="129"/>
      <c r="AO577" s="246"/>
      <c r="AP577" s="246"/>
      <c r="AQ577" s="249"/>
      <c r="AR577" s="4"/>
      <c r="AS577" s="4"/>
      <c r="AT577" s="4"/>
      <c r="AU577" s="4"/>
      <c r="AV577" s="4"/>
      <c r="AW577" s="4"/>
      <c r="AX577" s="4"/>
      <c r="AY577" s="128"/>
      <c r="AZ577" s="4"/>
      <c r="BA577" s="4"/>
      <c r="BB577" s="4"/>
      <c r="BC577" s="4"/>
      <c r="BD577" s="4"/>
      <c r="BE577" s="4"/>
      <c r="BF577" s="4"/>
      <c r="BG577" s="4"/>
      <c r="BH577" s="4"/>
      <c r="BI577" s="567"/>
    </row>
    <row r="578" spans="1:61" ht="12.75" customHeight="1" x14ac:dyDescent="0.25">
      <c r="A578" s="4"/>
      <c r="B578" s="4"/>
      <c r="C578" s="4"/>
      <c r="D578" s="4"/>
      <c r="E578" s="128"/>
      <c r="F578" s="128"/>
      <c r="G578" s="753"/>
      <c r="H578" s="128"/>
      <c r="I578" s="128"/>
      <c r="J578" s="130"/>
      <c r="K578" s="128"/>
      <c r="L578" s="128"/>
      <c r="M578" s="130"/>
      <c r="N578" s="130"/>
      <c r="O578" s="130"/>
      <c r="P578" s="128"/>
      <c r="Q578" s="128"/>
      <c r="R578" s="128"/>
      <c r="S578" s="298"/>
      <c r="T578" s="4"/>
      <c r="U578" s="4"/>
      <c r="V578" s="4"/>
      <c r="W578" s="4"/>
      <c r="X578" s="4"/>
      <c r="Y578" s="128"/>
      <c r="Z578" s="128"/>
      <c r="AA578" s="128"/>
      <c r="AB578" s="4"/>
      <c r="AC578" s="4"/>
      <c r="AD578" s="4"/>
      <c r="AE578" s="4"/>
      <c r="AF578" s="4"/>
      <c r="AG578" s="4"/>
      <c r="AH578" s="4"/>
      <c r="AI578" s="4"/>
      <c r="AJ578" s="246"/>
      <c r="AK578" s="246"/>
      <c r="AL578" s="129"/>
      <c r="AM578" s="129"/>
      <c r="AN578" s="129"/>
      <c r="AO578" s="246"/>
      <c r="AP578" s="246"/>
      <c r="AQ578" s="249"/>
      <c r="AR578" s="4"/>
      <c r="AS578" s="4"/>
      <c r="AT578" s="4"/>
      <c r="AU578" s="4"/>
      <c r="AV578" s="4"/>
      <c r="AW578" s="4"/>
      <c r="AX578" s="4"/>
      <c r="AY578" s="128"/>
      <c r="AZ578" s="4"/>
      <c r="BA578" s="4"/>
      <c r="BB578" s="4"/>
      <c r="BC578" s="4"/>
      <c r="BD578" s="4"/>
      <c r="BE578" s="4"/>
      <c r="BF578" s="4"/>
      <c r="BG578" s="4"/>
      <c r="BH578" s="4"/>
      <c r="BI578" s="567"/>
    </row>
    <row r="579" spans="1:61" ht="12.75" customHeight="1" x14ac:dyDescent="0.25">
      <c r="A579" s="4"/>
      <c r="B579" s="4"/>
      <c r="C579" s="4"/>
      <c r="D579" s="4"/>
      <c r="E579" s="128"/>
      <c r="F579" s="128"/>
      <c r="G579" s="753"/>
      <c r="H579" s="128"/>
      <c r="I579" s="128"/>
      <c r="J579" s="130"/>
      <c r="K579" s="128"/>
      <c r="L579" s="128"/>
      <c r="M579" s="130"/>
      <c r="N579" s="130"/>
      <c r="O579" s="130"/>
      <c r="P579" s="128"/>
      <c r="Q579" s="128"/>
      <c r="R579" s="128"/>
      <c r="S579" s="298"/>
      <c r="T579" s="4"/>
      <c r="U579" s="4"/>
      <c r="V579" s="4"/>
      <c r="W579" s="4"/>
      <c r="X579" s="4"/>
      <c r="Y579" s="128"/>
      <c r="Z579" s="128"/>
      <c r="AA579" s="128"/>
      <c r="AB579" s="4"/>
      <c r="AC579" s="4"/>
      <c r="AD579" s="4"/>
      <c r="AE579" s="4"/>
      <c r="AF579" s="4"/>
      <c r="AG579" s="4"/>
      <c r="AH579" s="4"/>
      <c r="AI579" s="4"/>
      <c r="AJ579" s="246"/>
      <c r="AK579" s="246"/>
      <c r="AL579" s="129"/>
      <c r="AM579" s="129"/>
      <c r="AN579" s="129"/>
      <c r="AO579" s="246"/>
      <c r="AP579" s="246"/>
      <c r="AQ579" s="249"/>
      <c r="AR579" s="4"/>
      <c r="AS579" s="4"/>
      <c r="AT579" s="4"/>
      <c r="AU579" s="4"/>
      <c r="AV579" s="4"/>
      <c r="AW579" s="4"/>
      <c r="AX579" s="4"/>
      <c r="AY579" s="128"/>
      <c r="AZ579" s="4"/>
      <c r="BA579" s="4"/>
      <c r="BB579" s="4"/>
      <c r="BC579" s="4"/>
      <c r="BD579" s="4"/>
      <c r="BE579" s="4"/>
      <c r="BF579" s="4"/>
      <c r="BG579" s="4"/>
      <c r="BH579" s="4"/>
      <c r="BI579" s="567"/>
    </row>
    <row r="580" spans="1:61" ht="12.75" customHeight="1" x14ac:dyDescent="0.25">
      <c r="A580" s="4"/>
      <c r="B580" s="4"/>
      <c r="C580" s="4"/>
      <c r="D580" s="4"/>
      <c r="E580" s="128"/>
      <c r="F580" s="128"/>
      <c r="G580" s="753"/>
      <c r="H580" s="128"/>
      <c r="I580" s="128"/>
      <c r="J580" s="130"/>
      <c r="K580" s="128"/>
      <c r="L580" s="128"/>
      <c r="M580" s="130"/>
      <c r="N580" s="130"/>
      <c r="O580" s="130"/>
      <c r="P580" s="128"/>
      <c r="Q580" s="128"/>
      <c r="R580" s="128"/>
      <c r="S580" s="298"/>
      <c r="T580" s="4"/>
      <c r="U580" s="4"/>
      <c r="V580" s="4"/>
      <c r="W580" s="4"/>
      <c r="X580" s="4"/>
      <c r="Y580" s="128"/>
      <c r="Z580" s="128"/>
      <c r="AA580" s="128"/>
      <c r="AB580" s="4"/>
      <c r="AC580" s="4"/>
      <c r="AD580" s="4"/>
      <c r="AE580" s="4"/>
      <c r="AF580" s="4"/>
      <c r="AG580" s="4"/>
      <c r="AH580" s="4"/>
      <c r="AI580" s="4"/>
      <c r="AJ580" s="246"/>
      <c r="AK580" s="246"/>
      <c r="AL580" s="129"/>
      <c r="AM580" s="129"/>
      <c r="AN580" s="129"/>
      <c r="AO580" s="246"/>
      <c r="AP580" s="246"/>
      <c r="AQ580" s="249"/>
      <c r="AR580" s="4"/>
      <c r="AS580" s="4"/>
      <c r="AT580" s="4"/>
      <c r="AU580" s="4"/>
      <c r="AV580" s="4"/>
      <c r="AW580" s="4"/>
      <c r="AX580" s="4"/>
      <c r="AY580" s="128"/>
      <c r="AZ580" s="4"/>
      <c r="BA580" s="4"/>
      <c r="BB580" s="4"/>
      <c r="BC580" s="4"/>
      <c r="BD580" s="4"/>
      <c r="BE580" s="4"/>
      <c r="BF580" s="4"/>
      <c r="BG580" s="4"/>
      <c r="BH580" s="4"/>
      <c r="BI580" s="567"/>
    </row>
    <row r="581" spans="1:61" ht="12.75" customHeight="1" x14ac:dyDescent="0.25">
      <c r="A581" s="4"/>
      <c r="B581" s="4"/>
      <c r="C581" s="4"/>
      <c r="D581" s="4"/>
      <c r="E581" s="128"/>
      <c r="F581" s="128"/>
      <c r="G581" s="753"/>
      <c r="H581" s="128"/>
      <c r="I581" s="128"/>
      <c r="J581" s="130"/>
      <c r="K581" s="128"/>
      <c r="L581" s="128"/>
      <c r="M581" s="130"/>
      <c r="N581" s="130"/>
      <c r="O581" s="130"/>
      <c r="P581" s="128"/>
      <c r="Q581" s="128"/>
      <c r="R581" s="128"/>
      <c r="S581" s="298"/>
      <c r="T581" s="4"/>
      <c r="U581" s="4"/>
      <c r="V581" s="4"/>
      <c r="W581" s="4"/>
      <c r="X581" s="4"/>
      <c r="Y581" s="128"/>
      <c r="Z581" s="128"/>
      <c r="AA581" s="128"/>
      <c r="AB581" s="4"/>
      <c r="AC581" s="4"/>
      <c r="AD581" s="4"/>
      <c r="AE581" s="4"/>
      <c r="AF581" s="4"/>
      <c r="AG581" s="4"/>
      <c r="AH581" s="4"/>
      <c r="AI581" s="4"/>
      <c r="AJ581" s="246"/>
      <c r="AK581" s="246"/>
      <c r="AL581" s="129"/>
      <c r="AM581" s="129"/>
      <c r="AN581" s="129"/>
      <c r="AO581" s="246"/>
      <c r="AP581" s="246"/>
      <c r="AQ581" s="249"/>
      <c r="AR581" s="4"/>
      <c r="AS581" s="4"/>
      <c r="AT581" s="4"/>
      <c r="AU581" s="4"/>
      <c r="AV581" s="4"/>
      <c r="AW581" s="4"/>
      <c r="AX581" s="4"/>
      <c r="AY581" s="128"/>
      <c r="AZ581" s="4"/>
      <c r="BA581" s="4"/>
      <c r="BB581" s="4"/>
      <c r="BC581" s="4"/>
      <c r="BD581" s="4"/>
      <c r="BE581" s="4"/>
      <c r="BF581" s="4"/>
      <c r="BG581" s="4"/>
      <c r="BH581" s="4"/>
      <c r="BI581" s="567"/>
    </row>
    <row r="582" spans="1:61" ht="12.75" customHeight="1" x14ac:dyDescent="0.25">
      <c r="A582" s="4"/>
      <c r="B582" s="4"/>
      <c r="C582" s="4"/>
      <c r="D582" s="4"/>
      <c r="E582" s="128"/>
      <c r="F582" s="128"/>
      <c r="G582" s="753"/>
      <c r="H582" s="128"/>
      <c r="I582" s="128"/>
      <c r="J582" s="130"/>
      <c r="K582" s="128"/>
      <c r="L582" s="128"/>
      <c r="M582" s="130"/>
      <c r="N582" s="130"/>
      <c r="O582" s="130"/>
      <c r="P582" s="128"/>
      <c r="Q582" s="128"/>
      <c r="R582" s="128"/>
      <c r="S582" s="298"/>
      <c r="T582" s="4"/>
      <c r="U582" s="4"/>
      <c r="V582" s="4"/>
      <c r="W582" s="4"/>
      <c r="X582" s="4"/>
      <c r="Y582" s="128"/>
      <c r="Z582" s="128"/>
      <c r="AA582" s="128"/>
      <c r="AB582" s="4"/>
      <c r="AC582" s="4"/>
      <c r="AD582" s="4"/>
      <c r="AE582" s="4"/>
      <c r="AF582" s="4"/>
      <c r="AG582" s="4"/>
      <c r="AH582" s="4"/>
      <c r="AI582" s="4"/>
      <c r="AJ582" s="246"/>
      <c r="AK582" s="246"/>
      <c r="AL582" s="129"/>
      <c r="AM582" s="129"/>
      <c r="AN582" s="129"/>
      <c r="AO582" s="246"/>
      <c r="AP582" s="246"/>
      <c r="AQ582" s="249"/>
      <c r="AR582" s="4"/>
      <c r="AS582" s="4"/>
      <c r="AT582" s="4"/>
      <c r="AU582" s="4"/>
      <c r="AV582" s="4"/>
      <c r="AW582" s="4"/>
      <c r="AX582" s="4"/>
      <c r="AY582" s="128"/>
      <c r="AZ582" s="4"/>
      <c r="BA582" s="4"/>
      <c r="BB582" s="4"/>
      <c r="BC582" s="4"/>
      <c r="BD582" s="4"/>
      <c r="BE582" s="4"/>
      <c r="BF582" s="4"/>
      <c r="BG582" s="4"/>
      <c r="BH582" s="4"/>
      <c r="BI582" s="567"/>
    </row>
    <row r="583" spans="1:61" ht="12.75" customHeight="1" x14ac:dyDescent="0.25">
      <c r="A583" s="4"/>
      <c r="B583" s="4"/>
      <c r="C583" s="4"/>
      <c r="D583" s="4"/>
      <c r="E583" s="128"/>
      <c r="F583" s="128"/>
      <c r="G583" s="753"/>
      <c r="H583" s="128"/>
      <c r="I583" s="128"/>
      <c r="J583" s="130"/>
      <c r="K583" s="128"/>
      <c r="L583" s="128"/>
      <c r="M583" s="130"/>
      <c r="N583" s="130"/>
      <c r="O583" s="130"/>
      <c r="P583" s="128"/>
      <c r="Q583" s="128"/>
      <c r="R583" s="128"/>
      <c r="S583" s="298"/>
      <c r="T583" s="4"/>
      <c r="U583" s="4"/>
      <c r="V583" s="4"/>
      <c r="W583" s="4"/>
      <c r="X583" s="4"/>
      <c r="Y583" s="128"/>
      <c r="Z583" s="128"/>
      <c r="AA583" s="128"/>
      <c r="AB583" s="4"/>
      <c r="AC583" s="4"/>
      <c r="AD583" s="4"/>
      <c r="AE583" s="4"/>
      <c r="AF583" s="4"/>
      <c r="AG583" s="4"/>
      <c r="AH583" s="4"/>
      <c r="AI583" s="4"/>
      <c r="AJ583" s="246"/>
      <c r="AK583" s="246"/>
      <c r="AL583" s="129"/>
      <c r="AM583" s="129"/>
      <c r="AN583" s="129"/>
      <c r="AO583" s="246"/>
      <c r="AP583" s="246"/>
      <c r="AQ583" s="249"/>
      <c r="AR583" s="4"/>
      <c r="AS583" s="4"/>
      <c r="AT583" s="4"/>
      <c r="AU583" s="4"/>
      <c r="AV583" s="4"/>
      <c r="AW583" s="4"/>
      <c r="AX583" s="4"/>
      <c r="AY583" s="128"/>
      <c r="AZ583" s="4"/>
      <c r="BA583" s="4"/>
      <c r="BB583" s="4"/>
      <c r="BC583" s="4"/>
      <c r="BD583" s="4"/>
      <c r="BE583" s="4"/>
      <c r="BF583" s="4"/>
      <c r="BG583" s="4"/>
      <c r="BH583" s="4"/>
      <c r="BI583" s="567"/>
    </row>
    <row r="584" spans="1:61" ht="12.75" customHeight="1" x14ac:dyDescent="0.25">
      <c r="A584" s="4"/>
      <c r="B584" s="4"/>
      <c r="C584" s="4"/>
      <c r="D584" s="4"/>
      <c r="E584" s="128"/>
      <c r="F584" s="128"/>
      <c r="G584" s="753"/>
      <c r="H584" s="128"/>
      <c r="I584" s="128"/>
      <c r="J584" s="130"/>
      <c r="K584" s="128"/>
      <c r="L584" s="128"/>
      <c r="M584" s="130"/>
      <c r="N584" s="130"/>
      <c r="O584" s="130"/>
      <c r="P584" s="128"/>
      <c r="Q584" s="128"/>
      <c r="R584" s="128"/>
      <c r="S584" s="298"/>
      <c r="T584" s="4"/>
      <c r="U584" s="4"/>
      <c r="V584" s="4"/>
      <c r="W584" s="4"/>
      <c r="X584" s="4"/>
      <c r="Y584" s="128"/>
      <c r="Z584" s="128"/>
      <c r="AA584" s="128"/>
      <c r="AB584" s="4"/>
      <c r="AC584" s="4"/>
      <c r="AD584" s="4"/>
      <c r="AE584" s="4"/>
      <c r="AF584" s="4"/>
      <c r="AG584" s="4"/>
      <c r="AH584" s="4"/>
      <c r="AI584" s="4"/>
      <c r="AJ584" s="246"/>
      <c r="AK584" s="246"/>
      <c r="AL584" s="129"/>
      <c r="AM584" s="129"/>
      <c r="AN584" s="129"/>
      <c r="AO584" s="246"/>
      <c r="AP584" s="246"/>
      <c r="AQ584" s="249"/>
      <c r="AR584" s="4"/>
      <c r="AS584" s="4"/>
      <c r="AT584" s="4"/>
      <c r="AU584" s="4"/>
      <c r="AV584" s="4"/>
      <c r="AW584" s="4"/>
      <c r="AX584" s="4"/>
      <c r="AY584" s="128"/>
      <c r="AZ584" s="4"/>
      <c r="BA584" s="4"/>
      <c r="BB584" s="4"/>
      <c r="BC584" s="4"/>
      <c r="BD584" s="4"/>
      <c r="BE584" s="4"/>
      <c r="BF584" s="4"/>
      <c r="BG584" s="4"/>
      <c r="BH584" s="4"/>
      <c r="BI584" s="567"/>
    </row>
    <row r="585" spans="1:61" ht="12.75" customHeight="1" x14ac:dyDescent="0.25">
      <c r="A585" s="4"/>
      <c r="B585" s="4"/>
      <c r="C585" s="4"/>
      <c r="D585" s="4"/>
      <c r="E585" s="128"/>
      <c r="F585" s="128"/>
      <c r="G585" s="753"/>
      <c r="H585" s="128"/>
      <c r="I585" s="128"/>
      <c r="J585" s="130"/>
      <c r="K585" s="128"/>
      <c r="L585" s="128"/>
      <c r="M585" s="130"/>
      <c r="N585" s="130"/>
      <c r="O585" s="130"/>
      <c r="P585" s="128"/>
      <c r="Q585" s="128"/>
      <c r="R585" s="128"/>
      <c r="S585" s="298"/>
      <c r="T585" s="4"/>
      <c r="U585" s="4"/>
      <c r="V585" s="4"/>
      <c r="W585" s="4"/>
      <c r="X585" s="4"/>
      <c r="Y585" s="128"/>
      <c r="Z585" s="128"/>
      <c r="AA585" s="128"/>
      <c r="AB585" s="4"/>
      <c r="AC585" s="4"/>
      <c r="AD585" s="4"/>
      <c r="AE585" s="4"/>
      <c r="AF585" s="4"/>
      <c r="AG585" s="4"/>
      <c r="AH585" s="4"/>
      <c r="AI585" s="4"/>
      <c r="AJ585" s="246"/>
      <c r="AK585" s="246"/>
      <c r="AL585" s="129"/>
      <c r="AM585" s="129"/>
      <c r="AN585" s="129"/>
      <c r="AO585" s="246"/>
      <c r="AP585" s="246"/>
      <c r="AQ585" s="249"/>
      <c r="AR585" s="4"/>
      <c r="AS585" s="4"/>
      <c r="AT585" s="4"/>
      <c r="AU585" s="4"/>
      <c r="AV585" s="4"/>
      <c r="AW585" s="4"/>
      <c r="AX585" s="4"/>
      <c r="AY585" s="128"/>
      <c r="AZ585" s="4"/>
      <c r="BA585" s="4"/>
      <c r="BB585" s="4"/>
      <c r="BC585" s="4"/>
      <c r="BD585" s="4"/>
      <c r="BE585" s="4"/>
      <c r="BF585" s="4"/>
      <c r="BG585" s="4"/>
      <c r="BH585" s="4"/>
      <c r="BI585" s="567"/>
    </row>
    <row r="586" spans="1:61" ht="12.75" customHeight="1" x14ac:dyDescent="0.25">
      <c r="A586" s="4"/>
      <c r="B586" s="4"/>
      <c r="C586" s="4"/>
      <c r="D586" s="4"/>
      <c r="E586" s="128"/>
      <c r="F586" s="128"/>
      <c r="G586" s="753"/>
      <c r="H586" s="128"/>
      <c r="I586" s="128"/>
      <c r="J586" s="130"/>
      <c r="K586" s="128"/>
      <c r="L586" s="128"/>
      <c r="M586" s="130"/>
      <c r="N586" s="130"/>
      <c r="O586" s="130"/>
      <c r="P586" s="128"/>
      <c r="Q586" s="128"/>
      <c r="R586" s="128"/>
      <c r="S586" s="298"/>
      <c r="T586" s="4"/>
      <c r="U586" s="4"/>
      <c r="V586" s="4"/>
      <c r="W586" s="4"/>
      <c r="X586" s="4"/>
      <c r="Y586" s="128"/>
      <c r="Z586" s="128"/>
      <c r="AA586" s="128"/>
      <c r="AB586" s="4"/>
      <c r="AC586" s="4"/>
      <c r="AD586" s="4"/>
      <c r="AE586" s="4"/>
      <c r="AF586" s="4"/>
      <c r="AG586" s="4"/>
      <c r="AH586" s="4"/>
      <c r="AI586" s="4"/>
      <c r="AJ586" s="246"/>
      <c r="AK586" s="246"/>
      <c r="AL586" s="129"/>
      <c r="AM586" s="129"/>
      <c r="AN586" s="129"/>
      <c r="AO586" s="246"/>
      <c r="AP586" s="246"/>
      <c r="AQ586" s="249"/>
      <c r="AR586" s="4"/>
      <c r="AS586" s="4"/>
      <c r="AT586" s="4"/>
      <c r="AU586" s="4"/>
      <c r="AV586" s="4"/>
      <c r="AW586" s="4"/>
      <c r="AX586" s="4"/>
      <c r="AY586" s="128"/>
      <c r="AZ586" s="4"/>
      <c r="BA586" s="4"/>
      <c r="BB586" s="4"/>
      <c r="BC586" s="4"/>
      <c r="BD586" s="4"/>
      <c r="BE586" s="4"/>
      <c r="BF586" s="4"/>
      <c r="BG586" s="4"/>
      <c r="BH586" s="4"/>
      <c r="BI586" s="567"/>
    </row>
    <row r="587" spans="1:61" ht="12.75" customHeight="1" x14ac:dyDescent="0.25">
      <c r="A587" s="4"/>
      <c r="B587" s="4"/>
      <c r="C587" s="4"/>
      <c r="D587" s="4"/>
      <c r="E587" s="128"/>
      <c r="F587" s="128"/>
      <c r="G587" s="753"/>
      <c r="H587" s="128"/>
      <c r="I587" s="128"/>
      <c r="J587" s="130"/>
      <c r="K587" s="128"/>
      <c r="L587" s="128"/>
      <c r="M587" s="130"/>
      <c r="N587" s="130"/>
      <c r="O587" s="130"/>
      <c r="P587" s="128"/>
      <c r="Q587" s="128"/>
      <c r="R587" s="128"/>
      <c r="S587" s="298"/>
      <c r="T587" s="4"/>
      <c r="U587" s="4"/>
      <c r="V587" s="4"/>
      <c r="W587" s="4"/>
      <c r="X587" s="4"/>
      <c r="Y587" s="128"/>
      <c r="Z587" s="128"/>
      <c r="AA587" s="128"/>
      <c r="AB587" s="4"/>
      <c r="AC587" s="4"/>
      <c r="AD587" s="4"/>
      <c r="AE587" s="4"/>
      <c r="AF587" s="4"/>
      <c r="AG587" s="4"/>
      <c r="AH587" s="4"/>
      <c r="AI587" s="4"/>
      <c r="AJ587" s="246"/>
      <c r="AK587" s="246"/>
      <c r="AL587" s="129"/>
      <c r="AM587" s="129"/>
      <c r="AN587" s="129"/>
      <c r="AO587" s="246"/>
      <c r="AP587" s="246"/>
      <c r="AQ587" s="249"/>
      <c r="AR587" s="4"/>
      <c r="AS587" s="4"/>
      <c r="AT587" s="4"/>
      <c r="AU587" s="4"/>
      <c r="AV587" s="4"/>
      <c r="AW587" s="4"/>
      <c r="AX587" s="4"/>
      <c r="AY587" s="128"/>
      <c r="AZ587" s="4"/>
      <c r="BA587" s="4"/>
      <c r="BB587" s="4"/>
      <c r="BC587" s="4"/>
      <c r="BD587" s="4"/>
      <c r="BE587" s="4"/>
      <c r="BF587" s="4"/>
      <c r="BG587" s="4"/>
      <c r="BH587" s="4"/>
      <c r="BI587" s="567"/>
    </row>
    <row r="588" spans="1:61" ht="12.75" customHeight="1" x14ac:dyDescent="0.25">
      <c r="A588" s="4"/>
      <c r="B588" s="4"/>
      <c r="C588" s="4"/>
      <c r="D588" s="4"/>
      <c r="E588" s="128"/>
      <c r="F588" s="128"/>
      <c r="G588" s="753"/>
      <c r="H588" s="128"/>
      <c r="I588" s="128"/>
      <c r="J588" s="130"/>
      <c r="K588" s="128"/>
      <c r="L588" s="128"/>
      <c r="M588" s="130"/>
      <c r="N588" s="130"/>
      <c r="O588" s="130"/>
      <c r="P588" s="128"/>
      <c r="Q588" s="128"/>
      <c r="R588" s="128"/>
      <c r="S588" s="298"/>
      <c r="T588" s="4"/>
      <c r="U588" s="4"/>
      <c r="V588" s="4"/>
      <c r="W588" s="4"/>
      <c r="X588" s="4"/>
      <c r="Y588" s="128"/>
      <c r="Z588" s="128"/>
      <c r="AA588" s="128"/>
      <c r="AB588" s="4"/>
      <c r="AC588" s="4"/>
      <c r="AD588" s="4"/>
      <c r="AE588" s="4"/>
      <c r="AF588" s="4"/>
      <c r="AG588" s="4"/>
      <c r="AH588" s="4"/>
      <c r="AI588" s="4"/>
      <c r="AJ588" s="246"/>
      <c r="AK588" s="246"/>
      <c r="AL588" s="129"/>
      <c r="AM588" s="129"/>
      <c r="AN588" s="129"/>
      <c r="AO588" s="246"/>
      <c r="AP588" s="246"/>
      <c r="AQ588" s="249"/>
      <c r="AR588" s="4"/>
      <c r="AS588" s="4"/>
      <c r="AT588" s="4"/>
      <c r="AU588" s="4"/>
      <c r="AV588" s="4"/>
      <c r="AW588" s="4"/>
      <c r="AX588" s="4"/>
      <c r="AY588" s="128"/>
      <c r="AZ588" s="4"/>
      <c r="BA588" s="4"/>
      <c r="BB588" s="4"/>
      <c r="BC588" s="4"/>
      <c r="BD588" s="4"/>
      <c r="BE588" s="4"/>
      <c r="BF588" s="4"/>
      <c r="BG588" s="4"/>
      <c r="BH588" s="4"/>
      <c r="BI588" s="567"/>
    </row>
    <row r="589" spans="1:61" ht="12.75" customHeight="1" x14ac:dyDescent="0.25">
      <c r="A589" s="4"/>
      <c r="B589" s="4"/>
      <c r="C589" s="4"/>
      <c r="D589" s="4"/>
      <c r="E589" s="128"/>
      <c r="F589" s="128"/>
      <c r="G589" s="753"/>
      <c r="H589" s="128"/>
      <c r="I589" s="128"/>
      <c r="J589" s="130"/>
      <c r="K589" s="128"/>
      <c r="L589" s="128"/>
      <c r="M589" s="130"/>
      <c r="N589" s="130"/>
      <c r="O589" s="130"/>
      <c r="P589" s="128"/>
      <c r="Q589" s="128"/>
      <c r="R589" s="128"/>
      <c r="S589" s="298"/>
      <c r="T589" s="4"/>
      <c r="U589" s="4"/>
      <c r="V589" s="4"/>
      <c r="W589" s="4"/>
      <c r="X589" s="4"/>
      <c r="Y589" s="128"/>
      <c r="Z589" s="128"/>
      <c r="AA589" s="128"/>
      <c r="AB589" s="4"/>
      <c r="AC589" s="4"/>
      <c r="AD589" s="4"/>
      <c r="AE589" s="4"/>
      <c r="AF589" s="4"/>
      <c r="AG589" s="4"/>
      <c r="AH589" s="4"/>
      <c r="AI589" s="4"/>
      <c r="AJ589" s="246"/>
      <c r="AK589" s="246"/>
      <c r="AL589" s="129"/>
      <c r="AM589" s="129"/>
      <c r="AN589" s="129"/>
      <c r="AO589" s="246"/>
      <c r="AP589" s="246"/>
      <c r="AQ589" s="249"/>
      <c r="AR589" s="4"/>
      <c r="AS589" s="4"/>
      <c r="AT589" s="4"/>
      <c r="AU589" s="4"/>
      <c r="AV589" s="4"/>
      <c r="AW589" s="4"/>
      <c r="AX589" s="4"/>
      <c r="AY589" s="128"/>
      <c r="AZ589" s="4"/>
      <c r="BA589" s="4"/>
      <c r="BB589" s="4"/>
      <c r="BC589" s="4"/>
      <c r="BD589" s="4"/>
      <c r="BE589" s="4"/>
      <c r="BF589" s="4"/>
      <c r="BG589" s="4"/>
      <c r="BH589" s="4"/>
      <c r="BI589" s="567"/>
    </row>
    <row r="590" spans="1:61" ht="12.75" customHeight="1" x14ac:dyDescent="0.25">
      <c r="A590" s="4"/>
      <c r="B590" s="4"/>
      <c r="C590" s="4"/>
      <c r="D590" s="4"/>
      <c r="E590" s="128"/>
      <c r="F590" s="128"/>
      <c r="G590" s="753"/>
      <c r="H590" s="128"/>
      <c r="I590" s="128"/>
      <c r="J590" s="130"/>
      <c r="K590" s="128"/>
      <c r="L590" s="128"/>
      <c r="M590" s="130"/>
      <c r="N590" s="130"/>
      <c r="O590" s="130"/>
      <c r="P590" s="128"/>
      <c r="Q590" s="128"/>
      <c r="R590" s="128"/>
      <c r="S590" s="298"/>
      <c r="T590" s="4"/>
      <c r="U590" s="4"/>
      <c r="V590" s="4"/>
      <c r="W590" s="4"/>
      <c r="X590" s="4"/>
      <c r="Y590" s="128"/>
      <c r="Z590" s="128"/>
      <c r="AA590" s="128"/>
      <c r="AB590" s="4"/>
      <c r="AC590" s="4"/>
      <c r="AD590" s="4"/>
      <c r="AE590" s="4"/>
      <c r="AF590" s="4"/>
      <c r="AG590" s="4"/>
      <c r="AH590" s="4"/>
      <c r="AI590" s="4"/>
      <c r="AJ590" s="246"/>
      <c r="AK590" s="246"/>
      <c r="AL590" s="129"/>
      <c r="AM590" s="129"/>
      <c r="AN590" s="129"/>
      <c r="AO590" s="246"/>
      <c r="AP590" s="246"/>
      <c r="AQ590" s="249"/>
      <c r="AR590" s="4"/>
      <c r="AS590" s="4"/>
      <c r="AT590" s="4"/>
      <c r="AU590" s="4"/>
      <c r="AV590" s="4"/>
      <c r="AW590" s="4"/>
      <c r="AX590" s="4"/>
      <c r="AY590" s="128"/>
      <c r="AZ590" s="4"/>
      <c r="BA590" s="4"/>
      <c r="BB590" s="4"/>
      <c r="BC590" s="4"/>
      <c r="BD590" s="4"/>
      <c r="BE590" s="4"/>
      <c r="BF590" s="4"/>
      <c r="BG590" s="4"/>
      <c r="BH590" s="4"/>
      <c r="BI590" s="567"/>
    </row>
    <row r="591" spans="1:61" ht="12.75" customHeight="1" x14ac:dyDescent="0.25">
      <c r="A591" s="4"/>
      <c r="B591" s="4"/>
      <c r="C591" s="4"/>
      <c r="D591" s="4"/>
      <c r="E591" s="128"/>
      <c r="F591" s="128"/>
      <c r="G591" s="753"/>
      <c r="H591" s="128"/>
      <c r="I591" s="128"/>
      <c r="J591" s="130"/>
      <c r="K591" s="128"/>
      <c r="L591" s="128"/>
      <c r="M591" s="130"/>
      <c r="N591" s="130"/>
      <c r="O591" s="130"/>
      <c r="P591" s="128"/>
      <c r="Q591" s="128"/>
      <c r="R591" s="128"/>
      <c r="S591" s="298"/>
      <c r="T591" s="4"/>
      <c r="U591" s="4"/>
      <c r="V591" s="4"/>
      <c r="W591" s="4"/>
      <c r="X591" s="4"/>
      <c r="Y591" s="128"/>
      <c r="Z591" s="128"/>
      <c r="AA591" s="128"/>
      <c r="AB591" s="4"/>
      <c r="AC591" s="4"/>
      <c r="AD591" s="4"/>
      <c r="AE591" s="4"/>
      <c r="AF591" s="4"/>
      <c r="AG591" s="4"/>
      <c r="AH591" s="4"/>
      <c r="AI591" s="4"/>
      <c r="AJ591" s="246"/>
      <c r="AK591" s="246"/>
      <c r="AL591" s="129"/>
      <c r="AM591" s="129"/>
      <c r="AN591" s="129"/>
      <c r="AO591" s="246"/>
      <c r="AP591" s="246"/>
      <c r="AQ591" s="249"/>
      <c r="AR591" s="4"/>
      <c r="AS591" s="4"/>
      <c r="AT591" s="4"/>
      <c r="AU591" s="4"/>
      <c r="AV591" s="4"/>
      <c r="AW591" s="4"/>
      <c r="AX591" s="4"/>
      <c r="AY591" s="128"/>
      <c r="AZ591" s="4"/>
      <c r="BA591" s="4"/>
      <c r="BB591" s="4"/>
      <c r="BC591" s="4"/>
      <c r="BD591" s="4"/>
      <c r="BE591" s="4"/>
      <c r="BF591" s="4"/>
      <c r="BG591" s="4"/>
      <c r="BH591" s="4"/>
      <c r="BI591" s="567"/>
    </row>
    <row r="592" spans="1:61" ht="12.75" customHeight="1" x14ac:dyDescent="0.25">
      <c r="A592" s="4"/>
      <c r="B592" s="4"/>
      <c r="C592" s="4"/>
      <c r="D592" s="4"/>
      <c r="E592" s="128"/>
      <c r="F592" s="128"/>
      <c r="G592" s="753"/>
      <c r="H592" s="128"/>
      <c r="I592" s="128"/>
      <c r="J592" s="130"/>
      <c r="K592" s="128"/>
      <c r="L592" s="128"/>
      <c r="M592" s="130"/>
      <c r="N592" s="130"/>
      <c r="O592" s="130"/>
      <c r="P592" s="128"/>
      <c r="Q592" s="128"/>
      <c r="R592" s="128"/>
      <c r="S592" s="298"/>
      <c r="T592" s="4"/>
      <c r="U592" s="4"/>
      <c r="V592" s="4"/>
      <c r="W592" s="4"/>
      <c r="X592" s="4"/>
      <c r="Y592" s="128"/>
      <c r="Z592" s="128"/>
      <c r="AA592" s="128"/>
      <c r="AB592" s="4"/>
      <c r="AC592" s="4"/>
      <c r="AD592" s="4"/>
      <c r="AE592" s="4"/>
      <c r="AF592" s="4"/>
      <c r="AG592" s="4"/>
      <c r="AH592" s="4"/>
      <c r="AI592" s="4"/>
      <c r="AJ592" s="246"/>
      <c r="AK592" s="246"/>
      <c r="AL592" s="129"/>
      <c r="AM592" s="129"/>
      <c r="AN592" s="129"/>
      <c r="AO592" s="246"/>
      <c r="AP592" s="246"/>
      <c r="AQ592" s="249"/>
      <c r="AR592" s="4"/>
      <c r="AS592" s="4"/>
      <c r="AT592" s="4"/>
      <c r="AU592" s="4"/>
      <c r="AV592" s="4"/>
      <c r="AW592" s="4"/>
      <c r="AX592" s="4"/>
      <c r="AY592" s="128"/>
      <c r="AZ592" s="4"/>
      <c r="BA592" s="4"/>
      <c r="BB592" s="4"/>
      <c r="BC592" s="4"/>
      <c r="BD592" s="4"/>
      <c r="BE592" s="4"/>
      <c r="BF592" s="4"/>
      <c r="BG592" s="4"/>
      <c r="BH592" s="4"/>
      <c r="BI592" s="567"/>
    </row>
    <row r="593" spans="1:61" ht="12.75" customHeight="1" x14ac:dyDescent="0.25">
      <c r="A593" s="4"/>
      <c r="B593" s="4"/>
      <c r="C593" s="4"/>
      <c r="D593" s="4"/>
      <c r="E593" s="128"/>
      <c r="F593" s="128"/>
      <c r="G593" s="753"/>
      <c r="H593" s="128"/>
      <c r="I593" s="128"/>
      <c r="J593" s="130"/>
      <c r="K593" s="128"/>
      <c r="L593" s="128"/>
      <c r="M593" s="130"/>
      <c r="N593" s="130"/>
      <c r="O593" s="130"/>
      <c r="P593" s="128"/>
      <c r="Q593" s="128"/>
      <c r="R593" s="128"/>
      <c r="S593" s="298"/>
      <c r="T593" s="4"/>
      <c r="U593" s="4"/>
      <c r="V593" s="4"/>
      <c r="W593" s="4"/>
      <c r="X593" s="4"/>
      <c r="Y593" s="128"/>
      <c r="Z593" s="128"/>
      <c r="AA593" s="128"/>
      <c r="AB593" s="4"/>
      <c r="AC593" s="4"/>
      <c r="AD593" s="4"/>
      <c r="AE593" s="4"/>
      <c r="AF593" s="4"/>
      <c r="AG593" s="4"/>
      <c r="AH593" s="4"/>
      <c r="AI593" s="4"/>
      <c r="AJ593" s="246"/>
      <c r="AK593" s="246"/>
      <c r="AL593" s="129"/>
      <c r="AM593" s="129"/>
      <c r="AN593" s="129"/>
      <c r="AO593" s="246"/>
      <c r="AP593" s="246"/>
      <c r="AQ593" s="249"/>
      <c r="AR593" s="4"/>
      <c r="AS593" s="4"/>
      <c r="AT593" s="4"/>
      <c r="AU593" s="4"/>
      <c r="AV593" s="4"/>
      <c r="AW593" s="4"/>
      <c r="AX593" s="4"/>
      <c r="AY593" s="128"/>
      <c r="AZ593" s="4"/>
      <c r="BA593" s="4"/>
      <c r="BB593" s="4"/>
      <c r="BC593" s="4"/>
      <c r="BD593" s="4"/>
      <c r="BE593" s="4"/>
      <c r="BF593" s="4"/>
      <c r="BG593" s="4"/>
      <c r="BH593" s="4"/>
      <c r="BI593" s="567"/>
    </row>
    <row r="594" spans="1:61" ht="12.75" customHeight="1" x14ac:dyDescent="0.25">
      <c r="A594" s="4"/>
      <c r="B594" s="4"/>
      <c r="C594" s="4"/>
      <c r="D594" s="4"/>
      <c r="E594" s="128"/>
      <c r="F594" s="128"/>
      <c r="G594" s="753"/>
      <c r="H594" s="128"/>
      <c r="I594" s="128"/>
      <c r="J594" s="130"/>
      <c r="K594" s="128"/>
      <c r="L594" s="128"/>
      <c r="M594" s="130"/>
      <c r="N594" s="130"/>
      <c r="O594" s="130"/>
      <c r="P594" s="128"/>
      <c r="Q594" s="128"/>
      <c r="R594" s="128"/>
      <c r="S594" s="298"/>
      <c r="T594" s="4"/>
      <c r="U594" s="4"/>
      <c r="V594" s="4"/>
      <c r="W594" s="4"/>
      <c r="X594" s="4"/>
      <c r="Y594" s="128"/>
      <c r="Z594" s="128"/>
      <c r="AA594" s="128"/>
      <c r="AB594" s="4"/>
      <c r="AC594" s="4"/>
      <c r="AD594" s="4"/>
      <c r="AE594" s="4"/>
      <c r="AF594" s="4"/>
      <c r="AG594" s="4"/>
      <c r="AH594" s="4"/>
      <c r="AI594" s="4"/>
      <c r="AJ594" s="246"/>
      <c r="AK594" s="246"/>
      <c r="AL594" s="129"/>
      <c r="AM594" s="129"/>
      <c r="AN594" s="129"/>
      <c r="AO594" s="246"/>
      <c r="AP594" s="246"/>
      <c r="AQ594" s="249"/>
      <c r="AR594" s="4"/>
      <c r="AS594" s="4"/>
      <c r="AT594" s="4"/>
      <c r="AU594" s="4"/>
      <c r="AV594" s="4"/>
      <c r="AW594" s="4"/>
      <c r="AX594" s="4"/>
      <c r="AY594" s="128"/>
      <c r="AZ594" s="4"/>
      <c r="BA594" s="4"/>
      <c r="BB594" s="4"/>
      <c r="BC594" s="4"/>
      <c r="BD594" s="4"/>
      <c r="BE594" s="4"/>
      <c r="BF594" s="4"/>
      <c r="BG594" s="4"/>
      <c r="BH594" s="4"/>
      <c r="BI594" s="567"/>
    </row>
    <row r="595" spans="1:61" ht="12.75" customHeight="1" x14ac:dyDescent="0.25">
      <c r="A595" s="4"/>
      <c r="B595" s="4"/>
      <c r="C595" s="4"/>
      <c r="D595" s="4"/>
      <c r="E595" s="128"/>
      <c r="F595" s="128"/>
      <c r="G595" s="753"/>
      <c r="H595" s="128"/>
      <c r="I595" s="128"/>
      <c r="J595" s="130"/>
      <c r="K595" s="128"/>
      <c r="L595" s="128"/>
      <c r="M595" s="130"/>
      <c r="N595" s="130"/>
      <c r="O595" s="130"/>
      <c r="P595" s="128"/>
      <c r="Q595" s="128"/>
      <c r="R595" s="128"/>
      <c r="S595" s="298"/>
      <c r="T595" s="4"/>
      <c r="U595" s="4"/>
      <c r="V595" s="4"/>
      <c r="W595" s="4"/>
      <c r="X595" s="4"/>
      <c r="Y595" s="128"/>
      <c r="Z595" s="128"/>
      <c r="AA595" s="128"/>
      <c r="AB595" s="4"/>
      <c r="AC595" s="4"/>
      <c r="AD595" s="4"/>
      <c r="AE595" s="4"/>
      <c r="AF595" s="4"/>
      <c r="AG595" s="4"/>
      <c r="AH595" s="4"/>
      <c r="AI595" s="4"/>
      <c r="AJ595" s="246"/>
      <c r="AK595" s="246"/>
      <c r="AL595" s="129"/>
      <c r="AM595" s="129"/>
      <c r="AN595" s="129"/>
      <c r="AO595" s="246"/>
      <c r="AP595" s="246"/>
      <c r="AQ595" s="249"/>
      <c r="AR595" s="4"/>
      <c r="AS595" s="4"/>
      <c r="AT595" s="4"/>
      <c r="AU595" s="4"/>
      <c r="AV595" s="4"/>
      <c r="AW595" s="4"/>
      <c r="AX595" s="4"/>
      <c r="AY595" s="128"/>
      <c r="AZ595" s="4"/>
      <c r="BA595" s="4"/>
      <c r="BB595" s="4"/>
      <c r="BC595" s="4"/>
      <c r="BD595" s="4"/>
      <c r="BE595" s="4"/>
      <c r="BF595" s="4"/>
      <c r="BG595" s="4"/>
      <c r="BH595" s="4"/>
      <c r="BI595" s="567"/>
    </row>
    <row r="596" spans="1:61" ht="12.75" customHeight="1" x14ac:dyDescent="0.25">
      <c r="A596" s="4"/>
      <c r="B596" s="4"/>
      <c r="C596" s="4"/>
      <c r="D596" s="4"/>
      <c r="E596" s="128"/>
      <c r="F596" s="128"/>
      <c r="G596" s="753"/>
      <c r="H596" s="128"/>
      <c r="I596" s="128"/>
      <c r="J596" s="130"/>
      <c r="K596" s="128"/>
      <c r="L596" s="128"/>
      <c r="M596" s="130"/>
      <c r="N596" s="130"/>
      <c r="O596" s="130"/>
      <c r="P596" s="128"/>
      <c r="Q596" s="128"/>
      <c r="R596" s="128"/>
      <c r="S596" s="298"/>
      <c r="T596" s="4"/>
      <c r="U596" s="4"/>
      <c r="V596" s="4"/>
      <c r="W596" s="4"/>
      <c r="X596" s="4"/>
      <c r="Y596" s="128"/>
      <c r="Z596" s="128"/>
      <c r="AA596" s="128"/>
      <c r="AB596" s="4"/>
      <c r="AC596" s="4"/>
      <c r="AD596" s="4"/>
      <c r="AE596" s="4"/>
      <c r="AF596" s="4"/>
      <c r="AG596" s="4"/>
      <c r="AH596" s="4"/>
      <c r="AI596" s="4"/>
      <c r="AJ596" s="246"/>
      <c r="AK596" s="246"/>
      <c r="AL596" s="129"/>
      <c r="AM596" s="129"/>
      <c r="AN596" s="129"/>
      <c r="AO596" s="246"/>
      <c r="AP596" s="246"/>
      <c r="AQ596" s="249"/>
      <c r="AR596" s="4"/>
      <c r="AS596" s="4"/>
      <c r="AT596" s="4"/>
      <c r="AU596" s="4"/>
      <c r="AV596" s="4"/>
      <c r="AW596" s="4"/>
      <c r="AX596" s="4"/>
      <c r="AY596" s="128"/>
      <c r="AZ596" s="4"/>
      <c r="BA596" s="4"/>
      <c r="BB596" s="4"/>
      <c r="BC596" s="4"/>
      <c r="BD596" s="4"/>
      <c r="BE596" s="4"/>
      <c r="BF596" s="4"/>
      <c r="BG596" s="4"/>
      <c r="BH596" s="4"/>
      <c r="BI596" s="567"/>
    </row>
    <row r="597" spans="1:61" ht="12.75" customHeight="1" x14ac:dyDescent="0.25">
      <c r="A597" s="4"/>
      <c r="B597" s="4"/>
      <c r="C597" s="4"/>
      <c r="D597" s="4"/>
      <c r="E597" s="128"/>
      <c r="F597" s="128"/>
      <c r="G597" s="753"/>
      <c r="H597" s="128"/>
      <c r="I597" s="128"/>
      <c r="J597" s="130"/>
      <c r="K597" s="128"/>
      <c r="L597" s="128"/>
      <c r="M597" s="130"/>
      <c r="N597" s="130"/>
      <c r="O597" s="130"/>
      <c r="P597" s="128"/>
      <c r="Q597" s="128"/>
      <c r="R597" s="128"/>
      <c r="S597" s="298"/>
      <c r="T597" s="4"/>
      <c r="U597" s="4"/>
      <c r="V597" s="4"/>
      <c r="W597" s="4"/>
      <c r="X597" s="4"/>
      <c r="Y597" s="128"/>
      <c r="Z597" s="128"/>
      <c r="AA597" s="128"/>
      <c r="AB597" s="4"/>
      <c r="AC597" s="4"/>
      <c r="AD597" s="4"/>
      <c r="AE597" s="4"/>
      <c r="AF597" s="4"/>
      <c r="AG597" s="4"/>
      <c r="AH597" s="4"/>
      <c r="AI597" s="4"/>
      <c r="AJ597" s="246"/>
      <c r="AK597" s="246"/>
      <c r="AL597" s="129"/>
      <c r="AM597" s="129"/>
      <c r="AN597" s="129"/>
      <c r="AO597" s="246"/>
      <c r="AP597" s="246"/>
      <c r="AQ597" s="249"/>
      <c r="AR597" s="4"/>
      <c r="AS597" s="4"/>
      <c r="AT597" s="4"/>
      <c r="AU597" s="4"/>
      <c r="AV597" s="4"/>
      <c r="AW597" s="4"/>
      <c r="AX597" s="4"/>
      <c r="AY597" s="128"/>
      <c r="AZ597" s="4"/>
      <c r="BA597" s="4"/>
      <c r="BB597" s="4"/>
      <c r="BC597" s="4"/>
      <c r="BD597" s="4"/>
      <c r="BE597" s="4"/>
      <c r="BF597" s="4"/>
      <c r="BG597" s="4"/>
      <c r="BH597" s="4"/>
      <c r="BI597" s="567"/>
    </row>
    <row r="598" spans="1:61" ht="12.75" customHeight="1" x14ac:dyDescent="0.25">
      <c r="A598" s="4"/>
      <c r="B598" s="4"/>
      <c r="C598" s="4"/>
      <c r="D598" s="4"/>
      <c r="E598" s="128"/>
      <c r="F598" s="128"/>
      <c r="G598" s="753"/>
      <c r="H598" s="128"/>
      <c r="I598" s="128"/>
      <c r="J598" s="130"/>
      <c r="K598" s="128"/>
      <c r="L598" s="128"/>
      <c r="M598" s="130"/>
      <c r="N598" s="130"/>
      <c r="O598" s="130"/>
      <c r="P598" s="128"/>
      <c r="Q598" s="128"/>
      <c r="R598" s="128"/>
      <c r="S598" s="298"/>
      <c r="T598" s="4"/>
      <c r="U598" s="4"/>
      <c r="V598" s="4"/>
      <c r="W598" s="4"/>
      <c r="X598" s="4"/>
      <c r="Y598" s="128"/>
      <c r="Z598" s="128"/>
      <c r="AA598" s="128"/>
      <c r="AB598" s="4"/>
      <c r="AC598" s="4"/>
      <c r="AD598" s="4"/>
      <c r="AE598" s="4"/>
      <c r="AF598" s="4"/>
      <c r="AG598" s="4"/>
      <c r="AH598" s="4"/>
      <c r="AI598" s="4"/>
      <c r="AJ598" s="246"/>
      <c r="AK598" s="246"/>
      <c r="AL598" s="129"/>
      <c r="AM598" s="129"/>
      <c r="AN598" s="129"/>
      <c r="AO598" s="246"/>
      <c r="AP598" s="246"/>
      <c r="AQ598" s="249"/>
      <c r="AR598" s="4"/>
      <c r="AS598" s="4"/>
      <c r="AT598" s="4"/>
      <c r="AU598" s="4"/>
      <c r="AV598" s="4"/>
      <c r="AW598" s="4"/>
      <c r="AX598" s="4"/>
      <c r="AY598" s="128"/>
      <c r="AZ598" s="4"/>
      <c r="BA598" s="4"/>
      <c r="BB598" s="4"/>
      <c r="BC598" s="4"/>
      <c r="BD598" s="4"/>
      <c r="BE598" s="4"/>
      <c r="BF598" s="4"/>
      <c r="BG598" s="4"/>
      <c r="BH598" s="4"/>
      <c r="BI598" s="567"/>
    </row>
    <row r="599" spans="1:61" ht="12.75" customHeight="1" x14ac:dyDescent="0.25">
      <c r="A599" s="4"/>
      <c r="B599" s="4"/>
      <c r="C599" s="4"/>
      <c r="D599" s="4"/>
      <c r="E599" s="128"/>
      <c r="F599" s="128"/>
      <c r="G599" s="753"/>
      <c r="H599" s="128"/>
      <c r="I599" s="128"/>
      <c r="J599" s="130"/>
      <c r="K599" s="128"/>
      <c r="L599" s="128"/>
      <c r="M599" s="130"/>
      <c r="N599" s="130"/>
      <c r="O599" s="130"/>
      <c r="P599" s="128"/>
      <c r="Q599" s="128"/>
      <c r="R599" s="128"/>
      <c r="S599" s="298"/>
      <c r="T599" s="4"/>
      <c r="U599" s="4"/>
      <c r="V599" s="4"/>
      <c r="W599" s="4"/>
      <c r="X599" s="4"/>
      <c r="Y599" s="128"/>
      <c r="Z599" s="128"/>
      <c r="AA599" s="128"/>
      <c r="AB599" s="4"/>
      <c r="AC599" s="4"/>
      <c r="AD599" s="4"/>
      <c r="AE599" s="4"/>
      <c r="AF599" s="4"/>
      <c r="AG599" s="4"/>
      <c r="AH599" s="4"/>
      <c r="AI599" s="4"/>
      <c r="AJ599" s="246"/>
      <c r="AK599" s="246"/>
      <c r="AL599" s="129"/>
      <c r="AM599" s="129"/>
      <c r="AN599" s="129"/>
      <c r="AO599" s="246"/>
      <c r="AP599" s="246"/>
      <c r="AQ599" s="249"/>
      <c r="AR599" s="4"/>
      <c r="AS599" s="4"/>
      <c r="AT599" s="4"/>
      <c r="AU599" s="4"/>
      <c r="AV599" s="4"/>
      <c r="AW599" s="4"/>
      <c r="AX599" s="4"/>
      <c r="AY599" s="128"/>
      <c r="AZ599" s="4"/>
      <c r="BA599" s="4"/>
      <c r="BB599" s="4"/>
      <c r="BC599" s="4"/>
      <c r="BD599" s="4"/>
      <c r="BE599" s="4"/>
      <c r="BF599" s="4"/>
      <c r="BG599" s="4"/>
      <c r="BH599" s="4"/>
      <c r="BI599" s="567"/>
    </row>
    <row r="600" spans="1:61" ht="12.75" customHeight="1" x14ac:dyDescent="0.25">
      <c r="A600" s="4"/>
      <c r="B600" s="4"/>
      <c r="C600" s="4"/>
      <c r="D600" s="4"/>
      <c r="E600" s="128"/>
      <c r="F600" s="128"/>
      <c r="G600" s="753"/>
      <c r="H600" s="128"/>
      <c r="I600" s="128"/>
      <c r="J600" s="130"/>
      <c r="K600" s="128"/>
      <c r="L600" s="128"/>
      <c r="M600" s="130"/>
      <c r="N600" s="130"/>
      <c r="O600" s="130"/>
      <c r="P600" s="128"/>
      <c r="Q600" s="128"/>
      <c r="R600" s="128"/>
      <c r="S600" s="298"/>
      <c r="T600" s="4"/>
      <c r="U600" s="4"/>
      <c r="V600" s="4"/>
      <c r="W600" s="4"/>
      <c r="X600" s="4"/>
      <c r="Y600" s="128"/>
      <c r="Z600" s="128"/>
      <c r="AA600" s="128"/>
      <c r="AB600" s="4"/>
      <c r="AC600" s="4"/>
      <c r="AD600" s="4"/>
      <c r="AE600" s="4"/>
      <c r="AF600" s="4"/>
      <c r="AG600" s="4"/>
      <c r="AH600" s="4"/>
      <c r="AI600" s="4"/>
      <c r="AJ600" s="246"/>
      <c r="AK600" s="246"/>
      <c r="AL600" s="129"/>
      <c r="AM600" s="129"/>
      <c r="AN600" s="129"/>
      <c r="AO600" s="246"/>
      <c r="AP600" s="246"/>
      <c r="AQ600" s="249"/>
      <c r="AR600" s="4"/>
      <c r="AS600" s="4"/>
      <c r="AT600" s="4"/>
      <c r="AU600" s="4"/>
      <c r="AV600" s="4"/>
      <c r="AW600" s="4"/>
      <c r="AX600" s="4"/>
      <c r="AY600" s="128"/>
      <c r="AZ600" s="4"/>
      <c r="BA600" s="4"/>
      <c r="BB600" s="4"/>
      <c r="BC600" s="4"/>
      <c r="BD600" s="4"/>
      <c r="BE600" s="4"/>
      <c r="BF600" s="4"/>
      <c r="BG600" s="4"/>
      <c r="BH600" s="4"/>
      <c r="BI600" s="567"/>
    </row>
    <row r="601" spans="1:61" ht="12.75" customHeight="1" x14ac:dyDescent="0.25">
      <c r="A601" s="4"/>
      <c r="B601" s="4"/>
      <c r="C601" s="4"/>
      <c r="D601" s="4"/>
      <c r="E601" s="128"/>
      <c r="F601" s="128"/>
      <c r="G601" s="753"/>
      <c r="H601" s="128"/>
      <c r="I601" s="128"/>
      <c r="J601" s="130"/>
      <c r="K601" s="128"/>
      <c r="L601" s="128"/>
      <c r="M601" s="130"/>
      <c r="N601" s="130"/>
      <c r="O601" s="130"/>
      <c r="P601" s="128"/>
      <c r="Q601" s="128"/>
      <c r="R601" s="128"/>
      <c r="S601" s="298"/>
      <c r="T601" s="4"/>
      <c r="U601" s="4"/>
      <c r="V601" s="4"/>
      <c r="W601" s="4"/>
      <c r="X601" s="4"/>
      <c r="Y601" s="128"/>
      <c r="Z601" s="128"/>
      <c r="AA601" s="128"/>
      <c r="AB601" s="4"/>
      <c r="AC601" s="4"/>
      <c r="AD601" s="4"/>
      <c r="AE601" s="4"/>
      <c r="AF601" s="4"/>
      <c r="AG601" s="4"/>
      <c r="AH601" s="4"/>
      <c r="AI601" s="4"/>
      <c r="AJ601" s="246"/>
      <c r="AK601" s="246"/>
      <c r="AL601" s="129"/>
      <c r="AM601" s="129"/>
      <c r="AN601" s="129"/>
      <c r="AO601" s="246"/>
      <c r="AP601" s="246"/>
      <c r="AQ601" s="249"/>
      <c r="AR601" s="4"/>
      <c r="AS601" s="4"/>
      <c r="AT601" s="4"/>
      <c r="AU601" s="4"/>
      <c r="AV601" s="4"/>
      <c r="AW601" s="4"/>
      <c r="AX601" s="4"/>
      <c r="AY601" s="128"/>
      <c r="AZ601" s="4"/>
      <c r="BA601" s="4"/>
      <c r="BB601" s="4"/>
      <c r="BC601" s="4"/>
      <c r="BD601" s="4"/>
      <c r="BE601" s="4"/>
      <c r="BF601" s="4"/>
      <c r="BG601" s="4"/>
      <c r="BH601" s="4"/>
      <c r="BI601" s="567"/>
    </row>
    <row r="602" spans="1:61" ht="12.75" customHeight="1" x14ac:dyDescent="0.25">
      <c r="A602" s="4"/>
      <c r="B602" s="4"/>
      <c r="C602" s="4"/>
      <c r="D602" s="4"/>
      <c r="E602" s="128"/>
      <c r="F602" s="128"/>
      <c r="G602" s="753"/>
      <c r="H602" s="128"/>
      <c r="I602" s="128"/>
      <c r="J602" s="130"/>
      <c r="K602" s="128"/>
      <c r="L602" s="128"/>
      <c r="M602" s="130"/>
      <c r="N602" s="130"/>
      <c r="O602" s="130"/>
      <c r="P602" s="128"/>
      <c r="Q602" s="128"/>
      <c r="R602" s="128"/>
      <c r="S602" s="298"/>
      <c r="T602" s="4"/>
      <c r="U602" s="4"/>
      <c r="V602" s="4"/>
      <c r="W602" s="4"/>
      <c r="X602" s="4"/>
      <c r="Y602" s="128"/>
      <c r="Z602" s="128"/>
      <c r="AA602" s="128"/>
      <c r="AB602" s="4"/>
      <c r="AC602" s="4"/>
      <c r="AD602" s="4"/>
      <c r="AE602" s="4"/>
      <c r="AF602" s="4"/>
      <c r="AG602" s="4"/>
      <c r="AH602" s="4"/>
      <c r="AI602" s="4"/>
      <c r="AJ602" s="246"/>
      <c r="AK602" s="246"/>
      <c r="AL602" s="129"/>
      <c r="AM602" s="129"/>
      <c r="AN602" s="129"/>
      <c r="AO602" s="246"/>
      <c r="AP602" s="246"/>
      <c r="AQ602" s="249"/>
      <c r="AR602" s="4"/>
      <c r="AS602" s="4"/>
      <c r="AT602" s="4"/>
      <c r="AU602" s="4"/>
      <c r="AV602" s="4"/>
      <c r="AW602" s="4"/>
      <c r="AX602" s="4"/>
      <c r="AY602" s="128"/>
      <c r="AZ602" s="4"/>
      <c r="BA602" s="4"/>
      <c r="BB602" s="4"/>
      <c r="BC602" s="4"/>
      <c r="BD602" s="4"/>
      <c r="BE602" s="4"/>
      <c r="BF602" s="4"/>
      <c r="BG602" s="4"/>
      <c r="BH602" s="4"/>
      <c r="BI602" s="567"/>
    </row>
    <row r="603" spans="1:61" ht="12.75" customHeight="1" x14ac:dyDescent="0.25">
      <c r="A603" s="4"/>
      <c r="B603" s="4"/>
      <c r="C603" s="4"/>
      <c r="D603" s="4"/>
      <c r="E603" s="128"/>
      <c r="F603" s="128"/>
      <c r="G603" s="753"/>
      <c r="H603" s="128"/>
      <c r="I603" s="128"/>
      <c r="J603" s="130"/>
      <c r="K603" s="128"/>
      <c r="L603" s="128"/>
      <c r="M603" s="130"/>
      <c r="N603" s="130"/>
      <c r="O603" s="130"/>
      <c r="P603" s="128"/>
      <c r="Q603" s="128"/>
      <c r="R603" s="128"/>
      <c r="S603" s="298"/>
      <c r="T603" s="4"/>
      <c r="U603" s="4"/>
      <c r="V603" s="4"/>
      <c r="W603" s="4"/>
      <c r="X603" s="4"/>
      <c r="Y603" s="128"/>
      <c r="Z603" s="128"/>
      <c r="AA603" s="128"/>
      <c r="AB603" s="4"/>
      <c r="AC603" s="4"/>
      <c r="AD603" s="4"/>
      <c r="AE603" s="4"/>
      <c r="AF603" s="4"/>
      <c r="AG603" s="4"/>
      <c r="AH603" s="4"/>
      <c r="AI603" s="4"/>
      <c r="AJ603" s="246"/>
      <c r="AK603" s="246"/>
      <c r="AL603" s="129"/>
      <c r="AM603" s="129"/>
      <c r="AN603" s="129"/>
      <c r="AO603" s="246"/>
      <c r="AP603" s="246"/>
      <c r="AQ603" s="249"/>
      <c r="AR603" s="4"/>
      <c r="AS603" s="4"/>
      <c r="AT603" s="4"/>
      <c r="AU603" s="4"/>
      <c r="AV603" s="4"/>
      <c r="AW603" s="4"/>
      <c r="AX603" s="4"/>
      <c r="AY603" s="128"/>
      <c r="AZ603" s="4"/>
      <c r="BA603" s="4"/>
      <c r="BB603" s="4"/>
      <c r="BC603" s="4"/>
      <c r="BD603" s="4"/>
      <c r="BE603" s="4"/>
      <c r="BF603" s="4"/>
      <c r="BG603" s="4"/>
      <c r="BH603" s="4"/>
      <c r="BI603" s="567"/>
    </row>
    <row r="604" spans="1:61" ht="12.75" customHeight="1" x14ac:dyDescent="0.25">
      <c r="A604" s="4"/>
      <c r="B604" s="4"/>
      <c r="C604" s="4"/>
      <c r="D604" s="4"/>
      <c r="E604" s="128"/>
      <c r="F604" s="128"/>
      <c r="G604" s="753"/>
      <c r="H604" s="128"/>
      <c r="I604" s="128"/>
      <c r="J604" s="130"/>
      <c r="K604" s="128"/>
      <c r="L604" s="128"/>
      <c r="M604" s="130"/>
      <c r="N604" s="130"/>
      <c r="O604" s="130"/>
      <c r="P604" s="128"/>
      <c r="Q604" s="128"/>
      <c r="R604" s="128"/>
      <c r="S604" s="298"/>
      <c r="T604" s="4"/>
      <c r="U604" s="4"/>
      <c r="V604" s="4"/>
      <c r="W604" s="4"/>
      <c r="X604" s="4"/>
      <c r="Y604" s="128"/>
      <c r="Z604" s="128"/>
      <c r="AA604" s="128"/>
      <c r="AB604" s="4"/>
      <c r="AC604" s="4"/>
      <c r="AD604" s="4"/>
      <c r="AE604" s="4"/>
      <c r="AF604" s="4"/>
      <c r="AG604" s="4"/>
      <c r="AH604" s="4"/>
      <c r="AI604" s="4"/>
      <c r="AJ604" s="246"/>
      <c r="AK604" s="246"/>
      <c r="AL604" s="129"/>
      <c r="AM604" s="129"/>
      <c r="AN604" s="129"/>
      <c r="AO604" s="246"/>
      <c r="AP604" s="246"/>
      <c r="AQ604" s="249"/>
      <c r="AR604" s="4"/>
      <c r="AS604" s="4"/>
      <c r="AT604" s="4"/>
      <c r="AU604" s="4"/>
      <c r="AV604" s="4"/>
      <c r="AW604" s="4"/>
      <c r="AX604" s="4"/>
      <c r="AY604" s="128"/>
      <c r="AZ604" s="4"/>
      <c r="BA604" s="4"/>
      <c r="BB604" s="4"/>
      <c r="BC604" s="4"/>
      <c r="BD604" s="4"/>
      <c r="BE604" s="4"/>
      <c r="BF604" s="4"/>
      <c r="BG604" s="4"/>
      <c r="BH604" s="4"/>
      <c r="BI604" s="567"/>
    </row>
    <row r="605" spans="1:61" ht="12.75" customHeight="1" x14ac:dyDescent="0.25">
      <c r="A605" s="4"/>
      <c r="B605" s="4"/>
      <c r="C605" s="4"/>
      <c r="D605" s="4"/>
      <c r="E605" s="128"/>
      <c r="F605" s="128"/>
      <c r="G605" s="753"/>
      <c r="H605" s="128"/>
      <c r="I605" s="128"/>
      <c r="J605" s="130"/>
      <c r="K605" s="128"/>
      <c r="L605" s="128"/>
      <c r="M605" s="130"/>
      <c r="N605" s="130"/>
      <c r="O605" s="130"/>
      <c r="P605" s="128"/>
      <c r="Q605" s="128"/>
      <c r="R605" s="128"/>
      <c r="S605" s="298"/>
      <c r="T605" s="4"/>
      <c r="U605" s="4"/>
      <c r="V605" s="4"/>
      <c r="W605" s="4"/>
      <c r="X605" s="4"/>
      <c r="Y605" s="128"/>
      <c r="Z605" s="128"/>
      <c r="AA605" s="128"/>
      <c r="AB605" s="4"/>
      <c r="AC605" s="4"/>
      <c r="AD605" s="4"/>
      <c r="AE605" s="4"/>
      <c r="AF605" s="4"/>
      <c r="AG605" s="4"/>
      <c r="AH605" s="4"/>
      <c r="AI605" s="4"/>
      <c r="AJ605" s="246"/>
      <c r="AK605" s="246"/>
      <c r="AL605" s="129"/>
      <c r="AM605" s="129"/>
      <c r="AN605" s="129"/>
      <c r="AO605" s="246"/>
      <c r="AP605" s="246"/>
      <c r="AQ605" s="249"/>
      <c r="AR605" s="4"/>
      <c r="AS605" s="4"/>
      <c r="AT605" s="4"/>
      <c r="AU605" s="4"/>
      <c r="AV605" s="4"/>
      <c r="AW605" s="4"/>
      <c r="AX605" s="4"/>
      <c r="AY605" s="128"/>
      <c r="AZ605" s="4"/>
      <c r="BA605" s="4"/>
      <c r="BB605" s="4"/>
      <c r="BC605" s="4"/>
      <c r="BD605" s="4"/>
      <c r="BE605" s="4"/>
      <c r="BF605" s="4"/>
      <c r="BG605" s="4"/>
      <c r="BH605" s="4"/>
      <c r="BI605" s="567"/>
    </row>
    <row r="606" spans="1:61" ht="12.75" customHeight="1" x14ac:dyDescent="0.25">
      <c r="A606" s="4"/>
      <c r="B606" s="4"/>
      <c r="C606" s="4"/>
      <c r="D606" s="4"/>
      <c r="E606" s="128"/>
      <c r="F606" s="128"/>
      <c r="G606" s="753"/>
      <c r="H606" s="128"/>
      <c r="I606" s="128"/>
      <c r="J606" s="130"/>
      <c r="K606" s="128"/>
      <c r="L606" s="128"/>
      <c r="M606" s="130"/>
      <c r="N606" s="130"/>
      <c r="O606" s="130"/>
      <c r="P606" s="128"/>
      <c r="Q606" s="128"/>
      <c r="R606" s="128"/>
      <c r="S606" s="298"/>
      <c r="T606" s="4"/>
      <c r="U606" s="4"/>
      <c r="V606" s="4"/>
      <c r="W606" s="4"/>
      <c r="X606" s="4"/>
      <c r="Y606" s="128"/>
      <c r="Z606" s="128"/>
      <c r="AA606" s="128"/>
      <c r="AB606" s="4"/>
      <c r="AC606" s="4"/>
      <c r="AD606" s="4"/>
      <c r="AE606" s="4"/>
      <c r="AF606" s="4"/>
      <c r="AG606" s="4"/>
      <c r="AH606" s="4"/>
      <c r="AI606" s="4"/>
      <c r="AJ606" s="246"/>
      <c r="AK606" s="246"/>
      <c r="AL606" s="129"/>
      <c r="AM606" s="129"/>
      <c r="AN606" s="129"/>
      <c r="AO606" s="246"/>
      <c r="AP606" s="246"/>
      <c r="AQ606" s="249"/>
      <c r="AR606" s="4"/>
      <c r="AS606" s="4"/>
      <c r="AT606" s="4"/>
      <c r="AU606" s="4"/>
      <c r="AV606" s="4"/>
      <c r="AW606" s="4"/>
      <c r="AX606" s="4"/>
      <c r="AY606" s="128"/>
      <c r="AZ606" s="4"/>
      <c r="BA606" s="4"/>
      <c r="BB606" s="4"/>
      <c r="BC606" s="4"/>
      <c r="BD606" s="4"/>
      <c r="BE606" s="4"/>
      <c r="BF606" s="4"/>
      <c r="BG606" s="4"/>
      <c r="BH606" s="4"/>
      <c r="BI606" s="567"/>
    </row>
    <row r="607" spans="1:61" ht="12.75" customHeight="1" x14ac:dyDescent="0.25">
      <c r="A607" s="4"/>
      <c r="B607" s="4"/>
      <c r="C607" s="4"/>
      <c r="D607" s="4"/>
      <c r="E607" s="128"/>
      <c r="F607" s="128"/>
      <c r="G607" s="753"/>
      <c r="H607" s="128"/>
      <c r="I607" s="128"/>
      <c r="J607" s="130"/>
      <c r="K607" s="128"/>
      <c r="L607" s="128"/>
      <c r="M607" s="130"/>
      <c r="N607" s="130"/>
      <c r="O607" s="130"/>
      <c r="P607" s="128"/>
      <c r="Q607" s="128"/>
      <c r="R607" s="128"/>
      <c r="S607" s="298"/>
      <c r="T607" s="4"/>
      <c r="U607" s="4"/>
      <c r="V607" s="4"/>
      <c r="W607" s="4"/>
      <c r="X607" s="4"/>
      <c r="Y607" s="128"/>
      <c r="Z607" s="128"/>
      <c r="AA607" s="128"/>
      <c r="AB607" s="4"/>
      <c r="AC607" s="4"/>
      <c r="AD607" s="4"/>
      <c r="AE607" s="4"/>
      <c r="AF607" s="4"/>
      <c r="AG607" s="4"/>
      <c r="AH607" s="4"/>
      <c r="AI607" s="4"/>
      <c r="AJ607" s="246"/>
      <c r="AK607" s="246"/>
      <c r="AL607" s="129"/>
      <c r="AM607" s="129"/>
      <c r="AN607" s="129"/>
      <c r="AO607" s="246"/>
      <c r="AP607" s="246"/>
      <c r="AQ607" s="249"/>
      <c r="AR607" s="4"/>
      <c r="AS607" s="4"/>
      <c r="AT607" s="4"/>
      <c r="AU607" s="4"/>
      <c r="AV607" s="4"/>
      <c r="AW607" s="4"/>
      <c r="AX607" s="4"/>
      <c r="AY607" s="128"/>
      <c r="AZ607" s="4"/>
      <c r="BA607" s="4"/>
      <c r="BB607" s="4"/>
      <c r="BC607" s="4"/>
      <c r="BD607" s="4"/>
      <c r="BE607" s="4"/>
      <c r="BF607" s="4"/>
      <c r="BG607" s="4"/>
      <c r="BH607" s="4"/>
      <c r="BI607" s="567"/>
    </row>
    <row r="608" spans="1:61" ht="12.75" customHeight="1" x14ac:dyDescent="0.25">
      <c r="A608" s="4"/>
      <c r="B608" s="4"/>
      <c r="C608" s="4"/>
      <c r="D608" s="4"/>
      <c r="E608" s="128"/>
      <c r="F608" s="128"/>
      <c r="G608" s="753"/>
      <c r="H608" s="128"/>
      <c r="I608" s="128"/>
      <c r="J608" s="130"/>
      <c r="K608" s="128"/>
      <c r="L608" s="128"/>
      <c r="M608" s="130"/>
      <c r="N608" s="130"/>
      <c r="O608" s="130"/>
      <c r="P608" s="128"/>
      <c r="Q608" s="128"/>
      <c r="R608" s="128"/>
      <c r="S608" s="298"/>
      <c r="T608" s="4"/>
      <c r="U608" s="4"/>
      <c r="V608" s="4"/>
      <c r="W608" s="4"/>
      <c r="X608" s="4"/>
      <c r="Y608" s="128"/>
      <c r="Z608" s="128"/>
      <c r="AA608" s="128"/>
      <c r="AB608" s="4"/>
      <c r="AC608" s="4"/>
      <c r="AD608" s="4"/>
      <c r="AE608" s="4"/>
      <c r="AF608" s="4"/>
      <c r="AG608" s="4"/>
      <c r="AH608" s="4"/>
      <c r="AI608" s="4"/>
      <c r="AJ608" s="246"/>
      <c r="AK608" s="246"/>
      <c r="AL608" s="129"/>
      <c r="AM608" s="129"/>
      <c r="AN608" s="129"/>
      <c r="AO608" s="246"/>
      <c r="AP608" s="246"/>
      <c r="AQ608" s="249"/>
      <c r="AR608" s="4"/>
      <c r="AS608" s="4"/>
      <c r="AT608" s="4"/>
      <c r="AU608" s="4"/>
      <c r="AV608" s="4"/>
      <c r="AW608" s="4"/>
      <c r="AX608" s="4"/>
      <c r="AY608" s="128"/>
      <c r="AZ608" s="4"/>
      <c r="BA608" s="4"/>
      <c r="BB608" s="4"/>
      <c r="BC608" s="4"/>
      <c r="BD608" s="4"/>
      <c r="BE608" s="4"/>
      <c r="BF608" s="4"/>
      <c r="BG608" s="4"/>
      <c r="BH608" s="4"/>
      <c r="BI608" s="567"/>
    </row>
    <row r="609" spans="1:61" ht="12.75" customHeight="1" x14ac:dyDescent="0.25">
      <c r="A609" s="4"/>
      <c r="B609" s="4"/>
      <c r="C609" s="4"/>
      <c r="D609" s="4"/>
      <c r="E609" s="128"/>
      <c r="F609" s="128"/>
      <c r="G609" s="753"/>
      <c r="H609" s="128"/>
      <c r="I609" s="128"/>
      <c r="J609" s="130"/>
      <c r="K609" s="128"/>
      <c r="L609" s="128"/>
      <c r="M609" s="130"/>
      <c r="N609" s="130"/>
      <c r="O609" s="130"/>
      <c r="P609" s="128"/>
      <c r="Q609" s="128"/>
      <c r="R609" s="128"/>
      <c r="S609" s="298"/>
      <c r="T609" s="4"/>
      <c r="U609" s="4"/>
      <c r="V609" s="4"/>
      <c r="W609" s="4"/>
      <c r="X609" s="4"/>
      <c r="Y609" s="128"/>
      <c r="Z609" s="128"/>
      <c r="AA609" s="128"/>
      <c r="AB609" s="4"/>
      <c r="AC609" s="4"/>
      <c r="AD609" s="4"/>
      <c r="AE609" s="4"/>
      <c r="AF609" s="4"/>
      <c r="AG609" s="4"/>
      <c r="AH609" s="4"/>
      <c r="AI609" s="4"/>
      <c r="AJ609" s="246"/>
      <c r="AK609" s="246"/>
      <c r="AL609" s="129"/>
      <c r="AM609" s="129"/>
      <c r="AN609" s="129"/>
      <c r="AO609" s="246"/>
      <c r="AP609" s="246"/>
      <c r="AQ609" s="249"/>
      <c r="AR609" s="4"/>
      <c r="AS609" s="4"/>
      <c r="AT609" s="4"/>
      <c r="AU609" s="4"/>
      <c r="AV609" s="4"/>
      <c r="AW609" s="4"/>
      <c r="AX609" s="4"/>
      <c r="AY609" s="128"/>
      <c r="AZ609" s="4"/>
      <c r="BA609" s="4"/>
      <c r="BB609" s="4"/>
      <c r="BC609" s="4"/>
      <c r="BD609" s="4"/>
      <c r="BE609" s="4"/>
      <c r="BF609" s="4"/>
      <c r="BG609" s="4"/>
      <c r="BH609" s="4"/>
      <c r="BI609" s="567"/>
    </row>
    <row r="610" spans="1:61" ht="12.75" customHeight="1" x14ac:dyDescent="0.25">
      <c r="A610" s="4"/>
      <c r="B610" s="4"/>
      <c r="C610" s="4"/>
      <c r="D610" s="4"/>
      <c r="E610" s="128"/>
      <c r="F610" s="128"/>
      <c r="G610" s="753"/>
      <c r="H610" s="128"/>
      <c r="I610" s="128"/>
      <c r="J610" s="130"/>
      <c r="K610" s="128"/>
      <c r="L610" s="128"/>
      <c r="M610" s="130"/>
      <c r="N610" s="130"/>
      <c r="O610" s="130"/>
      <c r="P610" s="128"/>
      <c r="Q610" s="128"/>
      <c r="R610" s="128"/>
      <c r="S610" s="298"/>
      <c r="T610" s="4"/>
      <c r="U610" s="4"/>
      <c r="V610" s="4"/>
      <c r="W610" s="4"/>
      <c r="X610" s="4"/>
      <c r="Y610" s="128"/>
      <c r="Z610" s="128"/>
      <c r="AA610" s="128"/>
      <c r="AB610" s="4"/>
      <c r="AC610" s="4"/>
      <c r="AD610" s="4"/>
      <c r="AE610" s="4"/>
      <c r="AF610" s="4"/>
      <c r="AG610" s="4"/>
      <c r="AH610" s="4"/>
      <c r="AI610" s="4"/>
      <c r="AJ610" s="246"/>
      <c r="AK610" s="246"/>
      <c r="AL610" s="129"/>
      <c r="AM610" s="129"/>
      <c r="AN610" s="129"/>
      <c r="AO610" s="246"/>
      <c r="AP610" s="246"/>
      <c r="AQ610" s="249"/>
      <c r="AR610" s="4"/>
      <c r="AS610" s="4"/>
      <c r="AT610" s="4"/>
      <c r="AU610" s="4"/>
      <c r="AV610" s="4"/>
      <c r="AW610" s="4"/>
      <c r="AX610" s="4"/>
      <c r="AY610" s="128"/>
      <c r="AZ610" s="4"/>
      <c r="BA610" s="4"/>
      <c r="BB610" s="4"/>
      <c r="BC610" s="4"/>
      <c r="BD610" s="4"/>
      <c r="BE610" s="4"/>
      <c r="BF610" s="4"/>
      <c r="BG610" s="4"/>
      <c r="BH610" s="4"/>
      <c r="BI610" s="567"/>
    </row>
    <row r="611" spans="1:61" ht="12.75" customHeight="1" x14ac:dyDescent="0.25">
      <c r="A611" s="4"/>
      <c r="B611" s="4"/>
      <c r="C611" s="4"/>
      <c r="D611" s="4"/>
      <c r="E611" s="128"/>
      <c r="F611" s="128"/>
      <c r="G611" s="753"/>
      <c r="H611" s="128"/>
      <c r="I611" s="128"/>
      <c r="J611" s="130"/>
      <c r="K611" s="128"/>
      <c r="L611" s="128"/>
      <c r="M611" s="130"/>
      <c r="N611" s="130"/>
      <c r="O611" s="130"/>
      <c r="P611" s="128"/>
      <c r="Q611" s="128"/>
      <c r="R611" s="128"/>
      <c r="S611" s="298"/>
      <c r="T611" s="4"/>
      <c r="U611" s="4"/>
      <c r="V611" s="4"/>
      <c r="W611" s="4"/>
      <c r="X611" s="4"/>
      <c r="Y611" s="128"/>
      <c r="Z611" s="128"/>
      <c r="AA611" s="128"/>
      <c r="AB611" s="4"/>
      <c r="AC611" s="4"/>
      <c r="AD611" s="4"/>
      <c r="AE611" s="4"/>
      <c r="AF611" s="4"/>
      <c r="AG611" s="4"/>
      <c r="AH611" s="4"/>
      <c r="AI611" s="4"/>
      <c r="AJ611" s="246"/>
      <c r="AK611" s="246"/>
      <c r="AL611" s="129"/>
      <c r="AM611" s="129"/>
      <c r="AN611" s="129"/>
      <c r="AO611" s="246"/>
      <c r="AP611" s="246"/>
      <c r="AQ611" s="249"/>
      <c r="AR611" s="4"/>
      <c r="AS611" s="4"/>
      <c r="AT611" s="4"/>
      <c r="AU611" s="4"/>
      <c r="AV611" s="4"/>
      <c r="AW611" s="4"/>
      <c r="AX611" s="4"/>
      <c r="AY611" s="128"/>
      <c r="AZ611" s="4"/>
      <c r="BA611" s="4"/>
      <c r="BB611" s="4"/>
      <c r="BC611" s="4"/>
      <c r="BD611" s="4"/>
      <c r="BE611" s="4"/>
      <c r="BF611" s="4"/>
      <c r="BG611" s="4"/>
      <c r="BH611" s="4"/>
      <c r="BI611" s="567"/>
    </row>
    <row r="612" spans="1:61" ht="12.75" customHeight="1" x14ac:dyDescent="0.25">
      <c r="A612" s="4"/>
      <c r="B612" s="4"/>
      <c r="C612" s="4"/>
      <c r="D612" s="4"/>
      <c r="E612" s="128"/>
      <c r="F612" s="128"/>
      <c r="G612" s="753"/>
      <c r="H612" s="128"/>
      <c r="I612" s="128"/>
      <c r="J612" s="130"/>
      <c r="K612" s="128"/>
      <c r="L612" s="128"/>
      <c r="M612" s="130"/>
      <c r="N612" s="130"/>
      <c r="O612" s="130"/>
      <c r="P612" s="128"/>
      <c r="Q612" s="128"/>
      <c r="R612" s="128"/>
      <c r="S612" s="298"/>
      <c r="T612" s="4"/>
      <c r="U612" s="4"/>
      <c r="V612" s="4"/>
      <c r="W612" s="4"/>
      <c r="X612" s="4"/>
      <c r="Y612" s="128"/>
      <c r="Z612" s="128"/>
      <c r="AA612" s="128"/>
      <c r="AB612" s="4"/>
      <c r="AC612" s="4"/>
      <c r="AD612" s="4"/>
      <c r="AE612" s="4"/>
      <c r="AF612" s="4"/>
      <c r="AG612" s="4"/>
      <c r="AH612" s="4"/>
      <c r="AI612" s="4"/>
      <c r="AJ612" s="246"/>
      <c r="AK612" s="246"/>
      <c r="AL612" s="129"/>
      <c r="AM612" s="129"/>
      <c r="AN612" s="129"/>
      <c r="AO612" s="246"/>
      <c r="AP612" s="246"/>
      <c r="AQ612" s="249"/>
      <c r="AR612" s="4"/>
      <c r="AS612" s="4"/>
      <c r="AT612" s="4"/>
      <c r="AU612" s="4"/>
      <c r="AV612" s="4"/>
      <c r="AW612" s="4"/>
      <c r="AX612" s="4"/>
      <c r="AY612" s="128"/>
      <c r="AZ612" s="4"/>
      <c r="BA612" s="4"/>
      <c r="BB612" s="4"/>
      <c r="BC612" s="4"/>
      <c r="BD612" s="4"/>
      <c r="BE612" s="4"/>
      <c r="BF612" s="4"/>
      <c r="BG612" s="4"/>
      <c r="BH612" s="4"/>
      <c r="BI612" s="567"/>
    </row>
    <row r="613" spans="1:61" ht="12.75" customHeight="1" x14ac:dyDescent="0.25">
      <c r="A613" s="4"/>
      <c r="B613" s="4"/>
      <c r="C613" s="4"/>
      <c r="D613" s="4"/>
      <c r="E613" s="128"/>
      <c r="F613" s="128"/>
      <c r="G613" s="753"/>
      <c r="H613" s="128"/>
      <c r="I613" s="128"/>
      <c r="J613" s="130"/>
      <c r="K613" s="128"/>
      <c r="L613" s="128"/>
      <c r="M613" s="130"/>
      <c r="N613" s="130"/>
      <c r="O613" s="130"/>
      <c r="P613" s="128"/>
      <c r="Q613" s="128"/>
      <c r="R613" s="128"/>
      <c r="S613" s="298"/>
      <c r="T613" s="4"/>
      <c r="U613" s="4"/>
      <c r="V613" s="4"/>
      <c r="W613" s="4"/>
      <c r="X613" s="4"/>
      <c r="Y613" s="128"/>
      <c r="Z613" s="128"/>
      <c r="AA613" s="128"/>
      <c r="AB613" s="4"/>
      <c r="AC613" s="4"/>
      <c r="AD613" s="4"/>
      <c r="AE613" s="4"/>
      <c r="AF613" s="4"/>
      <c r="AG613" s="4"/>
      <c r="AH613" s="4"/>
      <c r="AI613" s="4"/>
      <c r="AJ613" s="246"/>
      <c r="AK613" s="246"/>
      <c r="AL613" s="129"/>
      <c r="AM613" s="129"/>
      <c r="AN613" s="129"/>
      <c r="AO613" s="246"/>
      <c r="AP613" s="246"/>
      <c r="AQ613" s="249"/>
      <c r="AR613" s="4"/>
      <c r="AS613" s="4"/>
      <c r="AT613" s="4"/>
      <c r="AU613" s="4"/>
      <c r="AV613" s="4"/>
      <c r="AW613" s="4"/>
      <c r="AX613" s="4"/>
      <c r="AY613" s="128"/>
      <c r="AZ613" s="4"/>
      <c r="BA613" s="4"/>
      <c r="BB613" s="4"/>
      <c r="BC613" s="4"/>
      <c r="BD613" s="4"/>
      <c r="BE613" s="4"/>
      <c r="BF613" s="4"/>
      <c r="BG613" s="4"/>
      <c r="BH613" s="4"/>
      <c r="BI613" s="567"/>
    </row>
    <row r="614" spans="1:61" ht="12.75" customHeight="1" x14ac:dyDescent="0.25">
      <c r="A614" s="4"/>
      <c r="B614" s="4"/>
      <c r="C614" s="4"/>
      <c r="D614" s="4"/>
      <c r="E614" s="128"/>
      <c r="F614" s="128"/>
      <c r="G614" s="753"/>
      <c r="H614" s="128"/>
      <c r="I614" s="128"/>
      <c r="J614" s="130"/>
      <c r="K614" s="128"/>
      <c r="L614" s="128"/>
      <c r="M614" s="130"/>
      <c r="N614" s="130"/>
      <c r="O614" s="130"/>
      <c r="P614" s="128"/>
      <c r="Q614" s="128"/>
      <c r="R614" s="128"/>
      <c r="S614" s="298"/>
      <c r="T614" s="4"/>
      <c r="U614" s="4"/>
      <c r="V614" s="4"/>
      <c r="W614" s="4"/>
      <c r="X614" s="4"/>
      <c r="Y614" s="128"/>
      <c r="Z614" s="128"/>
      <c r="AA614" s="128"/>
      <c r="AB614" s="4"/>
      <c r="AC614" s="4"/>
      <c r="AD614" s="4"/>
      <c r="AE614" s="4"/>
      <c r="AF614" s="4"/>
      <c r="AG614" s="4"/>
      <c r="AH614" s="4"/>
      <c r="AI614" s="4"/>
      <c r="AJ614" s="246"/>
      <c r="AK614" s="246"/>
      <c r="AL614" s="129"/>
      <c r="AM614" s="129"/>
      <c r="AN614" s="129"/>
      <c r="AO614" s="246"/>
      <c r="AP614" s="246"/>
      <c r="AQ614" s="249"/>
      <c r="AR614" s="4"/>
      <c r="AS614" s="4"/>
      <c r="AT614" s="4"/>
      <c r="AU614" s="4"/>
      <c r="AV614" s="4"/>
      <c r="AW614" s="4"/>
      <c r="AX614" s="4"/>
      <c r="AY614" s="128"/>
      <c r="AZ614" s="4"/>
      <c r="BA614" s="4"/>
      <c r="BB614" s="4"/>
      <c r="BC614" s="4"/>
      <c r="BD614" s="4"/>
      <c r="BE614" s="4"/>
      <c r="BF614" s="4"/>
      <c r="BG614" s="4"/>
      <c r="BH614" s="4"/>
      <c r="BI614" s="567"/>
    </row>
    <row r="615" spans="1:61" ht="12.75" customHeight="1" x14ac:dyDescent="0.25">
      <c r="A615" s="4"/>
      <c r="B615" s="4"/>
      <c r="C615" s="4"/>
      <c r="D615" s="4"/>
      <c r="E615" s="128"/>
      <c r="F615" s="128"/>
      <c r="G615" s="753"/>
      <c r="H615" s="128"/>
      <c r="I615" s="128"/>
      <c r="J615" s="130"/>
      <c r="K615" s="128"/>
      <c r="L615" s="128"/>
      <c r="M615" s="130"/>
      <c r="N615" s="130"/>
      <c r="O615" s="130"/>
      <c r="P615" s="128"/>
      <c r="Q615" s="128"/>
      <c r="R615" s="128"/>
      <c r="S615" s="298"/>
      <c r="T615" s="4"/>
      <c r="U615" s="4"/>
      <c r="V615" s="4"/>
      <c r="W615" s="4"/>
      <c r="X615" s="4"/>
      <c r="Y615" s="128"/>
      <c r="Z615" s="128"/>
      <c r="AA615" s="128"/>
      <c r="AB615" s="4"/>
      <c r="AC615" s="4"/>
      <c r="AD615" s="4"/>
      <c r="AE615" s="4"/>
      <c r="AF615" s="4"/>
      <c r="AG615" s="4"/>
      <c r="AH615" s="4"/>
      <c r="AI615" s="4"/>
      <c r="AJ615" s="246"/>
      <c r="AK615" s="246"/>
      <c r="AL615" s="129"/>
      <c r="AM615" s="129"/>
      <c r="AN615" s="129"/>
      <c r="AO615" s="246"/>
      <c r="AP615" s="246"/>
      <c r="AQ615" s="249"/>
      <c r="AR615" s="4"/>
      <c r="AS615" s="4"/>
      <c r="AT615" s="4"/>
      <c r="AU615" s="4"/>
      <c r="AV615" s="4"/>
      <c r="AW615" s="4"/>
      <c r="AX615" s="4"/>
      <c r="AY615" s="128"/>
      <c r="AZ615" s="4"/>
      <c r="BA615" s="4"/>
      <c r="BB615" s="4"/>
      <c r="BC615" s="4"/>
      <c r="BD615" s="4"/>
      <c r="BE615" s="4"/>
      <c r="BF615" s="4"/>
      <c r="BG615" s="4"/>
      <c r="BH615" s="4"/>
      <c r="BI615" s="567"/>
    </row>
    <row r="616" spans="1:61" ht="12.75" customHeight="1" x14ac:dyDescent="0.25">
      <c r="A616" s="4"/>
      <c r="B616" s="4"/>
      <c r="C616" s="4"/>
      <c r="D616" s="4"/>
      <c r="E616" s="128"/>
      <c r="F616" s="128"/>
      <c r="G616" s="753"/>
      <c r="H616" s="128"/>
      <c r="I616" s="128"/>
      <c r="J616" s="130"/>
      <c r="K616" s="128"/>
      <c r="L616" s="128"/>
      <c r="M616" s="130"/>
      <c r="N616" s="130"/>
      <c r="O616" s="130"/>
      <c r="P616" s="128"/>
      <c r="Q616" s="128"/>
      <c r="R616" s="128"/>
      <c r="S616" s="298"/>
      <c r="T616" s="4"/>
      <c r="U616" s="4"/>
      <c r="V616" s="4"/>
      <c r="W616" s="4"/>
      <c r="X616" s="4"/>
      <c r="Y616" s="128"/>
      <c r="Z616" s="128"/>
      <c r="AA616" s="128"/>
      <c r="AB616" s="4"/>
      <c r="AC616" s="4"/>
      <c r="AD616" s="4"/>
      <c r="AE616" s="4"/>
      <c r="AF616" s="4"/>
      <c r="AG616" s="4"/>
      <c r="AH616" s="4"/>
      <c r="AI616" s="4"/>
      <c r="AJ616" s="246"/>
      <c r="AK616" s="246"/>
      <c r="AL616" s="129"/>
      <c r="AM616" s="129"/>
      <c r="AN616" s="129"/>
      <c r="AO616" s="246"/>
      <c r="AP616" s="246"/>
      <c r="AQ616" s="249"/>
      <c r="AR616" s="4"/>
      <c r="AS616" s="4"/>
      <c r="AT616" s="4"/>
      <c r="AU616" s="4"/>
      <c r="AV616" s="4"/>
      <c r="AW616" s="4"/>
      <c r="AX616" s="4"/>
      <c r="AY616" s="128"/>
      <c r="AZ616" s="4"/>
      <c r="BA616" s="4"/>
      <c r="BB616" s="4"/>
      <c r="BC616" s="4"/>
      <c r="BD616" s="4"/>
      <c r="BE616" s="4"/>
      <c r="BF616" s="4"/>
      <c r="BG616" s="4"/>
      <c r="BH616" s="4"/>
      <c r="BI616" s="567"/>
    </row>
    <row r="617" spans="1:61" ht="12.75" customHeight="1" x14ac:dyDescent="0.25">
      <c r="A617" s="4"/>
      <c r="B617" s="4"/>
      <c r="C617" s="4"/>
      <c r="D617" s="4"/>
      <c r="E617" s="128"/>
      <c r="F617" s="128"/>
      <c r="G617" s="753"/>
      <c r="H617" s="128"/>
      <c r="I617" s="128"/>
      <c r="J617" s="130"/>
      <c r="K617" s="128"/>
      <c r="L617" s="128"/>
      <c r="M617" s="130"/>
      <c r="N617" s="130"/>
      <c r="O617" s="130"/>
      <c r="P617" s="128"/>
      <c r="Q617" s="128"/>
      <c r="R617" s="128"/>
      <c r="S617" s="298"/>
      <c r="T617" s="4"/>
      <c r="U617" s="4"/>
      <c r="V617" s="4"/>
      <c r="W617" s="4"/>
      <c r="X617" s="4"/>
      <c r="Y617" s="128"/>
      <c r="Z617" s="128"/>
      <c r="AA617" s="128"/>
      <c r="AB617" s="4"/>
      <c r="AC617" s="4"/>
      <c r="AD617" s="4"/>
      <c r="AE617" s="4"/>
      <c r="AF617" s="4"/>
      <c r="AG617" s="4"/>
      <c r="AH617" s="4"/>
      <c r="AI617" s="4"/>
      <c r="AJ617" s="246"/>
      <c r="AK617" s="246"/>
      <c r="AL617" s="129"/>
      <c r="AM617" s="129"/>
      <c r="AN617" s="129"/>
      <c r="AO617" s="246"/>
      <c r="AP617" s="246"/>
      <c r="AQ617" s="249"/>
      <c r="AR617" s="4"/>
      <c r="AS617" s="4"/>
      <c r="AT617" s="4"/>
      <c r="AU617" s="4"/>
      <c r="AV617" s="4"/>
      <c r="AW617" s="4"/>
      <c r="AX617" s="4"/>
      <c r="AY617" s="128"/>
      <c r="AZ617" s="4"/>
      <c r="BA617" s="4"/>
      <c r="BB617" s="4"/>
      <c r="BC617" s="4"/>
      <c r="BD617" s="4"/>
      <c r="BE617" s="4"/>
      <c r="BF617" s="4"/>
      <c r="BG617" s="4"/>
      <c r="BH617" s="4"/>
      <c r="BI617" s="567"/>
    </row>
    <row r="618" spans="1:61" ht="12.75" customHeight="1" x14ac:dyDescent="0.25">
      <c r="A618" s="4"/>
      <c r="B618" s="4"/>
      <c r="C618" s="4"/>
      <c r="D618" s="4"/>
      <c r="E618" s="128"/>
      <c r="F618" s="128"/>
      <c r="G618" s="753"/>
      <c r="H618" s="128"/>
      <c r="I618" s="128"/>
      <c r="J618" s="130"/>
      <c r="K618" s="128"/>
      <c r="L618" s="128"/>
      <c r="M618" s="130"/>
      <c r="N618" s="130"/>
      <c r="O618" s="130"/>
      <c r="P618" s="128"/>
      <c r="Q618" s="128"/>
      <c r="R618" s="128"/>
      <c r="S618" s="298"/>
      <c r="T618" s="4"/>
      <c r="U618" s="4"/>
      <c r="V618" s="4"/>
      <c r="W618" s="4"/>
      <c r="X618" s="4"/>
      <c r="Y618" s="128"/>
      <c r="Z618" s="128"/>
      <c r="AA618" s="128"/>
      <c r="AB618" s="4"/>
      <c r="AC618" s="4"/>
      <c r="AD618" s="4"/>
      <c r="AE618" s="4"/>
      <c r="AF618" s="4"/>
      <c r="AG618" s="4"/>
      <c r="AH618" s="4"/>
      <c r="AI618" s="4"/>
      <c r="AJ618" s="246"/>
      <c r="AK618" s="246"/>
      <c r="AL618" s="129"/>
      <c r="AM618" s="129"/>
      <c r="AN618" s="129"/>
      <c r="AO618" s="246"/>
      <c r="AP618" s="246"/>
      <c r="AQ618" s="249"/>
      <c r="AR618" s="4"/>
      <c r="AS618" s="4"/>
      <c r="AT618" s="4"/>
      <c r="AU618" s="4"/>
      <c r="AV618" s="4"/>
      <c r="AW618" s="4"/>
      <c r="AX618" s="4"/>
      <c r="AY618" s="128"/>
      <c r="AZ618" s="4"/>
      <c r="BA618" s="4"/>
      <c r="BB618" s="4"/>
      <c r="BC618" s="4"/>
      <c r="BD618" s="4"/>
      <c r="BE618" s="4"/>
      <c r="BF618" s="4"/>
      <c r="BG618" s="4"/>
      <c r="BH618" s="4"/>
      <c r="BI618" s="567"/>
    </row>
    <row r="619" spans="1:61" ht="12.75" customHeight="1" x14ac:dyDescent="0.25">
      <c r="A619" s="4"/>
      <c r="B619" s="4"/>
      <c r="C619" s="4"/>
      <c r="D619" s="4"/>
      <c r="E619" s="128"/>
      <c r="F619" s="128"/>
      <c r="G619" s="753"/>
      <c r="H619" s="128"/>
      <c r="I619" s="128"/>
      <c r="J619" s="130"/>
      <c r="K619" s="128"/>
      <c r="L619" s="128"/>
      <c r="M619" s="130"/>
      <c r="N619" s="130"/>
      <c r="O619" s="130"/>
      <c r="P619" s="128"/>
      <c r="Q619" s="128"/>
      <c r="R619" s="128"/>
      <c r="S619" s="298"/>
      <c r="T619" s="4"/>
      <c r="U619" s="4"/>
      <c r="V619" s="4"/>
      <c r="W619" s="4"/>
      <c r="X619" s="4"/>
      <c r="Y619" s="128"/>
      <c r="Z619" s="128"/>
      <c r="AA619" s="128"/>
      <c r="AB619" s="4"/>
      <c r="AC619" s="4"/>
      <c r="AD619" s="4"/>
      <c r="AE619" s="4"/>
      <c r="AF619" s="4"/>
      <c r="AG619" s="4"/>
      <c r="AH619" s="4"/>
      <c r="AI619" s="4"/>
      <c r="AJ619" s="246"/>
      <c r="AK619" s="246"/>
      <c r="AL619" s="129"/>
      <c r="AM619" s="129"/>
      <c r="AN619" s="129"/>
      <c r="AO619" s="246"/>
      <c r="AP619" s="246"/>
      <c r="AQ619" s="249"/>
      <c r="AR619" s="4"/>
      <c r="AS619" s="4"/>
      <c r="AT619" s="4"/>
      <c r="AU619" s="4"/>
      <c r="AV619" s="4"/>
      <c r="AW619" s="4"/>
      <c r="AX619" s="4"/>
      <c r="AY619" s="128"/>
      <c r="AZ619" s="4"/>
      <c r="BA619" s="4"/>
      <c r="BB619" s="4"/>
      <c r="BC619" s="4"/>
      <c r="BD619" s="4"/>
      <c r="BE619" s="4"/>
      <c r="BF619" s="4"/>
      <c r="BG619" s="4"/>
      <c r="BH619" s="4"/>
      <c r="BI619" s="567"/>
    </row>
    <row r="620" spans="1:61" ht="12.75" customHeight="1" x14ac:dyDescent="0.25">
      <c r="A620" s="4"/>
      <c r="B620" s="4"/>
      <c r="C620" s="4"/>
      <c r="D620" s="4"/>
      <c r="E620" s="128"/>
      <c r="F620" s="128"/>
      <c r="G620" s="753"/>
      <c r="H620" s="128"/>
      <c r="I620" s="128"/>
      <c r="J620" s="130"/>
      <c r="K620" s="128"/>
      <c r="L620" s="128"/>
      <c r="M620" s="130"/>
      <c r="N620" s="130"/>
      <c r="O620" s="130"/>
      <c r="P620" s="128"/>
      <c r="Q620" s="128"/>
      <c r="R620" s="128"/>
      <c r="S620" s="298"/>
      <c r="T620" s="4"/>
      <c r="U620" s="4"/>
      <c r="V620" s="4"/>
      <c r="W620" s="4"/>
      <c r="X620" s="4"/>
      <c r="Y620" s="128"/>
      <c r="Z620" s="128"/>
      <c r="AA620" s="128"/>
      <c r="AB620" s="4"/>
      <c r="AC620" s="4"/>
      <c r="AD620" s="4"/>
      <c r="AE620" s="4"/>
      <c r="AF620" s="4"/>
      <c r="AG620" s="4"/>
      <c r="AH620" s="4"/>
      <c r="AI620" s="4"/>
      <c r="AJ620" s="246"/>
      <c r="AK620" s="246"/>
      <c r="AL620" s="129"/>
      <c r="AM620" s="129"/>
      <c r="AN620" s="129"/>
      <c r="AO620" s="246"/>
      <c r="AP620" s="246"/>
      <c r="AQ620" s="249"/>
      <c r="AR620" s="4"/>
      <c r="AS620" s="4"/>
      <c r="AT620" s="4"/>
      <c r="AU620" s="4"/>
      <c r="AV620" s="4"/>
      <c r="AW620" s="4"/>
      <c r="AX620" s="4"/>
      <c r="AY620" s="128"/>
      <c r="AZ620" s="4"/>
      <c r="BA620" s="4"/>
      <c r="BB620" s="4"/>
      <c r="BC620" s="4"/>
      <c r="BD620" s="4"/>
      <c r="BE620" s="4"/>
      <c r="BF620" s="4"/>
      <c r="BG620" s="4"/>
      <c r="BH620" s="4"/>
      <c r="BI620" s="567"/>
    </row>
    <row r="621" spans="1:61" ht="12.75" customHeight="1" x14ac:dyDescent="0.25">
      <c r="A621" s="4"/>
      <c r="B621" s="4"/>
      <c r="C621" s="4"/>
      <c r="D621" s="4"/>
      <c r="E621" s="128"/>
      <c r="F621" s="128"/>
      <c r="G621" s="753"/>
      <c r="H621" s="128"/>
      <c r="I621" s="128"/>
      <c r="J621" s="130"/>
      <c r="K621" s="128"/>
      <c r="L621" s="128"/>
      <c r="M621" s="130"/>
      <c r="N621" s="130"/>
      <c r="O621" s="130"/>
      <c r="P621" s="128"/>
      <c r="Q621" s="128"/>
      <c r="R621" s="128"/>
      <c r="S621" s="298"/>
      <c r="T621" s="4"/>
      <c r="U621" s="4"/>
      <c r="V621" s="4"/>
      <c r="W621" s="4"/>
      <c r="X621" s="4"/>
      <c r="Y621" s="128"/>
      <c r="Z621" s="128"/>
      <c r="AA621" s="128"/>
      <c r="AB621" s="4"/>
      <c r="AC621" s="4"/>
      <c r="AD621" s="4"/>
      <c r="AE621" s="4"/>
      <c r="AF621" s="4"/>
      <c r="AG621" s="4"/>
      <c r="AH621" s="4"/>
      <c r="AI621" s="4"/>
      <c r="AJ621" s="246"/>
      <c r="AK621" s="246"/>
      <c r="AL621" s="129"/>
      <c r="AM621" s="129"/>
      <c r="AN621" s="129"/>
      <c r="AO621" s="246"/>
      <c r="AP621" s="246"/>
      <c r="AQ621" s="249"/>
      <c r="AR621" s="4"/>
      <c r="AS621" s="4"/>
      <c r="AT621" s="4"/>
      <c r="AU621" s="4"/>
      <c r="AV621" s="4"/>
      <c r="AW621" s="4"/>
      <c r="AX621" s="4"/>
      <c r="AY621" s="128"/>
      <c r="AZ621" s="4"/>
      <c r="BA621" s="4"/>
      <c r="BB621" s="4"/>
      <c r="BC621" s="4"/>
      <c r="BD621" s="4"/>
      <c r="BE621" s="4"/>
      <c r="BF621" s="4"/>
      <c r="BG621" s="4"/>
      <c r="BH621" s="4"/>
      <c r="BI621" s="567"/>
    </row>
    <row r="622" spans="1:61" ht="12.75" customHeight="1" x14ac:dyDescent="0.25">
      <c r="A622" s="4"/>
      <c r="B622" s="4"/>
      <c r="C622" s="4"/>
      <c r="D622" s="4"/>
      <c r="E622" s="128"/>
      <c r="F622" s="128"/>
      <c r="G622" s="753"/>
      <c r="H622" s="128"/>
      <c r="I622" s="128"/>
      <c r="J622" s="130"/>
      <c r="K622" s="128"/>
      <c r="L622" s="128"/>
      <c r="M622" s="130"/>
      <c r="N622" s="130"/>
      <c r="O622" s="130"/>
      <c r="P622" s="128"/>
      <c r="Q622" s="128"/>
      <c r="R622" s="128"/>
      <c r="S622" s="298"/>
      <c r="T622" s="4"/>
      <c r="U622" s="4"/>
      <c r="V622" s="4"/>
      <c r="W622" s="4"/>
      <c r="X622" s="4"/>
      <c r="Y622" s="128"/>
      <c r="Z622" s="128"/>
      <c r="AA622" s="128"/>
      <c r="AB622" s="4"/>
      <c r="AC622" s="4"/>
      <c r="AD622" s="4"/>
      <c r="AE622" s="4"/>
      <c r="AF622" s="4"/>
      <c r="AG622" s="4"/>
      <c r="AH622" s="4"/>
      <c r="AI622" s="4"/>
      <c r="AJ622" s="246"/>
      <c r="AK622" s="246"/>
      <c r="AL622" s="129"/>
      <c r="AM622" s="129"/>
      <c r="AN622" s="129"/>
      <c r="AO622" s="246"/>
      <c r="AP622" s="246"/>
      <c r="AQ622" s="249"/>
      <c r="AR622" s="4"/>
      <c r="AS622" s="4"/>
      <c r="AT622" s="4"/>
      <c r="AU622" s="4"/>
      <c r="AV622" s="4"/>
      <c r="AW622" s="4"/>
      <c r="AX622" s="4"/>
      <c r="AY622" s="128"/>
      <c r="AZ622" s="4"/>
      <c r="BA622" s="4"/>
      <c r="BB622" s="4"/>
      <c r="BC622" s="4"/>
      <c r="BD622" s="4"/>
      <c r="BE622" s="4"/>
      <c r="BF622" s="4"/>
      <c r="BG622" s="4"/>
      <c r="BH622" s="4"/>
      <c r="BI622" s="567"/>
    </row>
    <row r="623" spans="1:61" ht="12.75" customHeight="1" x14ac:dyDescent="0.25">
      <c r="A623" s="4"/>
      <c r="B623" s="4"/>
      <c r="C623" s="4"/>
      <c r="D623" s="4"/>
      <c r="E623" s="128"/>
      <c r="F623" s="128"/>
      <c r="G623" s="753"/>
      <c r="H623" s="128"/>
      <c r="I623" s="128"/>
      <c r="J623" s="130"/>
      <c r="K623" s="128"/>
      <c r="L623" s="128"/>
      <c r="M623" s="130"/>
      <c r="N623" s="130"/>
      <c r="O623" s="130"/>
      <c r="P623" s="128"/>
      <c r="Q623" s="128"/>
      <c r="R623" s="128"/>
      <c r="S623" s="298"/>
      <c r="T623" s="4"/>
      <c r="U623" s="4"/>
      <c r="V623" s="4"/>
      <c r="W623" s="4"/>
      <c r="X623" s="4"/>
      <c r="Y623" s="128"/>
      <c r="Z623" s="128"/>
      <c r="AA623" s="128"/>
      <c r="AB623" s="4"/>
      <c r="AC623" s="4"/>
      <c r="AD623" s="4"/>
      <c r="AE623" s="4"/>
      <c r="AF623" s="4"/>
      <c r="AG623" s="4"/>
      <c r="AH623" s="4"/>
      <c r="AI623" s="4"/>
      <c r="AJ623" s="246"/>
      <c r="AK623" s="246"/>
      <c r="AL623" s="129"/>
      <c r="AM623" s="129"/>
      <c r="AN623" s="129"/>
      <c r="AO623" s="246"/>
      <c r="AP623" s="246"/>
      <c r="AQ623" s="249"/>
      <c r="AR623" s="4"/>
      <c r="AS623" s="4"/>
      <c r="AT623" s="4"/>
      <c r="AU623" s="4"/>
      <c r="AV623" s="4"/>
      <c r="AW623" s="4"/>
      <c r="AX623" s="4"/>
      <c r="AY623" s="128"/>
      <c r="AZ623" s="4"/>
      <c r="BA623" s="4"/>
      <c r="BB623" s="4"/>
      <c r="BC623" s="4"/>
      <c r="BD623" s="4"/>
      <c r="BE623" s="4"/>
      <c r="BF623" s="4"/>
      <c r="BG623" s="4"/>
      <c r="BH623" s="4"/>
      <c r="BI623" s="567"/>
    </row>
    <row r="624" spans="1:61" ht="12.75" customHeight="1" x14ac:dyDescent="0.25">
      <c r="A624" s="4"/>
      <c r="B624" s="4"/>
      <c r="C624" s="4"/>
      <c r="D624" s="4"/>
      <c r="E624" s="128"/>
      <c r="F624" s="128"/>
      <c r="G624" s="753"/>
      <c r="H624" s="128"/>
      <c r="I624" s="128"/>
      <c r="J624" s="130"/>
      <c r="K624" s="128"/>
      <c r="L624" s="128"/>
      <c r="M624" s="130"/>
      <c r="N624" s="130"/>
      <c r="O624" s="130"/>
      <c r="P624" s="128"/>
      <c r="Q624" s="128"/>
      <c r="R624" s="128"/>
      <c r="S624" s="298"/>
      <c r="T624" s="4"/>
      <c r="U624" s="4"/>
      <c r="V624" s="4"/>
      <c r="W624" s="4"/>
      <c r="X624" s="4"/>
      <c r="Y624" s="128"/>
      <c r="Z624" s="128"/>
      <c r="AA624" s="128"/>
      <c r="AB624" s="4"/>
      <c r="AC624" s="4"/>
      <c r="AD624" s="4"/>
      <c r="AE624" s="4"/>
      <c r="AF624" s="4"/>
      <c r="AG624" s="4"/>
      <c r="AH624" s="4"/>
      <c r="AI624" s="4"/>
      <c r="AJ624" s="246"/>
      <c r="AK624" s="246"/>
      <c r="AL624" s="129"/>
      <c r="AM624" s="129"/>
      <c r="AN624" s="129"/>
      <c r="AO624" s="246"/>
      <c r="AP624" s="246"/>
      <c r="AQ624" s="249"/>
      <c r="AR624" s="4"/>
      <c r="AS624" s="4"/>
      <c r="AT624" s="4"/>
      <c r="AU624" s="4"/>
      <c r="AV624" s="4"/>
      <c r="AW624" s="4"/>
      <c r="AX624" s="4"/>
      <c r="AY624" s="128"/>
      <c r="AZ624" s="4"/>
      <c r="BA624" s="4"/>
      <c r="BB624" s="4"/>
      <c r="BC624" s="4"/>
      <c r="BD624" s="4"/>
      <c r="BE624" s="4"/>
      <c r="BF624" s="4"/>
      <c r="BG624" s="4"/>
      <c r="BH624" s="4"/>
      <c r="BI624" s="567"/>
    </row>
    <row r="625" spans="1:61" ht="12.75" customHeight="1" x14ac:dyDescent="0.25">
      <c r="A625" s="4"/>
      <c r="B625" s="4"/>
      <c r="C625" s="4"/>
      <c r="D625" s="4"/>
      <c r="E625" s="128"/>
      <c r="F625" s="128"/>
      <c r="G625" s="753"/>
      <c r="H625" s="128"/>
      <c r="I625" s="128"/>
      <c r="J625" s="130"/>
      <c r="K625" s="128"/>
      <c r="L625" s="128"/>
      <c r="M625" s="130"/>
      <c r="N625" s="130"/>
      <c r="O625" s="130"/>
      <c r="P625" s="128"/>
      <c r="Q625" s="128"/>
      <c r="R625" s="128"/>
      <c r="S625" s="298"/>
      <c r="T625" s="4"/>
      <c r="U625" s="4"/>
      <c r="V625" s="4"/>
      <c r="W625" s="4"/>
      <c r="X625" s="4"/>
      <c r="Y625" s="128"/>
      <c r="Z625" s="128"/>
      <c r="AA625" s="128"/>
      <c r="AB625" s="4"/>
      <c r="AC625" s="4"/>
      <c r="AD625" s="4"/>
      <c r="AE625" s="4"/>
      <c r="AF625" s="4"/>
      <c r="AG625" s="4"/>
      <c r="AH625" s="4"/>
      <c r="AI625" s="4"/>
      <c r="AJ625" s="246"/>
      <c r="AK625" s="246"/>
      <c r="AL625" s="129"/>
      <c r="AM625" s="129"/>
      <c r="AN625" s="129"/>
      <c r="AO625" s="246"/>
      <c r="AP625" s="246"/>
      <c r="AQ625" s="249"/>
      <c r="AR625" s="4"/>
      <c r="AS625" s="4"/>
      <c r="AT625" s="4"/>
      <c r="AU625" s="4"/>
      <c r="AV625" s="4"/>
      <c r="AW625" s="4"/>
      <c r="AX625" s="4"/>
      <c r="AY625" s="128"/>
      <c r="AZ625" s="4"/>
      <c r="BA625" s="4"/>
      <c r="BB625" s="4"/>
      <c r="BC625" s="4"/>
      <c r="BD625" s="4"/>
      <c r="BE625" s="4"/>
      <c r="BF625" s="4"/>
      <c r="BG625" s="4"/>
      <c r="BH625" s="4"/>
      <c r="BI625" s="567"/>
    </row>
    <row r="626" spans="1:61" ht="12.75" customHeight="1" x14ac:dyDescent="0.25">
      <c r="A626" s="4"/>
      <c r="B626" s="4"/>
      <c r="C626" s="4"/>
      <c r="D626" s="4"/>
      <c r="E626" s="128"/>
      <c r="F626" s="128"/>
      <c r="G626" s="753"/>
      <c r="H626" s="128"/>
      <c r="I626" s="128"/>
      <c r="J626" s="130"/>
      <c r="K626" s="128"/>
      <c r="L626" s="128"/>
      <c r="M626" s="130"/>
      <c r="N626" s="130"/>
      <c r="O626" s="130"/>
      <c r="P626" s="128"/>
      <c r="Q626" s="128"/>
      <c r="R626" s="128"/>
      <c r="S626" s="298"/>
      <c r="T626" s="4"/>
      <c r="U626" s="4"/>
      <c r="V626" s="4"/>
      <c r="W626" s="4"/>
      <c r="X626" s="4"/>
      <c r="Y626" s="128"/>
      <c r="Z626" s="128"/>
      <c r="AA626" s="128"/>
      <c r="AB626" s="4"/>
      <c r="AC626" s="4"/>
      <c r="AD626" s="4"/>
      <c r="AE626" s="4"/>
      <c r="AF626" s="4"/>
      <c r="AG626" s="4"/>
      <c r="AH626" s="4"/>
      <c r="AI626" s="4"/>
      <c r="AJ626" s="246"/>
      <c r="AK626" s="246"/>
      <c r="AL626" s="129"/>
      <c r="AM626" s="129"/>
      <c r="AN626" s="129"/>
      <c r="AO626" s="246"/>
      <c r="AP626" s="246"/>
      <c r="AQ626" s="249"/>
      <c r="AR626" s="4"/>
      <c r="AS626" s="4"/>
      <c r="AT626" s="4"/>
      <c r="AU626" s="4"/>
      <c r="AV626" s="4"/>
      <c r="AW626" s="4"/>
      <c r="AX626" s="4"/>
      <c r="AY626" s="128"/>
      <c r="AZ626" s="4"/>
      <c r="BA626" s="4"/>
      <c r="BB626" s="4"/>
      <c r="BC626" s="4"/>
      <c r="BD626" s="4"/>
      <c r="BE626" s="4"/>
      <c r="BF626" s="4"/>
      <c r="BG626" s="4"/>
      <c r="BH626" s="4"/>
      <c r="BI626" s="567"/>
    </row>
    <row r="627" spans="1:61" ht="12.75" customHeight="1" x14ac:dyDescent="0.25">
      <c r="A627" s="4"/>
      <c r="B627" s="4"/>
      <c r="C627" s="4"/>
      <c r="D627" s="4"/>
      <c r="E627" s="128"/>
      <c r="F627" s="128"/>
      <c r="G627" s="753"/>
      <c r="H627" s="128"/>
      <c r="I627" s="128"/>
      <c r="J627" s="130"/>
      <c r="K627" s="128"/>
      <c r="L627" s="128"/>
      <c r="M627" s="130"/>
      <c r="N627" s="130"/>
      <c r="O627" s="130"/>
      <c r="P627" s="128"/>
      <c r="Q627" s="128"/>
      <c r="R627" s="128"/>
      <c r="S627" s="298"/>
      <c r="T627" s="4"/>
      <c r="U627" s="4"/>
      <c r="V627" s="4"/>
      <c r="W627" s="4"/>
      <c r="X627" s="4"/>
      <c r="Y627" s="128"/>
      <c r="Z627" s="128"/>
      <c r="AA627" s="128"/>
      <c r="AB627" s="4"/>
      <c r="AC627" s="4"/>
      <c r="AD627" s="4"/>
      <c r="AE627" s="4"/>
      <c r="AF627" s="4"/>
      <c r="AG627" s="4"/>
      <c r="AH627" s="4"/>
      <c r="AI627" s="4"/>
      <c r="AJ627" s="246"/>
      <c r="AK627" s="246"/>
      <c r="AL627" s="129"/>
      <c r="AM627" s="129"/>
      <c r="AN627" s="129"/>
      <c r="AO627" s="246"/>
      <c r="AP627" s="246"/>
      <c r="AQ627" s="249"/>
      <c r="AR627" s="4"/>
      <c r="AS627" s="4"/>
      <c r="AT627" s="4"/>
      <c r="AU627" s="4"/>
      <c r="AV627" s="4"/>
      <c r="AW627" s="4"/>
      <c r="AX627" s="4"/>
      <c r="AY627" s="128"/>
      <c r="AZ627" s="4"/>
      <c r="BA627" s="4"/>
      <c r="BB627" s="4"/>
      <c r="BC627" s="4"/>
      <c r="BD627" s="4"/>
      <c r="BE627" s="4"/>
      <c r="BF627" s="4"/>
      <c r="BG627" s="4"/>
      <c r="BH627" s="4"/>
      <c r="BI627" s="567"/>
    </row>
    <row r="628" spans="1:61" ht="12.75" customHeight="1" x14ac:dyDescent="0.25">
      <c r="A628" s="4"/>
      <c r="B628" s="4"/>
      <c r="C628" s="4"/>
      <c r="D628" s="4"/>
      <c r="E628" s="128"/>
      <c r="F628" s="128"/>
      <c r="G628" s="753"/>
      <c r="H628" s="128"/>
      <c r="I628" s="128"/>
      <c r="J628" s="130"/>
      <c r="K628" s="128"/>
      <c r="L628" s="128"/>
      <c r="M628" s="130"/>
      <c r="N628" s="130"/>
      <c r="O628" s="130"/>
      <c r="P628" s="128"/>
      <c r="Q628" s="128"/>
      <c r="R628" s="128"/>
      <c r="S628" s="298"/>
      <c r="T628" s="4"/>
      <c r="U628" s="4"/>
      <c r="V628" s="4"/>
      <c r="W628" s="4"/>
      <c r="X628" s="4"/>
      <c r="Y628" s="128"/>
      <c r="Z628" s="128"/>
      <c r="AA628" s="128"/>
      <c r="AB628" s="4"/>
      <c r="AC628" s="4"/>
      <c r="AD628" s="4"/>
      <c r="AE628" s="4"/>
      <c r="AF628" s="4"/>
      <c r="AG628" s="4"/>
      <c r="AH628" s="4"/>
      <c r="AI628" s="4"/>
      <c r="AJ628" s="246"/>
      <c r="AK628" s="246"/>
      <c r="AL628" s="129"/>
      <c r="AM628" s="129"/>
      <c r="AN628" s="129"/>
      <c r="AO628" s="246"/>
      <c r="AP628" s="246"/>
      <c r="AQ628" s="249"/>
      <c r="AR628" s="4"/>
      <c r="AS628" s="4"/>
      <c r="AT628" s="4"/>
      <c r="AU628" s="4"/>
      <c r="AV628" s="4"/>
      <c r="AW628" s="4"/>
      <c r="AX628" s="4"/>
      <c r="AY628" s="128"/>
      <c r="AZ628" s="4"/>
      <c r="BA628" s="4"/>
      <c r="BB628" s="4"/>
      <c r="BC628" s="4"/>
      <c r="BD628" s="4"/>
      <c r="BE628" s="4"/>
      <c r="BF628" s="4"/>
      <c r="BG628" s="4"/>
      <c r="BH628" s="4"/>
      <c r="BI628" s="567"/>
    </row>
    <row r="629" spans="1:61" ht="12.75" customHeight="1" x14ac:dyDescent="0.25">
      <c r="A629" s="4"/>
      <c r="B629" s="4"/>
      <c r="C629" s="4"/>
      <c r="D629" s="4"/>
      <c r="E629" s="128"/>
      <c r="F629" s="128"/>
      <c r="G629" s="753"/>
      <c r="H629" s="128"/>
      <c r="I629" s="128"/>
      <c r="J629" s="130"/>
      <c r="K629" s="128"/>
      <c r="L629" s="128"/>
      <c r="M629" s="130"/>
      <c r="N629" s="130"/>
      <c r="O629" s="130"/>
      <c r="P629" s="128"/>
      <c r="Q629" s="128"/>
      <c r="R629" s="128"/>
      <c r="S629" s="298"/>
      <c r="T629" s="4"/>
      <c r="U629" s="4"/>
      <c r="V629" s="4"/>
      <c r="W629" s="4"/>
      <c r="X629" s="4"/>
      <c r="Y629" s="128"/>
      <c r="Z629" s="128"/>
      <c r="AA629" s="128"/>
      <c r="AB629" s="4"/>
      <c r="AC629" s="4"/>
      <c r="AD629" s="4"/>
      <c r="AE629" s="4"/>
      <c r="AF629" s="4"/>
      <c r="AG629" s="4"/>
      <c r="AH629" s="4"/>
      <c r="AI629" s="4"/>
      <c r="AJ629" s="246"/>
      <c r="AK629" s="246"/>
      <c r="AL629" s="129"/>
      <c r="AM629" s="129"/>
      <c r="AN629" s="129"/>
      <c r="AO629" s="246"/>
      <c r="AP629" s="246"/>
      <c r="AQ629" s="249"/>
      <c r="AR629" s="4"/>
      <c r="AS629" s="4"/>
      <c r="AT629" s="4"/>
      <c r="AU629" s="4"/>
      <c r="AV629" s="4"/>
      <c r="AW629" s="4"/>
      <c r="AX629" s="4"/>
      <c r="AY629" s="128"/>
      <c r="AZ629" s="4"/>
      <c r="BA629" s="4"/>
      <c r="BB629" s="4"/>
      <c r="BC629" s="4"/>
      <c r="BD629" s="4"/>
      <c r="BE629" s="4"/>
      <c r="BF629" s="4"/>
      <c r="BG629" s="4"/>
      <c r="BH629" s="4"/>
      <c r="BI629" s="567"/>
    </row>
    <row r="630" spans="1:61" ht="12.75" customHeight="1" x14ac:dyDescent="0.25">
      <c r="A630" s="4"/>
      <c r="B630" s="4"/>
      <c r="C630" s="4"/>
      <c r="D630" s="4"/>
      <c r="E630" s="128"/>
      <c r="F630" s="128"/>
      <c r="G630" s="753"/>
      <c r="H630" s="128"/>
      <c r="I630" s="128"/>
      <c r="J630" s="130"/>
      <c r="K630" s="128"/>
      <c r="L630" s="128"/>
      <c r="M630" s="130"/>
      <c r="N630" s="130"/>
      <c r="O630" s="130"/>
      <c r="P630" s="128"/>
      <c r="Q630" s="128"/>
      <c r="R630" s="128"/>
      <c r="S630" s="298"/>
      <c r="T630" s="4"/>
      <c r="U630" s="4"/>
      <c r="V630" s="4"/>
      <c r="W630" s="4"/>
      <c r="X630" s="4"/>
      <c r="Y630" s="128"/>
      <c r="Z630" s="128"/>
      <c r="AA630" s="128"/>
      <c r="AB630" s="4"/>
      <c r="AC630" s="4"/>
      <c r="AD630" s="4"/>
      <c r="AE630" s="4"/>
      <c r="AF630" s="4"/>
      <c r="AG630" s="4"/>
      <c r="AH630" s="4"/>
      <c r="AI630" s="4"/>
      <c r="AJ630" s="246"/>
      <c r="AK630" s="246"/>
      <c r="AL630" s="129"/>
      <c r="AM630" s="129"/>
      <c r="AN630" s="129"/>
      <c r="AO630" s="246"/>
      <c r="AP630" s="246"/>
      <c r="AQ630" s="249"/>
      <c r="AR630" s="4"/>
      <c r="AS630" s="4"/>
      <c r="AT630" s="4"/>
      <c r="AU630" s="4"/>
      <c r="AV630" s="4"/>
      <c r="AW630" s="4"/>
      <c r="AX630" s="4"/>
      <c r="AY630" s="128"/>
      <c r="AZ630" s="4"/>
      <c r="BA630" s="4"/>
      <c r="BB630" s="4"/>
      <c r="BC630" s="4"/>
      <c r="BD630" s="4"/>
      <c r="BE630" s="4"/>
      <c r="BF630" s="4"/>
      <c r="BG630" s="4"/>
      <c r="BH630" s="4"/>
      <c r="BI630" s="567"/>
    </row>
    <row r="631" spans="1:61" ht="12.75" customHeight="1" x14ac:dyDescent="0.25">
      <c r="A631" s="4"/>
      <c r="B631" s="4"/>
      <c r="C631" s="4"/>
      <c r="D631" s="4"/>
      <c r="E631" s="128"/>
      <c r="F631" s="128"/>
      <c r="G631" s="753"/>
      <c r="H631" s="128"/>
      <c r="I631" s="128"/>
      <c r="J631" s="130"/>
      <c r="K631" s="128"/>
      <c r="L631" s="128"/>
      <c r="M631" s="130"/>
      <c r="N631" s="130"/>
      <c r="O631" s="130"/>
      <c r="P631" s="128"/>
      <c r="Q631" s="128"/>
      <c r="R631" s="128"/>
      <c r="S631" s="298"/>
      <c r="T631" s="4"/>
      <c r="U631" s="4"/>
      <c r="V631" s="4"/>
      <c r="W631" s="4"/>
      <c r="X631" s="4"/>
      <c r="Y631" s="128"/>
      <c r="Z631" s="128"/>
      <c r="AA631" s="128"/>
      <c r="AB631" s="4"/>
      <c r="AC631" s="4"/>
      <c r="AD631" s="4"/>
      <c r="AE631" s="4"/>
      <c r="AF631" s="4"/>
      <c r="AG631" s="4"/>
      <c r="AH631" s="4"/>
      <c r="AI631" s="4"/>
      <c r="AJ631" s="246"/>
      <c r="AK631" s="246"/>
      <c r="AL631" s="129"/>
      <c r="AM631" s="129"/>
      <c r="AN631" s="129"/>
      <c r="AO631" s="246"/>
      <c r="AP631" s="246"/>
      <c r="AQ631" s="249"/>
      <c r="AR631" s="4"/>
      <c r="AS631" s="4"/>
      <c r="AT631" s="4"/>
      <c r="AU631" s="4"/>
      <c r="AV631" s="4"/>
      <c r="AW631" s="4"/>
      <c r="AX631" s="4"/>
      <c r="AY631" s="128"/>
      <c r="AZ631" s="4"/>
      <c r="BA631" s="4"/>
      <c r="BB631" s="4"/>
      <c r="BC631" s="4"/>
      <c r="BD631" s="4"/>
      <c r="BE631" s="4"/>
      <c r="BF631" s="4"/>
      <c r="BG631" s="4"/>
      <c r="BH631" s="4"/>
      <c r="BI631" s="567"/>
    </row>
    <row r="632" spans="1:61" ht="12.75" customHeight="1" x14ac:dyDescent="0.25">
      <c r="A632" s="4"/>
      <c r="B632" s="4"/>
      <c r="C632" s="4"/>
      <c r="D632" s="4"/>
      <c r="E632" s="128"/>
      <c r="F632" s="128"/>
      <c r="G632" s="753"/>
      <c r="H632" s="128"/>
      <c r="I632" s="128"/>
      <c r="J632" s="130"/>
      <c r="K632" s="128"/>
      <c r="L632" s="128"/>
      <c r="M632" s="130"/>
      <c r="N632" s="130"/>
      <c r="O632" s="130"/>
      <c r="P632" s="128"/>
      <c r="Q632" s="128"/>
      <c r="R632" s="128"/>
      <c r="S632" s="298"/>
      <c r="T632" s="4"/>
      <c r="U632" s="4"/>
      <c r="V632" s="4"/>
      <c r="W632" s="4"/>
      <c r="X632" s="4"/>
      <c r="Y632" s="128"/>
      <c r="Z632" s="128"/>
      <c r="AA632" s="128"/>
      <c r="AB632" s="4"/>
      <c r="AC632" s="4"/>
      <c r="AD632" s="4"/>
      <c r="AE632" s="4"/>
      <c r="AF632" s="4"/>
      <c r="AG632" s="4"/>
      <c r="AH632" s="4"/>
      <c r="AI632" s="4"/>
      <c r="AJ632" s="246"/>
      <c r="AK632" s="246"/>
      <c r="AL632" s="129"/>
      <c r="AM632" s="129"/>
      <c r="AN632" s="129"/>
      <c r="AO632" s="246"/>
      <c r="AP632" s="246"/>
      <c r="AQ632" s="249"/>
      <c r="AR632" s="4"/>
      <c r="AS632" s="4"/>
      <c r="AT632" s="4"/>
      <c r="AU632" s="4"/>
      <c r="AV632" s="4"/>
      <c r="AW632" s="4"/>
      <c r="AX632" s="4"/>
      <c r="AY632" s="128"/>
      <c r="AZ632" s="4"/>
      <c r="BA632" s="4"/>
      <c r="BB632" s="4"/>
      <c r="BC632" s="4"/>
      <c r="BD632" s="4"/>
      <c r="BE632" s="4"/>
      <c r="BF632" s="4"/>
      <c r="BG632" s="4"/>
      <c r="BH632" s="4"/>
      <c r="BI632" s="567"/>
    </row>
    <row r="633" spans="1:61" ht="12.75" customHeight="1" x14ac:dyDescent="0.25">
      <c r="A633" s="4"/>
      <c r="B633" s="4"/>
      <c r="C633" s="4"/>
      <c r="D633" s="4"/>
      <c r="E633" s="128"/>
      <c r="F633" s="128"/>
      <c r="G633" s="753"/>
      <c r="H633" s="128"/>
      <c r="I633" s="128"/>
      <c r="J633" s="130"/>
      <c r="K633" s="128"/>
      <c r="L633" s="128"/>
      <c r="M633" s="130"/>
      <c r="N633" s="130"/>
      <c r="O633" s="130"/>
      <c r="P633" s="128"/>
      <c r="Q633" s="128"/>
      <c r="R633" s="128"/>
      <c r="S633" s="298"/>
      <c r="T633" s="4"/>
      <c r="U633" s="4"/>
      <c r="V633" s="4"/>
      <c r="W633" s="4"/>
      <c r="X633" s="4"/>
      <c r="Y633" s="128"/>
      <c r="Z633" s="128"/>
      <c r="AA633" s="128"/>
      <c r="AB633" s="4"/>
      <c r="AC633" s="4"/>
      <c r="AD633" s="4"/>
      <c r="AE633" s="4"/>
      <c r="AF633" s="4"/>
      <c r="AG633" s="4"/>
      <c r="AH633" s="4"/>
      <c r="AI633" s="4"/>
      <c r="AJ633" s="246"/>
      <c r="AK633" s="246"/>
      <c r="AL633" s="129"/>
      <c r="AM633" s="129"/>
      <c r="AN633" s="129"/>
      <c r="AO633" s="246"/>
      <c r="AP633" s="246"/>
      <c r="AQ633" s="249"/>
      <c r="AR633" s="4"/>
      <c r="AS633" s="4"/>
      <c r="AT633" s="4"/>
      <c r="AU633" s="4"/>
      <c r="AV633" s="4"/>
      <c r="AW633" s="4"/>
      <c r="AX633" s="4"/>
      <c r="AY633" s="128"/>
      <c r="AZ633" s="4"/>
      <c r="BA633" s="4"/>
      <c r="BB633" s="4"/>
      <c r="BC633" s="4"/>
      <c r="BD633" s="4"/>
      <c r="BE633" s="4"/>
      <c r="BF633" s="4"/>
      <c r="BG633" s="4"/>
      <c r="BH633" s="4"/>
      <c r="BI633" s="567"/>
    </row>
    <row r="634" spans="1:61" ht="12.75" customHeight="1" x14ac:dyDescent="0.25">
      <c r="A634" s="4"/>
      <c r="B634" s="4"/>
      <c r="C634" s="4"/>
      <c r="D634" s="4"/>
      <c r="E634" s="128"/>
      <c r="F634" s="128"/>
      <c r="G634" s="753"/>
      <c r="H634" s="128"/>
      <c r="I634" s="128"/>
      <c r="J634" s="130"/>
      <c r="K634" s="128"/>
      <c r="L634" s="128"/>
      <c r="M634" s="130"/>
      <c r="N634" s="130"/>
      <c r="O634" s="130"/>
      <c r="P634" s="128"/>
      <c r="Q634" s="128"/>
      <c r="R634" s="128"/>
      <c r="S634" s="298"/>
      <c r="T634" s="4"/>
      <c r="U634" s="4"/>
      <c r="V634" s="4"/>
      <c r="W634" s="4"/>
      <c r="X634" s="4"/>
      <c r="Y634" s="128"/>
      <c r="Z634" s="128"/>
      <c r="AA634" s="128"/>
      <c r="AB634" s="4"/>
      <c r="AC634" s="4"/>
      <c r="AD634" s="4"/>
      <c r="AE634" s="4"/>
      <c r="AF634" s="4"/>
      <c r="AG634" s="4"/>
      <c r="AH634" s="4"/>
      <c r="AI634" s="4"/>
      <c r="AJ634" s="246"/>
      <c r="AK634" s="246"/>
      <c r="AL634" s="129"/>
      <c r="AM634" s="129"/>
      <c r="AN634" s="129"/>
      <c r="AO634" s="246"/>
      <c r="AP634" s="246"/>
      <c r="AQ634" s="249"/>
      <c r="AR634" s="4"/>
      <c r="AS634" s="4"/>
      <c r="AT634" s="4"/>
      <c r="AU634" s="4"/>
      <c r="AV634" s="4"/>
      <c r="AW634" s="4"/>
      <c r="AX634" s="4"/>
      <c r="AY634" s="128"/>
      <c r="AZ634" s="4"/>
      <c r="BA634" s="4"/>
      <c r="BB634" s="4"/>
      <c r="BC634" s="4"/>
      <c r="BD634" s="4"/>
      <c r="BE634" s="4"/>
      <c r="BF634" s="4"/>
      <c r="BG634" s="4"/>
      <c r="BH634" s="4"/>
      <c r="BI634" s="567"/>
    </row>
    <row r="635" spans="1:61" ht="12.75" customHeight="1" x14ac:dyDescent="0.25">
      <c r="A635" s="4"/>
      <c r="B635" s="4"/>
      <c r="C635" s="4"/>
      <c r="D635" s="4"/>
      <c r="E635" s="128"/>
      <c r="F635" s="128"/>
      <c r="G635" s="753"/>
      <c r="H635" s="128"/>
      <c r="I635" s="128"/>
      <c r="J635" s="130"/>
      <c r="K635" s="128"/>
      <c r="L635" s="128"/>
      <c r="M635" s="130"/>
      <c r="N635" s="130"/>
      <c r="O635" s="130"/>
      <c r="P635" s="128"/>
      <c r="Q635" s="128"/>
      <c r="R635" s="128"/>
      <c r="S635" s="298"/>
      <c r="T635" s="4"/>
      <c r="U635" s="4"/>
      <c r="V635" s="4"/>
      <c r="W635" s="4"/>
      <c r="X635" s="4"/>
      <c r="Y635" s="128"/>
      <c r="Z635" s="128"/>
      <c r="AA635" s="128"/>
      <c r="AB635" s="4"/>
      <c r="AC635" s="4"/>
      <c r="AD635" s="4"/>
      <c r="AE635" s="4"/>
      <c r="AF635" s="4"/>
      <c r="AG635" s="4"/>
      <c r="AH635" s="4"/>
      <c r="AI635" s="4"/>
      <c r="AJ635" s="246"/>
      <c r="AK635" s="246"/>
      <c r="AL635" s="129"/>
      <c r="AM635" s="129"/>
      <c r="AN635" s="129"/>
      <c r="AO635" s="246"/>
      <c r="AP635" s="246"/>
      <c r="AQ635" s="249"/>
      <c r="AR635" s="4"/>
      <c r="AS635" s="4"/>
      <c r="AT635" s="4"/>
      <c r="AU635" s="4"/>
      <c r="AV635" s="4"/>
      <c r="AW635" s="4"/>
      <c r="AX635" s="4"/>
      <c r="AY635" s="128"/>
      <c r="AZ635" s="4"/>
      <c r="BA635" s="4"/>
      <c r="BB635" s="4"/>
      <c r="BC635" s="4"/>
      <c r="BD635" s="4"/>
      <c r="BE635" s="4"/>
      <c r="BF635" s="4"/>
      <c r="BG635" s="4"/>
      <c r="BH635" s="4"/>
      <c r="BI635" s="567"/>
    </row>
    <row r="636" spans="1:61" ht="12.75" customHeight="1" x14ac:dyDescent="0.25">
      <c r="A636" s="4"/>
      <c r="B636" s="4"/>
      <c r="C636" s="4"/>
      <c r="D636" s="4"/>
      <c r="E636" s="128"/>
      <c r="F636" s="128"/>
      <c r="G636" s="753"/>
      <c r="H636" s="128"/>
      <c r="I636" s="128"/>
      <c r="J636" s="130"/>
      <c r="K636" s="128"/>
      <c r="L636" s="128"/>
      <c r="M636" s="130"/>
      <c r="N636" s="130"/>
      <c r="O636" s="130"/>
      <c r="P636" s="128"/>
      <c r="Q636" s="128"/>
      <c r="R636" s="128"/>
      <c r="S636" s="298"/>
      <c r="T636" s="4"/>
      <c r="U636" s="4"/>
      <c r="V636" s="4"/>
      <c r="W636" s="4"/>
      <c r="X636" s="4"/>
      <c r="Y636" s="128"/>
      <c r="Z636" s="128"/>
      <c r="AA636" s="128"/>
      <c r="AB636" s="4"/>
      <c r="AC636" s="4"/>
      <c r="AD636" s="4"/>
      <c r="AE636" s="4"/>
      <c r="AF636" s="4"/>
      <c r="AG636" s="4"/>
      <c r="AH636" s="4"/>
      <c r="AI636" s="4"/>
      <c r="AJ636" s="246"/>
      <c r="AK636" s="246"/>
      <c r="AL636" s="129"/>
      <c r="AM636" s="129"/>
      <c r="AN636" s="129"/>
      <c r="AO636" s="246"/>
      <c r="AP636" s="246"/>
      <c r="AQ636" s="249"/>
      <c r="AR636" s="4"/>
      <c r="AS636" s="4"/>
      <c r="AT636" s="4"/>
      <c r="AU636" s="4"/>
      <c r="AV636" s="4"/>
      <c r="AW636" s="4"/>
      <c r="AX636" s="4"/>
      <c r="AY636" s="128"/>
      <c r="AZ636" s="4"/>
      <c r="BA636" s="4"/>
      <c r="BB636" s="4"/>
      <c r="BC636" s="4"/>
      <c r="BD636" s="4"/>
      <c r="BE636" s="4"/>
      <c r="BF636" s="4"/>
      <c r="BG636" s="4"/>
      <c r="BH636" s="4"/>
      <c r="BI636" s="567"/>
    </row>
    <row r="637" spans="1:61" ht="12.75" customHeight="1" x14ac:dyDescent="0.25">
      <c r="A637" s="4"/>
      <c r="B637" s="4"/>
      <c r="C637" s="4"/>
      <c r="D637" s="4"/>
      <c r="E637" s="128"/>
      <c r="F637" s="128"/>
      <c r="G637" s="753"/>
      <c r="H637" s="128"/>
      <c r="I637" s="128"/>
      <c r="J637" s="130"/>
      <c r="K637" s="128"/>
      <c r="L637" s="128"/>
      <c r="M637" s="130"/>
      <c r="N637" s="130"/>
      <c r="O637" s="130"/>
      <c r="P637" s="128"/>
      <c r="Q637" s="128"/>
      <c r="R637" s="128"/>
      <c r="S637" s="298"/>
      <c r="T637" s="4"/>
      <c r="U637" s="4"/>
      <c r="V637" s="4"/>
      <c r="W637" s="4"/>
      <c r="X637" s="4"/>
      <c r="Y637" s="128"/>
      <c r="Z637" s="128"/>
      <c r="AA637" s="128"/>
      <c r="AB637" s="4"/>
      <c r="AC637" s="4"/>
      <c r="AD637" s="4"/>
      <c r="AE637" s="4"/>
      <c r="AF637" s="4"/>
      <c r="AG637" s="4"/>
      <c r="AH637" s="4"/>
      <c r="AI637" s="4"/>
      <c r="AJ637" s="246"/>
      <c r="AK637" s="246"/>
      <c r="AL637" s="129"/>
      <c r="AM637" s="129"/>
      <c r="AN637" s="129"/>
      <c r="AO637" s="246"/>
      <c r="AP637" s="246"/>
      <c r="AQ637" s="249"/>
      <c r="AR637" s="4"/>
      <c r="AS637" s="4"/>
      <c r="AT637" s="4"/>
      <c r="AU637" s="4"/>
      <c r="AV637" s="4"/>
      <c r="AW637" s="4"/>
      <c r="AX637" s="4"/>
      <c r="AY637" s="128"/>
      <c r="AZ637" s="4"/>
      <c r="BA637" s="4"/>
      <c r="BB637" s="4"/>
      <c r="BC637" s="4"/>
      <c r="BD637" s="4"/>
      <c r="BE637" s="4"/>
      <c r="BF637" s="4"/>
      <c r="BG637" s="4"/>
      <c r="BH637" s="4"/>
      <c r="BI637" s="567"/>
    </row>
    <row r="638" spans="1:61" ht="12.75" customHeight="1" x14ac:dyDescent="0.25">
      <c r="A638" s="4"/>
      <c r="B638" s="4"/>
      <c r="C638" s="4"/>
      <c r="D638" s="4"/>
      <c r="E638" s="128"/>
      <c r="F638" s="128"/>
      <c r="G638" s="753"/>
      <c r="H638" s="128"/>
      <c r="I638" s="128"/>
      <c r="J638" s="130"/>
      <c r="K638" s="128"/>
      <c r="L638" s="128"/>
      <c r="M638" s="130"/>
      <c r="N638" s="130"/>
      <c r="O638" s="130"/>
      <c r="P638" s="128"/>
      <c r="Q638" s="128"/>
      <c r="R638" s="128"/>
      <c r="S638" s="298"/>
      <c r="T638" s="4"/>
      <c r="U638" s="4"/>
      <c r="V638" s="4"/>
      <c r="W638" s="4"/>
      <c r="X638" s="4"/>
      <c r="Y638" s="128"/>
      <c r="Z638" s="128"/>
      <c r="AA638" s="128"/>
      <c r="AB638" s="4"/>
      <c r="AC638" s="4"/>
      <c r="AD638" s="4"/>
      <c r="AE638" s="4"/>
      <c r="AF638" s="4"/>
      <c r="AG638" s="4"/>
      <c r="AH638" s="4"/>
      <c r="AI638" s="4"/>
      <c r="AJ638" s="246"/>
      <c r="AK638" s="246"/>
      <c r="AL638" s="129"/>
      <c r="AM638" s="129"/>
      <c r="AN638" s="129"/>
      <c r="AO638" s="246"/>
      <c r="AP638" s="246"/>
      <c r="AQ638" s="249"/>
      <c r="AR638" s="4"/>
      <c r="AS638" s="4"/>
      <c r="AT638" s="4"/>
      <c r="AU638" s="4"/>
      <c r="AV638" s="4"/>
      <c r="AW638" s="4"/>
      <c r="AX638" s="4"/>
      <c r="AY638" s="128"/>
      <c r="AZ638" s="4"/>
      <c r="BA638" s="4"/>
      <c r="BB638" s="4"/>
      <c r="BC638" s="4"/>
      <c r="BD638" s="4"/>
      <c r="BE638" s="4"/>
      <c r="BF638" s="4"/>
      <c r="BG638" s="4"/>
      <c r="BH638" s="4"/>
      <c r="BI638" s="567"/>
    </row>
    <row r="639" spans="1:61" ht="12.75" customHeight="1" x14ac:dyDescent="0.25">
      <c r="A639" s="4"/>
      <c r="B639" s="4"/>
      <c r="C639" s="4"/>
      <c r="D639" s="4"/>
      <c r="E639" s="128"/>
      <c r="F639" s="128"/>
      <c r="G639" s="753"/>
      <c r="H639" s="128"/>
      <c r="I639" s="128"/>
      <c r="J639" s="130"/>
      <c r="K639" s="128"/>
      <c r="L639" s="128"/>
      <c r="M639" s="130"/>
      <c r="N639" s="130"/>
      <c r="O639" s="130"/>
      <c r="P639" s="128"/>
      <c r="Q639" s="128"/>
      <c r="R639" s="128"/>
      <c r="S639" s="298"/>
      <c r="T639" s="4"/>
      <c r="U639" s="4"/>
      <c r="V639" s="4"/>
      <c r="W639" s="4"/>
      <c r="X639" s="4"/>
      <c r="Y639" s="128"/>
      <c r="Z639" s="128"/>
      <c r="AA639" s="128"/>
      <c r="AB639" s="4"/>
      <c r="AC639" s="4"/>
      <c r="AD639" s="4"/>
      <c r="AE639" s="4"/>
      <c r="AF639" s="4"/>
      <c r="AG639" s="4"/>
      <c r="AH639" s="4"/>
      <c r="AI639" s="4"/>
      <c r="AJ639" s="246"/>
      <c r="AK639" s="246"/>
      <c r="AL639" s="129"/>
      <c r="AM639" s="129"/>
      <c r="AN639" s="129"/>
      <c r="AO639" s="246"/>
      <c r="AP639" s="246"/>
      <c r="AQ639" s="249"/>
      <c r="AR639" s="4"/>
      <c r="AS639" s="4"/>
      <c r="AT639" s="4"/>
      <c r="AU639" s="4"/>
      <c r="AV639" s="4"/>
      <c r="AW639" s="4"/>
      <c r="AX639" s="4"/>
      <c r="AY639" s="128"/>
      <c r="AZ639" s="4"/>
      <c r="BA639" s="4"/>
      <c r="BB639" s="4"/>
      <c r="BC639" s="4"/>
      <c r="BD639" s="4"/>
      <c r="BE639" s="4"/>
      <c r="BF639" s="4"/>
      <c r="BG639" s="4"/>
      <c r="BH639" s="4"/>
      <c r="BI639" s="567"/>
    </row>
    <row r="640" spans="1:61" ht="12.75" customHeight="1" x14ac:dyDescent="0.25">
      <c r="A640" s="4"/>
      <c r="B640" s="4"/>
      <c r="C640" s="4"/>
      <c r="D640" s="4"/>
      <c r="E640" s="128"/>
      <c r="F640" s="128"/>
      <c r="G640" s="753"/>
      <c r="H640" s="128"/>
      <c r="I640" s="128"/>
      <c r="J640" s="130"/>
      <c r="K640" s="128"/>
      <c r="L640" s="128"/>
      <c r="M640" s="130"/>
      <c r="N640" s="130"/>
      <c r="O640" s="130"/>
      <c r="P640" s="128"/>
      <c r="Q640" s="128"/>
      <c r="R640" s="128"/>
      <c r="S640" s="298"/>
      <c r="T640" s="4"/>
      <c r="U640" s="4"/>
      <c r="V640" s="4"/>
      <c r="W640" s="4"/>
      <c r="X640" s="4"/>
      <c r="Y640" s="128"/>
      <c r="Z640" s="128"/>
      <c r="AA640" s="128"/>
      <c r="AB640" s="4"/>
      <c r="AC640" s="4"/>
      <c r="AD640" s="4"/>
      <c r="AE640" s="4"/>
      <c r="AF640" s="4"/>
      <c r="AG640" s="4"/>
      <c r="AH640" s="4"/>
      <c r="AI640" s="4"/>
      <c r="AJ640" s="246"/>
      <c r="AK640" s="246"/>
      <c r="AL640" s="129"/>
      <c r="AM640" s="129"/>
      <c r="AN640" s="129"/>
      <c r="AO640" s="246"/>
      <c r="AP640" s="246"/>
      <c r="AQ640" s="249"/>
      <c r="AR640" s="4"/>
      <c r="AS640" s="4"/>
      <c r="AT640" s="4"/>
      <c r="AU640" s="4"/>
      <c r="AV640" s="4"/>
      <c r="AW640" s="4"/>
      <c r="AX640" s="4"/>
      <c r="AY640" s="128"/>
      <c r="AZ640" s="4"/>
      <c r="BA640" s="4"/>
      <c r="BB640" s="4"/>
      <c r="BC640" s="4"/>
      <c r="BD640" s="4"/>
      <c r="BE640" s="4"/>
      <c r="BF640" s="4"/>
      <c r="BG640" s="4"/>
      <c r="BH640" s="4"/>
      <c r="BI640" s="567"/>
    </row>
    <row r="641" spans="1:61" ht="12.75" customHeight="1" x14ac:dyDescent="0.25">
      <c r="A641" s="4"/>
      <c r="B641" s="4"/>
      <c r="C641" s="4"/>
      <c r="D641" s="4"/>
      <c r="E641" s="128"/>
      <c r="F641" s="128"/>
      <c r="G641" s="753"/>
      <c r="H641" s="128"/>
      <c r="I641" s="128"/>
      <c r="J641" s="130"/>
      <c r="K641" s="128"/>
      <c r="L641" s="128"/>
      <c r="M641" s="130"/>
      <c r="N641" s="130"/>
      <c r="O641" s="130"/>
      <c r="P641" s="128"/>
      <c r="Q641" s="128"/>
      <c r="R641" s="128"/>
      <c r="S641" s="298"/>
      <c r="T641" s="4"/>
      <c r="U641" s="4"/>
      <c r="V641" s="4"/>
      <c r="W641" s="4"/>
      <c r="X641" s="4"/>
      <c r="Y641" s="128"/>
      <c r="Z641" s="128"/>
      <c r="AA641" s="128"/>
      <c r="AB641" s="4"/>
      <c r="AC641" s="4"/>
      <c r="AD641" s="4"/>
      <c r="AE641" s="4"/>
      <c r="AF641" s="4"/>
      <c r="AG641" s="4"/>
      <c r="AH641" s="4"/>
      <c r="AI641" s="4"/>
      <c r="AJ641" s="246"/>
      <c r="AK641" s="246"/>
      <c r="AL641" s="129"/>
      <c r="AM641" s="129"/>
      <c r="AN641" s="129"/>
      <c r="AO641" s="246"/>
      <c r="AP641" s="246"/>
      <c r="AQ641" s="249"/>
      <c r="AR641" s="4"/>
      <c r="AS641" s="4"/>
      <c r="AT641" s="4"/>
      <c r="AU641" s="4"/>
      <c r="AV641" s="4"/>
      <c r="AW641" s="4"/>
      <c r="AX641" s="4"/>
      <c r="AY641" s="128"/>
      <c r="AZ641" s="4"/>
      <c r="BA641" s="4"/>
      <c r="BB641" s="4"/>
      <c r="BC641" s="4"/>
      <c r="BD641" s="4"/>
      <c r="BE641" s="4"/>
      <c r="BF641" s="4"/>
      <c r="BG641" s="4"/>
      <c r="BH641" s="4"/>
      <c r="BI641" s="567"/>
    </row>
    <row r="642" spans="1:61" ht="12.75" customHeight="1" x14ac:dyDescent="0.25">
      <c r="A642" s="4"/>
      <c r="B642" s="4"/>
      <c r="C642" s="4"/>
      <c r="D642" s="4"/>
      <c r="E642" s="128"/>
      <c r="F642" s="128"/>
      <c r="G642" s="753"/>
      <c r="H642" s="128"/>
      <c r="I642" s="128"/>
      <c r="J642" s="130"/>
      <c r="K642" s="128"/>
      <c r="L642" s="128"/>
      <c r="M642" s="130"/>
      <c r="N642" s="130"/>
      <c r="O642" s="130"/>
      <c r="P642" s="128"/>
      <c r="Q642" s="128"/>
      <c r="R642" s="128"/>
      <c r="S642" s="298"/>
      <c r="T642" s="4"/>
      <c r="U642" s="4"/>
      <c r="V642" s="4"/>
      <c r="W642" s="4"/>
      <c r="X642" s="4"/>
      <c r="Y642" s="128"/>
      <c r="Z642" s="128"/>
      <c r="AA642" s="128"/>
      <c r="AB642" s="4"/>
      <c r="AC642" s="4"/>
      <c r="AD642" s="4"/>
      <c r="AE642" s="4"/>
      <c r="AF642" s="4"/>
      <c r="AG642" s="4"/>
      <c r="AH642" s="4"/>
      <c r="AI642" s="4"/>
      <c r="AJ642" s="246"/>
      <c r="AK642" s="246"/>
      <c r="AL642" s="129"/>
      <c r="AM642" s="129"/>
      <c r="AN642" s="129"/>
      <c r="AO642" s="246"/>
      <c r="AP642" s="246"/>
      <c r="AQ642" s="249"/>
      <c r="AR642" s="4"/>
      <c r="AS642" s="4"/>
      <c r="AT642" s="4"/>
      <c r="AU642" s="4"/>
      <c r="AV642" s="4"/>
      <c r="AW642" s="4"/>
      <c r="AX642" s="4"/>
      <c r="AY642" s="128"/>
      <c r="AZ642" s="4"/>
      <c r="BA642" s="4"/>
      <c r="BB642" s="4"/>
      <c r="BC642" s="4"/>
      <c r="BD642" s="4"/>
      <c r="BE642" s="4"/>
      <c r="BF642" s="4"/>
      <c r="BG642" s="4"/>
      <c r="BH642" s="4"/>
      <c r="BI642" s="567"/>
    </row>
    <row r="643" spans="1:61" ht="12.75" customHeight="1" x14ac:dyDescent="0.25">
      <c r="A643" s="4"/>
      <c r="B643" s="4"/>
      <c r="C643" s="4"/>
      <c r="D643" s="4"/>
      <c r="E643" s="128"/>
      <c r="F643" s="128"/>
      <c r="G643" s="753"/>
      <c r="H643" s="128"/>
      <c r="I643" s="128"/>
      <c r="J643" s="130"/>
      <c r="K643" s="128"/>
      <c r="L643" s="128"/>
      <c r="M643" s="130"/>
      <c r="N643" s="130"/>
      <c r="O643" s="130"/>
      <c r="P643" s="128"/>
      <c r="Q643" s="128"/>
      <c r="R643" s="128"/>
      <c r="S643" s="298"/>
      <c r="T643" s="4"/>
      <c r="U643" s="4"/>
      <c r="V643" s="4"/>
      <c r="W643" s="4"/>
      <c r="X643" s="4"/>
      <c r="Y643" s="128"/>
      <c r="Z643" s="128"/>
      <c r="AA643" s="128"/>
      <c r="AB643" s="4"/>
      <c r="AC643" s="4"/>
      <c r="AD643" s="4"/>
      <c r="AE643" s="4"/>
      <c r="AF643" s="4"/>
      <c r="AG643" s="4"/>
      <c r="AH643" s="4"/>
      <c r="AI643" s="4"/>
      <c r="AJ643" s="246"/>
      <c r="AK643" s="246"/>
      <c r="AL643" s="129"/>
      <c r="AM643" s="129"/>
      <c r="AN643" s="129"/>
      <c r="AO643" s="246"/>
      <c r="AP643" s="246"/>
      <c r="AQ643" s="249"/>
      <c r="AR643" s="4"/>
      <c r="AS643" s="4"/>
      <c r="AT643" s="4"/>
      <c r="AU643" s="4"/>
      <c r="AV643" s="4"/>
      <c r="AW643" s="4"/>
      <c r="AX643" s="4"/>
      <c r="AY643" s="128"/>
      <c r="AZ643" s="4"/>
      <c r="BA643" s="4"/>
      <c r="BB643" s="4"/>
      <c r="BC643" s="4"/>
      <c r="BD643" s="4"/>
      <c r="BE643" s="4"/>
      <c r="BF643" s="4"/>
      <c r="BG643" s="4"/>
      <c r="BH643" s="4"/>
      <c r="BI643" s="567"/>
    </row>
    <row r="644" spans="1:61" ht="12.75" customHeight="1" x14ac:dyDescent="0.25">
      <c r="A644" s="4"/>
      <c r="B644" s="4"/>
      <c r="C644" s="4"/>
      <c r="D644" s="4"/>
      <c r="E644" s="128"/>
      <c r="F644" s="128"/>
      <c r="G644" s="753"/>
      <c r="H644" s="128"/>
      <c r="I644" s="128"/>
      <c r="J644" s="130"/>
      <c r="K644" s="128"/>
      <c r="L644" s="128"/>
      <c r="M644" s="130"/>
      <c r="N644" s="130"/>
      <c r="O644" s="130"/>
      <c r="P644" s="128"/>
      <c r="Q644" s="128"/>
      <c r="R644" s="128"/>
      <c r="S644" s="298"/>
      <c r="T644" s="4"/>
      <c r="U644" s="4"/>
      <c r="V644" s="4"/>
      <c r="W644" s="4"/>
      <c r="X644" s="4"/>
      <c r="Y644" s="128"/>
      <c r="Z644" s="128"/>
      <c r="AA644" s="128"/>
      <c r="AB644" s="4"/>
      <c r="AC644" s="4"/>
      <c r="AD644" s="4"/>
      <c r="AE644" s="4"/>
      <c r="AF644" s="4"/>
      <c r="AG644" s="4"/>
      <c r="AH644" s="4"/>
      <c r="AI644" s="4"/>
      <c r="AJ644" s="246"/>
      <c r="AK644" s="246"/>
      <c r="AL644" s="129"/>
      <c r="AM644" s="129"/>
      <c r="AN644" s="129"/>
      <c r="AO644" s="246"/>
      <c r="AP644" s="246"/>
      <c r="AQ644" s="249"/>
      <c r="AR644" s="4"/>
      <c r="AS644" s="4"/>
      <c r="AT644" s="4"/>
      <c r="AU644" s="4"/>
      <c r="AV644" s="4"/>
      <c r="AW644" s="4"/>
      <c r="AX644" s="4"/>
      <c r="AY644" s="128"/>
      <c r="AZ644" s="4"/>
      <c r="BA644" s="4"/>
      <c r="BB644" s="4"/>
      <c r="BC644" s="4"/>
      <c r="BD644" s="4"/>
      <c r="BE644" s="4"/>
      <c r="BF644" s="4"/>
      <c r="BG644" s="4"/>
      <c r="BH644" s="4"/>
      <c r="BI644" s="567"/>
    </row>
    <row r="645" spans="1:61" ht="12.75" customHeight="1" x14ac:dyDescent="0.25">
      <c r="A645" s="4"/>
      <c r="B645" s="4"/>
      <c r="C645" s="4"/>
      <c r="D645" s="4"/>
      <c r="E645" s="128"/>
      <c r="F645" s="128"/>
      <c r="G645" s="753"/>
      <c r="H645" s="128"/>
      <c r="I645" s="128"/>
      <c r="J645" s="130"/>
      <c r="K645" s="128"/>
      <c r="L645" s="128"/>
      <c r="M645" s="130"/>
      <c r="N645" s="130"/>
      <c r="O645" s="130"/>
      <c r="P645" s="128"/>
      <c r="Q645" s="128"/>
      <c r="R645" s="128"/>
      <c r="S645" s="298"/>
      <c r="T645" s="4"/>
      <c r="U645" s="4"/>
      <c r="V645" s="4"/>
      <c r="W645" s="4"/>
      <c r="X645" s="4"/>
      <c r="Y645" s="128"/>
      <c r="Z645" s="128"/>
      <c r="AA645" s="128"/>
      <c r="AB645" s="4"/>
      <c r="AC645" s="4"/>
      <c r="AD645" s="4"/>
      <c r="AE645" s="4"/>
      <c r="AF645" s="4"/>
      <c r="AG645" s="4"/>
      <c r="AH645" s="4"/>
      <c r="AI645" s="4"/>
      <c r="AJ645" s="246"/>
      <c r="AK645" s="246"/>
      <c r="AL645" s="129"/>
      <c r="AM645" s="129"/>
      <c r="AN645" s="129"/>
      <c r="AO645" s="246"/>
      <c r="AP645" s="246"/>
      <c r="AQ645" s="249"/>
      <c r="AR645" s="4"/>
      <c r="AS645" s="4"/>
      <c r="AT645" s="4"/>
      <c r="AU645" s="4"/>
      <c r="AV645" s="4"/>
      <c r="AW645" s="4"/>
      <c r="AX645" s="4"/>
      <c r="AY645" s="128"/>
      <c r="AZ645" s="4"/>
      <c r="BA645" s="4"/>
      <c r="BB645" s="4"/>
      <c r="BC645" s="4"/>
      <c r="BD645" s="4"/>
      <c r="BE645" s="4"/>
      <c r="BF645" s="4"/>
      <c r="BG645" s="4"/>
      <c r="BH645" s="4"/>
      <c r="BI645" s="567"/>
    </row>
    <row r="646" spans="1:61" ht="12.75" customHeight="1" x14ac:dyDescent="0.25">
      <c r="A646" s="4"/>
      <c r="B646" s="4"/>
      <c r="C646" s="4"/>
      <c r="D646" s="4"/>
      <c r="E646" s="128"/>
      <c r="F646" s="128"/>
      <c r="G646" s="753"/>
      <c r="H646" s="128"/>
      <c r="I646" s="128"/>
      <c r="J646" s="130"/>
      <c r="K646" s="128"/>
      <c r="L646" s="128"/>
      <c r="M646" s="130"/>
      <c r="N646" s="130"/>
      <c r="O646" s="130"/>
      <c r="P646" s="128"/>
      <c r="Q646" s="128"/>
      <c r="R646" s="128"/>
      <c r="S646" s="298"/>
      <c r="T646" s="4"/>
      <c r="U646" s="4"/>
      <c r="V646" s="4"/>
      <c r="W646" s="4"/>
      <c r="X646" s="4"/>
      <c r="Y646" s="128"/>
      <c r="Z646" s="128"/>
      <c r="AA646" s="128"/>
      <c r="AB646" s="4"/>
      <c r="AC646" s="4"/>
      <c r="AD646" s="4"/>
      <c r="AE646" s="4"/>
      <c r="AF646" s="4"/>
      <c r="AG646" s="4"/>
      <c r="AH646" s="4"/>
      <c r="AI646" s="4"/>
      <c r="AJ646" s="246"/>
      <c r="AK646" s="246"/>
      <c r="AL646" s="129"/>
      <c r="AM646" s="129"/>
      <c r="AN646" s="129"/>
      <c r="AO646" s="246"/>
      <c r="AP646" s="246"/>
      <c r="AQ646" s="249"/>
      <c r="AR646" s="4"/>
      <c r="AS646" s="4"/>
      <c r="AT646" s="4"/>
      <c r="AU646" s="4"/>
      <c r="AV646" s="4"/>
      <c r="AW646" s="4"/>
      <c r="AX646" s="4"/>
      <c r="AY646" s="128"/>
      <c r="AZ646" s="4"/>
      <c r="BA646" s="4"/>
      <c r="BB646" s="4"/>
      <c r="BC646" s="4"/>
      <c r="BD646" s="4"/>
      <c r="BE646" s="4"/>
      <c r="BF646" s="4"/>
      <c r="BG646" s="4"/>
      <c r="BH646" s="4"/>
      <c r="BI646" s="567"/>
    </row>
    <row r="647" spans="1:61" ht="12.75" customHeight="1" x14ac:dyDescent="0.25">
      <c r="A647" s="4"/>
      <c r="B647" s="4"/>
      <c r="C647" s="4"/>
      <c r="D647" s="4"/>
      <c r="E647" s="128"/>
      <c r="F647" s="128"/>
      <c r="G647" s="753"/>
      <c r="H647" s="128"/>
      <c r="I647" s="128"/>
      <c r="J647" s="130"/>
      <c r="K647" s="128"/>
      <c r="L647" s="128"/>
      <c r="M647" s="130"/>
      <c r="N647" s="130"/>
      <c r="O647" s="130"/>
      <c r="P647" s="128"/>
      <c r="Q647" s="128"/>
      <c r="R647" s="128"/>
      <c r="S647" s="298"/>
      <c r="T647" s="4"/>
      <c r="U647" s="4"/>
      <c r="V647" s="4"/>
      <c r="W647" s="4"/>
      <c r="X647" s="4"/>
      <c r="Y647" s="128"/>
      <c r="Z647" s="128"/>
      <c r="AA647" s="128"/>
      <c r="AB647" s="4"/>
      <c r="AC647" s="4"/>
      <c r="AD647" s="4"/>
      <c r="AE647" s="4"/>
      <c r="AF647" s="4"/>
      <c r="AG647" s="4"/>
      <c r="AH647" s="4"/>
      <c r="AI647" s="4"/>
      <c r="AJ647" s="246"/>
      <c r="AK647" s="246"/>
      <c r="AL647" s="129"/>
      <c r="AM647" s="129"/>
      <c r="AN647" s="129"/>
      <c r="AO647" s="246"/>
      <c r="AP647" s="246"/>
      <c r="AQ647" s="249"/>
      <c r="AR647" s="4"/>
      <c r="AS647" s="4"/>
      <c r="AT647" s="4"/>
      <c r="AU647" s="4"/>
      <c r="AV647" s="4"/>
      <c r="AW647" s="4"/>
      <c r="AX647" s="4"/>
      <c r="AY647" s="128"/>
      <c r="AZ647" s="4"/>
      <c r="BA647" s="4"/>
      <c r="BB647" s="4"/>
      <c r="BC647" s="4"/>
      <c r="BD647" s="4"/>
      <c r="BE647" s="4"/>
      <c r="BF647" s="4"/>
      <c r="BG647" s="4"/>
      <c r="BH647" s="4"/>
      <c r="BI647" s="567"/>
    </row>
    <row r="648" spans="1:61" ht="12.75" customHeight="1" x14ac:dyDescent="0.25">
      <c r="A648" s="4"/>
      <c r="B648" s="4"/>
      <c r="C648" s="4"/>
      <c r="D648" s="4"/>
      <c r="E648" s="128"/>
      <c r="F648" s="128"/>
      <c r="G648" s="753"/>
      <c r="H648" s="128"/>
      <c r="I648" s="128"/>
      <c r="J648" s="130"/>
      <c r="K648" s="128"/>
      <c r="L648" s="128"/>
      <c r="M648" s="130"/>
      <c r="N648" s="130"/>
      <c r="O648" s="130"/>
      <c r="P648" s="128"/>
      <c r="Q648" s="128"/>
      <c r="R648" s="128"/>
      <c r="S648" s="298"/>
      <c r="T648" s="4"/>
      <c r="U648" s="4"/>
      <c r="V648" s="4"/>
      <c r="W648" s="4"/>
      <c r="X648" s="4"/>
      <c r="Y648" s="128"/>
      <c r="Z648" s="128"/>
      <c r="AA648" s="128"/>
      <c r="AB648" s="4"/>
      <c r="AC648" s="4"/>
      <c r="AD648" s="4"/>
      <c r="AE648" s="4"/>
      <c r="AF648" s="4"/>
      <c r="AG648" s="4"/>
      <c r="AH648" s="4"/>
      <c r="AI648" s="4"/>
      <c r="AJ648" s="246"/>
      <c r="AK648" s="246"/>
      <c r="AL648" s="129"/>
      <c r="AM648" s="129"/>
      <c r="AN648" s="129"/>
      <c r="AO648" s="246"/>
      <c r="AP648" s="246"/>
      <c r="AQ648" s="249"/>
      <c r="AR648" s="4"/>
      <c r="AS648" s="4"/>
      <c r="AT648" s="4"/>
      <c r="AU648" s="4"/>
      <c r="AV648" s="4"/>
      <c r="AW648" s="4"/>
      <c r="AX648" s="4"/>
      <c r="AY648" s="128"/>
      <c r="AZ648" s="4"/>
      <c r="BA648" s="4"/>
      <c r="BB648" s="4"/>
      <c r="BC648" s="4"/>
      <c r="BD648" s="4"/>
      <c r="BE648" s="4"/>
      <c r="BF648" s="4"/>
      <c r="BG648" s="4"/>
      <c r="BH648" s="4"/>
      <c r="BI648" s="567"/>
    </row>
    <row r="649" spans="1:61" ht="12.75" customHeight="1" x14ac:dyDescent="0.25">
      <c r="A649" s="4"/>
      <c r="B649" s="4"/>
      <c r="C649" s="4"/>
      <c r="D649" s="4"/>
      <c r="E649" s="128"/>
      <c r="F649" s="128"/>
      <c r="G649" s="753"/>
      <c r="H649" s="128"/>
      <c r="I649" s="128"/>
      <c r="J649" s="130"/>
      <c r="K649" s="128"/>
      <c r="L649" s="128"/>
      <c r="M649" s="130"/>
      <c r="N649" s="130"/>
      <c r="O649" s="130"/>
      <c r="P649" s="128"/>
      <c r="Q649" s="128"/>
      <c r="R649" s="128"/>
      <c r="S649" s="298"/>
      <c r="T649" s="4"/>
      <c r="U649" s="4"/>
      <c r="V649" s="4"/>
      <c r="W649" s="4"/>
      <c r="X649" s="4"/>
      <c r="Y649" s="128"/>
      <c r="Z649" s="128"/>
      <c r="AA649" s="128"/>
      <c r="AB649" s="4"/>
      <c r="AC649" s="4"/>
      <c r="AD649" s="4"/>
      <c r="AE649" s="4"/>
      <c r="AF649" s="4"/>
      <c r="AG649" s="4"/>
      <c r="AH649" s="4"/>
      <c r="AI649" s="4"/>
      <c r="AJ649" s="246"/>
      <c r="AK649" s="246"/>
      <c r="AL649" s="129"/>
      <c r="AM649" s="129"/>
      <c r="AN649" s="129"/>
      <c r="AO649" s="246"/>
      <c r="AP649" s="246"/>
      <c r="AQ649" s="249"/>
      <c r="AR649" s="4"/>
      <c r="AS649" s="4"/>
      <c r="AT649" s="4"/>
      <c r="AU649" s="4"/>
      <c r="AV649" s="4"/>
      <c r="AW649" s="4"/>
      <c r="AX649" s="4"/>
      <c r="AY649" s="128"/>
      <c r="AZ649" s="4"/>
      <c r="BA649" s="4"/>
      <c r="BB649" s="4"/>
      <c r="BC649" s="4"/>
      <c r="BD649" s="4"/>
      <c r="BE649" s="4"/>
      <c r="BF649" s="4"/>
      <c r="BG649" s="4"/>
      <c r="BH649" s="4"/>
      <c r="BI649" s="567"/>
    </row>
    <row r="650" spans="1:61" ht="12.75" customHeight="1" x14ac:dyDescent="0.25">
      <c r="A650" s="4"/>
      <c r="B650" s="4"/>
      <c r="C650" s="4"/>
      <c r="D650" s="4"/>
      <c r="E650" s="128"/>
      <c r="F650" s="128"/>
      <c r="G650" s="753"/>
      <c r="H650" s="128"/>
      <c r="I650" s="128"/>
      <c r="J650" s="130"/>
      <c r="K650" s="128"/>
      <c r="L650" s="128"/>
      <c r="M650" s="130"/>
      <c r="N650" s="130"/>
      <c r="O650" s="130"/>
      <c r="P650" s="128"/>
      <c r="Q650" s="128"/>
      <c r="R650" s="128"/>
      <c r="S650" s="298"/>
      <c r="T650" s="4"/>
      <c r="U650" s="4"/>
      <c r="V650" s="4"/>
      <c r="W650" s="4"/>
      <c r="X650" s="4"/>
      <c r="Y650" s="128"/>
      <c r="Z650" s="128"/>
      <c r="AA650" s="128"/>
      <c r="AB650" s="4"/>
      <c r="AC650" s="4"/>
      <c r="AD650" s="4"/>
      <c r="AE650" s="4"/>
      <c r="AF650" s="4"/>
      <c r="AG650" s="4"/>
      <c r="AH650" s="4"/>
      <c r="AI650" s="4"/>
      <c r="AJ650" s="246"/>
      <c r="AK650" s="246"/>
      <c r="AL650" s="129"/>
      <c r="AM650" s="129"/>
      <c r="AN650" s="129"/>
      <c r="AO650" s="246"/>
      <c r="AP650" s="246"/>
      <c r="AQ650" s="249"/>
      <c r="AR650" s="4"/>
      <c r="AS650" s="4"/>
      <c r="AT650" s="4"/>
      <c r="AU650" s="4"/>
      <c r="AV650" s="4"/>
      <c r="AW650" s="4"/>
      <c r="AX650" s="4"/>
      <c r="AY650" s="128"/>
      <c r="AZ650" s="4"/>
      <c r="BA650" s="4"/>
      <c r="BB650" s="4"/>
      <c r="BC650" s="4"/>
      <c r="BD650" s="4"/>
      <c r="BE650" s="4"/>
      <c r="BF650" s="4"/>
      <c r="BG650" s="4"/>
      <c r="BH650" s="4"/>
      <c r="BI650" s="567"/>
    </row>
    <row r="651" spans="1:61" ht="12.75" customHeight="1" x14ac:dyDescent="0.25">
      <c r="A651" s="4"/>
      <c r="B651" s="4"/>
      <c r="C651" s="4"/>
      <c r="D651" s="4"/>
      <c r="E651" s="128"/>
      <c r="F651" s="128"/>
      <c r="G651" s="753"/>
      <c r="H651" s="128"/>
      <c r="I651" s="128"/>
      <c r="J651" s="130"/>
      <c r="K651" s="128"/>
      <c r="L651" s="128"/>
      <c r="M651" s="130"/>
      <c r="N651" s="130"/>
      <c r="O651" s="130"/>
      <c r="P651" s="128"/>
      <c r="Q651" s="128"/>
      <c r="R651" s="128"/>
      <c r="S651" s="298"/>
      <c r="T651" s="4"/>
      <c r="U651" s="4"/>
      <c r="V651" s="4"/>
      <c r="W651" s="4"/>
      <c r="X651" s="4"/>
      <c r="Y651" s="128"/>
      <c r="Z651" s="128"/>
      <c r="AA651" s="128"/>
      <c r="AB651" s="4"/>
      <c r="AC651" s="4"/>
      <c r="AD651" s="4"/>
      <c r="AE651" s="4"/>
      <c r="AF651" s="4"/>
      <c r="AG651" s="4"/>
      <c r="AH651" s="4"/>
      <c r="AI651" s="4"/>
      <c r="AJ651" s="246"/>
      <c r="AK651" s="246"/>
      <c r="AL651" s="129"/>
      <c r="AM651" s="129"/>
      <c r="AN651" s="129"/>
      <c r="AO651" s="246"/>
      <c r="AP651" s="246"/>
      <c r="AQ651" s="249"/>
      <c r="AR651" s="4"/>
      <c r="AS651" s="4"/>
      <c r="AT651" s="4"/>
      <c r="AU651" s="4"/>
      <c r="AV651" s="4"/>
      <c r="AW651" s="4"/>
      <c r="AX651" s="4"/>
      <c r="AY651" s="128"/>
      <c r="AZ651" s="4"/>
      <c r="BA651" s="4"/>
      <c r="BB651" s="4"/>
      <c r="BC651" s="4"/>
      <c r="BD651" s="4"/>
      <c r="BE651" s="4"/>
      <c r="BF651" s="4"/>
      <c r="BG651" s="4"/>
      <c r="BH651" s="4"/>
      <c r="BI651" s="567"/>
    </row>
    <row r="652" spans="1:61" ht="12.75" customHeight="1" x14ac:dyDescent="0.25">
      <c r="A652" s="4"/>
      <c r="B652" s="4"/>
      <c r="C652" s="4"/>
      <c r="D652" s="4"/>
      <c r="E652" s="128"/>
      <c r="F652" s="128"/>
      <c r="G652" s="753"/>
      <c r="H652" s="128"/>
      <c r="I652" s="128"/>
      <c r="J652" s="130"/>
      <c r="K652" s="128"/>
      <c r="L652" s="128"/>
      <c r="M652" s="130"/>
      <c r="N652" s="130"/>
      <c r="O652" s="130"/>
      <c r="P652" s="128"/>
      <c r="Q652" s="128"/>
      <c r="R652" s="128"/>
      <c r="S652" s="298"/>
      <c r="T652" s="4"/>
      <c r="U652" s="4"/>
      <c r="V652" s="4"/>
      <c r="W652" s="4"/>
      <c r="X652" s="4"/>
      <c r="Y652" s="128"/>
      <c r="Z652" s="128"/>
      <c r="AA652" s="128"/>
      <c r="AB652" s="4"/>
      <c r="AC652" s="4"/>
      <c r="AD652" s="4"/>
      <c r="AE652" s="4"/>
      <c r="AF652" s="4"/>
      <c r="AG652" s="4"/>
      <c r="AH652" s="4"/>
      <c r="AI652" s="4"/>
      <c r="AJ652" s="246"/>
      <c r="AK652" s="246"/>
      <c r="AL652" s="129"/>
      <c r="AM652" s="129"/>
      <c r="AN652" s="129"/>
      <c r="AO652" s="246"/>
      <c r="AP652" s="246"/>
      <c r="AQ652" s="249"/>
      <c r="AR652" s="4"/>
      <c r="AS652" s="4"/>
      <c r="AT652" s="4"/>
      <c r="AU652" s="4"/>
      <c r="AV652" s="4"/>
      <c r="AW652" s="4"/>
      <c r="AX652" s="4"/>
      <c r="AY652" s="128"/>
      <c r="AZ652" s="4"/>
      <c r="BA652" s="4"/>
      <c r="BB652" s="4"/>
      <c r="BC652" s="4"/>
      <c r="BD652" s="4"/>
      <c r="BE652" s="4"/>
      <c r="BF652" s="4"/>
      <c r="BG652" s="4"/>
      <c r="BH652" s="4"/>
      <c r="BI652" s="567"/>
    </row>
    <row r="653" spans="1:61" ht="12.75" customHeight="1" x14ac:dyDescent="0.25">
      <c r="A653" s="4"/>
      <c r="B653" s="4"/>
      <c r="C653" s="4"/>
      <c r="D653" s="4"/>
      <c r="E653" s="128"/>
      <c r="F653" s="128"/>
      <c r="G653" s="753"/>
      <c r="H653" s="128"/>
      <c r="I653" s="128"/>
      <c r="J653" s="130"/>
      <c r="K653" s="128"/>
      <c r="L653" s="128"/>
      <c r="M653" s="130"/>
      <c r="N653" s="130"/>
      <c r="O653" s="130"/>
      <c r="P653" s="128"/>
      <c r="Q653" s="128"/>
      <c r="R653" s="128"/>
      <c r="S653" s="298"/>
      <c r="T653" s="4"/>
      <c r="U653" s="4"/>
      <c r="V653" s="4"/>
      <c r="W653" s="4"/>
      <c r="X653" s="4"/>
      <c r="Y653" s="128"/>
      <c r="Z653" s="128"/>
      <c r="AA653" s="128"/>
      <c r="AB653" s="4"/>
      <c r="AC653" s="4"/>
      <c r="AD653" s="4"/>
      <c r="AE653" s="4"/>
      <c r="AF653" s="4"/>
      <c r="AG653" s="4"/>
      <c r="AH653" s="4"/>
      <c r="AI653" s="4"/>
      <c r="AJ653" s="246"/>
      <c r="AK653" s="246"/>
      <c r="AL653" s="129"/>
      <c r="AM653" s="129"/>
      <c r="AN653" s="129"/>
      <c r="AO653" s="246"/>
      <c r="AP653" s="246"/>
      <c r="AQ653" s="249"/>
      <c r="AR653" s="4"/>
      <c r="AS653" s="4"/>
      <c r="AT653" s="4"/>
      <c r="AU653" s="4"/>
      <c r="AV653" s="4"/>
      <c r="AW653" s="4"/>
      <c r="AX653" s="4"/>
      <c r="AY653" s="128"/>
      <c r="AZ653" s="4"/>
      <c r="BA653" s="4"/>
      <c r="BB653" s="4"/>
      <c r="BC653" s="4"/>
      <c r="BD653" s="4"/>
      <c r="BE653" s="4"/>
      <c r="BF653" s="4"/>
      <c r="BG653" s="4"/>
      <c r="BH653" s="4"/>
      <c r="BI653" s="567"/>
    </row>
    <row r="654" spans="1:61" ht="12.75" customHeight="1" x14ac:dyDescent="0.25">
      <c r="A654" s="4"/>
      <c r="B654" s="4"/>
      <c r="C654" s="4"/>
      <c r="D654" s="4"/>
      <c r="E654" s="128"/>
      <c r="F654" s="128"/>
      <c r="G654" s="753"/>
      <c r="H654" s="128"/>
      <c r="I654" s="128"/>
      <c r="J654" s="130"/>
      <c r="K654" s="128"/>
      <c r="L654" s="128"/>
      <c r="M654" s="130"/>
      <c r="N654" s="130"/>
      <c r="O654" s="130"/>
      <c r="P654" s="128"/>
      <c r="Q654" s="128"/>
      <c r="R654" s="128"/>
      <c r="S654" s="298"/>
      <c r="T654" s="4"/>
      <c r="U654" s="4"/>
      <c r="V654" s="4"/>
      <c r="W654" s="4"/>
      <c r="X654" s="4"/>
      <c r="Y654" s="128"/>
      <c r="Z654" s="128"/>
      <c r="AA654" s="128"/>
      <c r="AB654" s="4"/>
      <c r="AC654" s="4"/>
      <c r="AD654" s="4"/>
      <c r="AE654" s="4"/>
      <c r="AF654" s="4"/>
      <c r="AG654" s="4"/>
      <c r="AH654" s="4"/>
      <c r="AI654" s="4"/>
      <c r="AJ654" s="246"/>
      <c r="AK654" s="246"/>
      <c r="AL654" s="129"/>
      <c r="AM654" s="129"/>
      <c r="AN654" s="129"/>
      <c r="AO654" s="246"/>
      <c r="AP654" s="246"/>
      <c r="AQ654" s="249"/>
      <c r="AR654" s="4"/>
      <c r="AS654" s="4"/>
      <c r="AT654" s="4"/>
      <c r="AU654" s="4"/>
      <c r="AV654" s="4"/>
      <c r="AW654" s="4"/>
      <c r="AX654" s="4"/>
      <c r="AY654" s="128"/>
      <c r="AZ654" s="4"/>
      <c r="BA654" s="4"/>
      <c r="BB654" s="4"/>
      <c r="BC654" s="4"/>
      <c r="BD654" s="4"/>
      <c r="BE654" s="4"/>
      <c r="BF654" s="4"/>
      <c r="BG654" s="4"/>
      <c r="BH654" s="4"/>
      <c r="BI654" s="567"/>
    </row>
    <row r="655" spans="1:61" ht="12.75" customHeight="1" x14ac:dyDescent="0.25">
      <c r="A655" s="4"/>
      <c r="B655" s="4"/>
      <c r="C655" s="4"/>
      <c r="D655" s="4"/>
      <c r="E655" s="128"/>
      <c r="F655" s="128"/>
      <c r="G655" s="753"/>
      <c r="H655" s="128"/>
      <c r="I655" s="128"/>
      <c r="J655" s="130"/>
      <c r="K655" s="128"/>
      <c r="L655" s="128"/>
      <c r="M655" s="130"/>
      <c r="N655" s="130"/>
      <c r="O655" s="130"/>
      <c r="P655" s="128"/>
      <c r="Q655" s="128"/>
      <c r="R655" s="128"/>
      <c r="S655" s="298"/>
      <c r="T655" s="4"/>
      <c r="U655" s="4"/>
      <c r="V655" s="4"/>
      <c r="W655" s="4"/>
      <c r="X655" s="4"/>
      <c r="Y655" s="128"/>
      <c r="Z655" s="128"/>
      <c r="AA655" s="128"/>
      <c r="AB655" s="4"/>
      <c r="AC655" s="4"/>
      <c r="AD655" s="4"/>
      <c r="AE655" s="4"/>
      <c r="AF655" s="4"/>
      <c r="AG655" s="4"/>
      <c r="AH655" s="4"/>
      <c r="AI655" s="4"/>
      <c r="AJ655" s="246"/>
      <c r="AK655" s="246"/>
      <c r="AL655" s="129"/>
      <c r="AM655" s="129"/>
      <c r="AN655" s="129"/>
      <c r="AO655" s="246"/>
      <c r="AP655" s="246"/>
      <c r="AQ655" s="249"/>
      <c r="AR655" s="4"/>
      <c r="AS655" s="4"/>
      <c r="AT655" s="4"/>
      <c r="AU655" s="4"/>
      <c r="AV655" s="4"/>
      <c r="AW655" s="4"/>
      <c r="AX655" s="4"/>
      <c r="AY655" s="128"/>
      <c r="AZ655" s="4"/>
      <c r="BA655" s="4"/>
      <c r="BB655" s="4"/>
      <c r="BC655" s="4"/>
      <c r="BD655" s="4"/>
      <c r="BE655" s="4"/>
      <c r="BF655" s="4"/>
      <c r="BG655" s="4"/>
      <c r="BH655" s="4"/>
      <c r="BI655" s="567"/>
    </row>
    <row r="656" spans="1:61" ht="12.75" customHeight="1" x14ac:dyDescent="0.25">
      <c r="A656" s="4"/>
      <c r="B656" s="4"/>
      <c r="C656" s="4"/>
      <c r="D656" s="4"/>
      <c r="E656" s="128"/>
      <c r="F656" s="128"/>
      <c r="G656" s="753"/>
      <c r="H656" s="128"/>
      <c r="I656" s="128"/>
      <c r="J656" s="130"/>
      <c r="K656" s="128"/>
      <c r="L656" s="128"/>
      <c r="M656" s="130"/>
      <c r="N656" s="130"/>
      <c r="O656" s="130"/>
      <c r="P656" s="128"/>
      <c r="Q656" s="128"/>
      <c r="R656" s="128"/>
      <c r="S656" s="298"/>
      <c r="T656" s="4"/>
      <c r="U656" s="4"/>
      <c r="V656" s="4"/>
      <c r="W656" s="4"/>
      <c r="X656" s="4"/>
      <c r="Y656" s="128"/>
      <c r="Z656" s="128"/>
      <c r="AA656" s="128"/>
      <c r="AB656" s="4"/>
      <c r="AC656" s="4"/>
      <c r="AD656" s="4"/>
      <c r="AE656" s="4"/>
      <c r="AF656" s="4"/>
      <c r="AG656" s="4"/>
      <c r="AH656" s="4"/>
      <c r="AI656" s="4"/>
      <c r="AJ656" s="246"/>
      <c r="AK656" s="246"/>
      <c r="AL656" s="129"/>
      <c r="AM656" s="129"/>
      <c r="AN656" s="129"/>
      <c r="AO656" s="246"/>
      <c r="AP656" s="246"/>
      <c r="AQ656" s="249"/>
      <c r="AR656" s="4"/>
      <c r="AS656" s="4"/>
      <c r="AT656" s="4"/>
      <c r="AU656" s="4"/>
      <c r="AV656" s="4"/>
      <c r="AW656" s="4"/>
      <c r="AX656" s="4"/>
      <c r="AY656" s="128"/>
      <c r="AZ656" s="4"/>
      <c r="BA656" s="4"/>
      <c r="BB656" s="4"/>
      <c r="BC656" s="4"/>
      <c r="BD656" s="4"/>
      <c r="BE656" s="4"/>
      <c r="BF656" s="4"/>
      <c r="BG656" s="4"/>
      <c r="BH656" s="4"/>
      <c r="BI656" s="567"/>
    </row>
    <row r="657" spans="1:61" ht="12.75" customHeight="1" x14ac:dyDescent="0.25">
      <c r="A657" s="4"/>
      <c r="B657" s="4"/>
      <c r="C657" s="4"/>
      <c r="D657" s="4"/>
      <c r="E657" s="128"/>
      <c r="F657" s="128"/>
      <c r="G657" s="753"/>
      <c r="H657" s="128"/>
      <c r="I657" s="128"/>
      <c r="J657" s="130"/>
      <c r="K657" s="128"/>
      <c r="L657" s="128"/>
      <c r="M657" s="130"/>
      <c r="N657" s="130"/>
      <c r="O657" s="130"/>
      <c r="P657" s="128"/>
      <c r="Q657" s="128"/>
      <c r="R657" s="128"/>
      <c r="S657" s="298"/>
      <c r="T657" s="4"/>
      <c r="U657" s="4"/>
      <c r="V657" s="4"/>
      <c r="W657" s="4"/>
      <c r="X657" s="4"/>
      <c r="Y657" s="128"/>
      <c r="Z657" s="128"/>
      <c r="AA657" s="128"/>
      <c r="AB657" s="4"/>
      <c r="AC657" s="4"/>
      <c r="AD657" s="4"/>
      <c r="AE657" s="4"/>
      <c r="AF657" s="4"/>
      <c r="AG657" s="4"/>
      <c r="AH657" s="4"/>
      <c r="AI657" s="4"/>
      <c r="AJ657" s="246"/>
      <c r="AK657" s="246"/>
      <c r="AL657" s="129"/>
      <c r="AM657" s="129"/>
      <c r="AN657" s="129"/>
      <c r="AO657" s="246"/>
      <c r="AP657" s="246"/>
      <c r="AQ657" s="249"/>
      <c r="AR657" s="4"/>
      <c r="AS657" s="4"/>
      <c r="AT657" s="4"/>
      <c r="AU657" s="4"/>
      <c r="AV657" s="4"/>
      <c r="AW657" s="4"/>
      <c r="AX657" s="4"/>
      <c r="AY657" s="128"/>
      <c r="AZ657" s="4"/>
      <c r="BA657" s="4"/>
      <c r="BB657" s="4"/>
      <c r="BC657" s="4"/>
      <c r="BD657" s="4"/>
      <c r="BE657" s="4"/>
      <c r="BF657" s="4"/>
      <c r="BG657" s="4"/>
      <c r="BH657" s="4"/>
      <c r="BI657" s="567"/>
    </row>
    <row r="658" spans="1:61" ht="12.75" customHeight="1" x14ac:dyDescent="0.25">
      <c r="A658" s="4"/>
      <c r="B658" s="4"/>
      <c r="C658" s="4"/>
      <c r="D658" s="4"/>
      <c r="E658" s="128"/>
      <c r="F658" s="128"/>
      <c r="G658" s="753"/>
      <c r="H658" s="128"/>
      <c r="I658" s="128"/>
      <c r="J658" s="130"/>
      <c r="K658" s="128"/>
      <c r="L658" s="128"/>
      <c r="M658" s="130"/>
      <c r="N658" s="130"/>
      <c r="O658" s="130"/>
      <c r="P658" s="128"/>
      <c r="Q658" s="128"/>
      <c r="R658" s="128"/>
      <c r="S658" s="298"/>
      <c r="T658" s="4"/>
      <c r="U658" s="4"/>
      <c r="V658" s="4"/>
      <c r="W658" s="4"/>
      <c r="X658" s="4"/>
      <c r="Y658" s="128"/>
      <c r="Z658" s="128"/>
      <c r="AA658" s="128"/>
      <c r="AB658" s="4"/>
      <c r="AC658" s="4"/>
      <c r="AD658" s="4"/>
      <c r="AE658" s="4"/>
      <c r="AF658" s="4"/>
      <c r="AG658" s="4"/>
      <c r="AH658" s="4"/>
      <c r="AI658" s="4"/>
      <c r="AJ658" s="246"/>
      <c r="AK658" s="246"/>
      <c r="AL658" s="129"/>
      <c r="AM658" s="129"/>
      <c r="AN658" s="129"/>
      <c r="AO658" s="246"/>
      <c r="AP658" s="246"/>
      <c r="AQ658" s="249"/>
      <c r="AR658" s="4"/>
      <c r="AS658" s="4"/>
      <c r="AT658" s="4"/>
      <c r="AU658" s="4"/>
      <c r="AV658" s="4"/>
      <c r="AW658" s="4"/>
      <c r="AX658" s="4"/>
      <c r="AY658" s="128"/>
      <c r="AZ658" s="4"/>
      <c r="BA658" s="4"/>
      <c r="BB658" s="4"/>
      <c r="BC658" s="4"/>
      <c r="BD658" s="4"/>
      <c r="BE658" s="4"/>
      <c r="BF658" s="4"/>
      <c r="BG658" s="4"/>
      <c r="BH658" s="4"/>
      <c r="BI658" s="567"/>
    </row>
    <row r="659" spans="1:61" ht="12.75" customHeight="1" x14ac:dyDescent="0.25">
      <c r="A659" s="4"/>
      <c r="B659" s="4"/>
      <c r="C659" s="4"/>
      <c r="D659" s="4"/>
      <c r="E659" s="128"/>
      <c r="F659" s="128"/>
      <c r="G659" s="753"/>
      <c r="H659" s="128"/>
      <c r="I659" s="128"/>
      <c r="J659" s="130"/>
      <c r="K659" s="128"/>
      <c r="L659" s="128"/>
      <c r="M659" s="130"/>
      <c r="N659" s="130"/>
      <c r="O659" s="130"/>
      <c r="P659" s="128"/>
      <c r="Q659" s="128"/>
      <c r="R659" s="128"/>
      <c r="S659" s="298"/>
      <c r="T659" s="4"/>
      <c r="U659" s="4"/>
      <c r="V659" s="4"/>
      <c r="W659" s="4"/>
      <c r="X659" s="4"/>
      <c r="Y659" s="128"/>
      <c r="Z659" s="128"/>
      <c r="AA659" s="128"/>
      <c r="AB659" s="4"/>
      <c r="AC659" s="4"/>
      <c r="AD659" s="4"/>
      <c r="AE659" s="4"/>
      <c r="AF659" s="4"/>
      <c r="AG659" s="4"/>
      <c r="AH659" s="4"/>
      <c r="AI659" s="4"/>
      <c r="AJ659" s="246"/>
      <c r="AK659" s="246"/>
      <c r="AL659" s="129"/>
      <c r="AM659" s="129"/>
      <c r="AN659" s="129"/>
      <c r="AO659" s="246"/>
      <c r="AP659" s="246"/>
      <c r="AQ659" s="249"/>
      <c r="AR659" s="4"/>
      <c r="AS659" s="4"/>
      <c r="AT659" s="4"/>
      <c r="AU659" s="4"/>
      <c r="AV659" s="4"/>
      <c r="AW659" s="4"/>
      <c r="AX659" s="4"/>
      <c r="AY659" s="128"/>
      <c r="AZ659" s="4"/>
      <c r="BA659" s="4"/>
      <c r="BB659" s="4"/>
      <c r="BC659" s="4"/>
      <c r="BD659" s="4"/>
      <c r="BE659" s="4"/>
      <c r="BF659" s="4"/>
      <c r="BG659" s="4"/>
      <c r="BH659" s="4"/>
      <c r="BI659" s="567"/>
    </row>
    <row r="660" spans="1:61" ht="12.75" customHeight="1" x14ac:dyDescent="0.25">
      <c r="A660" s="4"/>
      <c r="B660" s="4"/>
      <c r="C660" s="4"/>
      <c r="D660" s="4"/>
      <c r="E660" s="128"/>
      <c r="F660" s="128"/>
      <c r="G660" s="753"/>
      <c r="H660" s="128"/>
      <c r="I660" s="128"/>
      <c r="J660" s="130"/>
      <c r="K660" s="128"/>
      <c r="L660" s="128"/>
      <c r="M660" s="130"/>
      <c r="N660" s="130"/>
      <c r="O660" s="130"/>
      <c r="P660" s="128"/>
      <c r="Q660" s="128"/>
      <c r="R660" s="128"/>
      <c r="S660" s="298"/>
      <c r="T660" s="4"/>
      <c r="U660" s="4"/>
      <c r="V660" s="4"/>
      <c r="W660" s="4"/>
      <c r="X660" s="4"/>
      <c r="Y660" s="128"/>
      <c r="Z660" s="128"/>
      <c r="AA660" s="128"/>
      <c r="AB660" s="4"/>
      <c r="AC660" s="4"/>
      <c r="AD660" s="4"/>
      <c r="AE660" s="4"/>
      <c r="AF660" s="4"/>
      <c r="AG660" s="4"/>
      <c r="AH660" s="4"/>
      <c r="AI660" s="4"/>
      <c r="AJ660" s="246"/>
      <c r="AK660" s="246"/>
      <c r="AL660" s="129"/>
      <c r="AM660" s="129"/>
      <c r="AN660" s="129"/>
      <c r="AO660" s="246"/>
      <c r="AP660" s="246"/>
      <c r="AQ660" s="249"/>
      <c r="AR660" s="4"/>
      <c r="AS660" s="4"/>
      <c r="AT660" s="4"/>
      <c r="AU660" s="4"/>
      <c r="AV660" s="4"/>
      <c r="AW660" s="4"/>
      <c r="AX660" s="4"/>
      <c r="AY660" s="128"/>
      <c r="AZ660" s="4"/>
      <c r="BA660" s="4"/>
      <c r="BB660" s="4"/>
      <c r="BC660" s="4"/>
      <c r="BD660" s="4"/>
      <c r="BE660" s="4"/>
      <c r="BF660" s="4"/>
      <c r="BG660" s="4"/>
      <c r="BH660" s="4"/>
      <c r="BI660" s="567"/>
    </row>
    <row r="661" spans="1:61" ht="12.75" customHeight="1" x14ac:dyDescent="0.25">
      <c r="A661" s="4"/>
      <c r="B661" s="4"/>
      <c r="C661" s="4"/>
      <c r="D661" s="4"/>
      <c r="E661" s="128"/>
      <c r="F661" s="128"/>
      <c r="G661" s="753"/>
      <c r="H661" s="128"/>
      <c r="I661" s="128"/>
      <c r="J661" s="130"/>
      <c r="K661" s="128"/>
      <c r="L661" s="128"/>
      <c r="M661" s="130"/>
      <c r="N661" s="130"/>
      <c r="O661" s="130"/>
      <c r="P661" s="128"/>
      <c r="Q661" s="128"/>
      <c r="R661" s="128"/>
      <c r="S661" s="298"/>
      <c r="T661" s="4"/>
      <c r="U661" s="4"/>
      <c r="V661" s="4"/>
      <c r="W661" s="4"/>
      <c r="X661" s="4"/>
      <c r="Y661" s="128"/>
      <c r="Z661" s="128"/>
      <c r="AA661" s="128"/>
      <c r="AB661" s="4"/>
      <c r="AC661" s="4"/>
      <c r="AD661" s="4"/>
      <c r="AE661" s="4"/>
      <c r="AF661" s="4"/>
      <c r="AG661" s="4"/>
      <c r="AH661" s="4"/>
      <c r="AI661" s="4"/>
      <c r="AJ661" s="246"/>
      <c r="AK661" s="246"/>
      <c r="AL661" s="129"/>
      <c r="AM661" s="129"/>
      <c r="AN661" s="129"/>
      <c r="AO661" s="246"/>
      <c r="AP661" s="246"/>
      <c r="AQ661" s="249"/>
      <c r="AR661" s="4"/>
      <c r="AS661" s="4"/>
      <c r="AT661" s="4"/>
      <c r="AU661" s="4"/>
      <c r="AV661" s="4"/>
      <c r="AW661" s="4"/>
      <c r="AX661" s="4"/>
      <c r="AY661" s="128"/>
      <c r="AZ661" s="4"/>
      <c r="BA661" s="4"/>
      <c r="BB661" s="4"/>
      <c r="BC661" s="4"/>
      <c r="BD661" s="4"/>
      <c r="BE661" s="4"/>
      <c r="BF661" s="4"/>
      <c r="BG661" s="4"/>
      <c r="BH661" s="4"/>
      <c r="BI661" s="567"/>
    </row>
    <row r="662" spans="1:61" ht="12.75" customHeight="1" x14ac:dyDescent="0.25">
      <c r="A662" s="4"/>
      <c r="B662" s="4"/>
      <c r="C662" s="4"/>
      <c r="D662" s="4"/>
      <c r="E662" s="128"/>
      <c r="F662" s="128"/>
      <c r="G662" s="753"/>
      <c r="H662" s="128"/>
      <c r="I662" s="128"/>
      <c r="J662" s="130"/>
      <c r="K662" s="128"/>
      <c r="L662" s="128"/>
      <c r="M662" s="130"/>
      <c r="N662" s="130"/>
      <c r="O662" s="130"/>
      <c r="P662" s="128"/>
      <c r="Q662" s="128"/>
      <c r="R662" s="128"/>
      <c r="S662" s="298"/>
      <c r="T662" s="4"/>
      <c r="U662" s="4"/>
      <c r="V662" s="4"/>
      <c r="W662" s="4"/>
      <c r="X662" s="4"/>
      <c r="Y662" s="128"/>
      <c r="Z662" s="128"/>
      <c r="AA662" s="128"/>
      <c r="AB662" s="4"/>
      <c r="AC662" s="4"/>
      <c r="AD662" s="4"/>
      <c r="AE662" s="4"/>
      <c r="AF662" s="4"/>
      <c r="AG662" s="4"/>
      <c r="AH662" s="4"/>
      <c r="AI662" s="4"/>
      <c r="AJ662" s="246"/>
      <c r="AK662" s="246"/>
      <c r="AL662" s="129"/>
      <c r="AM662" s="129"/>
      <c r="AN662" s="129"/>
      <c r="AO662" s="246"/>
      <c r="AP662" s="246"/>
      <c r="AQ662" s="249"/>
      <c r="AR662" s="4"/>
      <c r="AS662" s="4"/>
      <c r="AT662" s="4"/>
      <c r="AU662" s="4"/>
      <c r="AV662" s="4"/>
      <c r="AW662" s="4"/>
      <c r="AX662" s="4"/>
      <c r="AY662" s="128"/>
      <c r="AZ662" s="4"/>
      <c r="BA662" s="4"/>
      <c r="BB662" s="4"/>
      <c r="BC662" s="4"/>
      <c r="BD662" s="4"/>
      <c r="BE662" s="4"/>
      <c r="BF662" s="4"/>
      <c r="BG662" s="4"/>
      <c r="BH662" s="4"/>
      <c r="BI662" s="567"/>
    </row>
    <row r="663" spans="1:61" ht="12.75" customHeight="1" x14ac:dyDescent="0.25">
      <c r="A663" s="4"/>
      <c r="B663" s="4"/>
      <c r="C663" s="4"/>
      <c r="D663" s="4"/>
      <c r="E663" s="128"/>
      <c r="F663" s="128"/>
      <c r="G663" s="753"/>
      <c r="H663" s="128"/>
      <c r="I663" s="128"/>
      <c r="J663" s="130"/>
      <c r="K663" s="128"/>
      <c r="L663" s="128"/>
      <c r="M663" s="130"/>
      <c r="N663" s="130"/>
      <c r="O663" s="130"/>
      <c r="P663" s="128"/>
      <c r="Q663" s="128"/>
      <c r="R663" s="128"/>
      <c r="S663" s="298"/>
      <c r="T663" s="4"/>
      <c r="U663" s="4"/>
      <c r="V663" s="4"/>
      <c r="W663" s="4"/>
      <c r="X663" s="4"/>
      <c r="Y663" s="128"/>
      <c r="Z663" s="128"/>
      <c r="AA663" s="128"/>
      <c r="AB663" s="4"/>
      <c r="AC663" s="4"/>
      <c r="AD663" s="4"/>
      <c r="AE663" s="4"/>
      <c r="AF663" s="4"/>
      <c r="AG663" s="4"/>
      <c r="AH663" s="4"/>
      <c r="AI663" s="4"/>
      <c r="AJ663" s="246"/>
      <c r="AK663" s="246"/>
      <c r="AL663" s="129"/>
      <c r="AM663" s="129"/>
      <c r="AN663" s="129"/>
      <c r="AO663" s="246"/>
      <c r="AP663" s="246"/>
      <c r="AQ663" s="249"/>
      <c r="AR663" s="4"/>
      <c r="AS663" s="4"/>
      <c r="AT663" s="4"/>
      <c r="AU663" s="4"/>
      <c r="AV663" s="4"/>
      <c r="AW663" s="4"/>
      <c r="AX663" s="4"/>
      <c r="AY663" s="128"/>
      <c r="AZ663" s="4"/>
      <c r="BA663" s="4"/>
      <c r="BB663" s="4"/>
      <c r="BC663" s="4"/>
      <c r="BD663" s="4"/>
      <c r="BE663" s="4"/>
      <c r="BF663" s="4"/>
      <c r="BG663" s="4"/>
      <c r="BH663" s="4"/>
      <c r="BI663" s="567"/>
    </row>
    <row r="664" spans="1:61" ht="12.75" customHeight="1" x14ac:dyDescent="0.25">
      <c r="A664" s="4"/>
      <c r="B664" s="4"/>
      <c r="C664" s="4"/>
      <c r="D664" s="4"/>
      <c r="E664" s="128"/>
      <c r="F664" s="128"/>
      <c r="G664" s="753"/>
      <c r="H664" s="128"/>
      <c r="I664" s="128"/>
      <c r="J664" s="130"/>
      <c r="K664" s="128"/>
      <c r="L664" s="128"/>
      <c r="M664" s="130"/>
      <c r="N664" s="130"/>
      <c r="O664" s="130"/>
      <c r="P664" s="128"/>
      <c r="Q664" s="128"/>
      <c r="R664" s="128"/>
      <c r="S664" s="298"/>
      <c r="T664" s="4"/>
      <c r="U664" s="4"/>
      <c r="V664" s="4"/>
      <c r="W664" s="4"/>
      <c r="X664" s="4"/>
      <c r="Y664" s="128"/>
      <c r="Z664" s="128"/>
      <c r="AA664" s="128"/>
      <c r="AB664" s="4"/>
      <c r="AC664" s="4"/>
      <c r="AD664" s="4"/>
      <c r="AE664" s="4"/>
      <c r="AF664" s="4"/>
      <c r="AG664" s="4"/>
      <c r="AH664" s="4"/>
      <c r="AI664" s="4"/>
      <c r="AJ664" s="246"/>
      <c r="AK664" s="246"/>
      <c r="AL664" s="129"/>
      <c r="AM664" s="129"/>
      <c r="AN664" s="129"/>
      <c r="AO664" s="246"/>
      <c r="AP664" s="246"/>
      <c r="AQ664" s="249"/>
      <c r="AR664" s="4"/>
      <c r="AS664" s="4"/>
      <c r="AT664" s="4"/>
      <c r="AU664" s="4"/>
      <c r="AV664" s="4"/>
      <c r="AW664" s="4"/>
      <c r="AX664" s="4"/>
      <c r="AY664" s="128"/>
      <c r="AZ664" s="4"/>
      <c r="BA664" s="4"/>
      <c r="BB664" s="4"/>
      <c r="BC664" s="4"/>
      <c r="BD664" s="4"/>
      <c r="BE664" s="4"/>
      <c r="BF664" s="4"/>
      <c r="BG664" s="4"/>
      <c r="BH664" s="4"/>
      <c r="BI664" s="567"/>
    </row>
    <row r="665" spans="1:61" ht="12.75" customHeight="1" x14ac:dyDescent="0.25">
      <c r="A665" s="4"/>
      <c r="B665" s="4"/>
      <c r="C665" s="4"/>
      <c r="D665" s="4"/>
      <c r="E665" s="128"/>
      <c r="F665" s="128"/>
      <c r="G665" s="753"/>
      <c r="H665" s="128"/>
      <c r="I665" s="128"/>
      <c r="J665" s="130"/>
      <c r="K665" s="128"/>
      <c r="L665" s="128"/>
      <c r="M665" s="130"/>
      <c r="N665" s="130"/>
      <c r="O665" s="130"/>
      <c r="P665" s="128"/>
      <c r="Q665" s="128"/>
      <c r="R665" s="128"/>
      <c r="S665" s="298"/>
      <c r="T665" s="4"/>
      <c r="U665" s="4"/>
      <c r="V665" s="4"/>
      <c r="W665" s="4"/>
      <c r="X665" s="4"/>
      <c r="Y665" s="128"/>
      <c r="Z665" s="128"/>
      <c r="AA665" s="128"/>
      <c r="AB665" s="4"/>
      <c r="AC665" s="4"/>
      <c r="AD665" s="4"/>
      <c r="AE665" s="4"/>
      <c r="AF665" s="4"/>
      <c r="AG665" s="4"/>
      <c r="AH665" s="4"/>
      <c r="AI665" s="4"/>
      <c r="AJ665" s="246"/>
      <c r="AK665" s="246"/>
      <c r="AL665" s="129"/>
      <c r="AM665" s="129"/>
      <c r="AN665" s="129"/>
      <c r="AO665" s="246"/>
      <c r="AP665" s="246"/>
      <c r="AQ665" s="249"/>
      <c r="AR665" s="4"/>
      <c r="AS665" s="4"/>
      <c r="AT665" s="4"/>
      <c r="AU665" s="4"/>
      <c r="AV665" s="4"/>
      <c r="AW665" s="4"/>
      <c r="AX665" s="4"/>
      <c r="AY665" s="128"/>
      <c r="AZ665" s="4"/>
      <c r="BA665" s="4"/>
      <c r="BB665" s="4"/>
      <c r="BC665" s="4"/>
      <c r="BD665" s="4"/>
      <c r="BE665" s="4"/>
      <c r="BF665" s="4"/>
      <c r="BG665" s="4"/>
      <c r="BH665" s="4"/>
      <c r="BI665" s="567"/>
    </row>
    <row r="666" spans="1:61" ht="12.75" customHeight="1" x14ac:dyDescent="0.25">
      <c r="A666" s="4"/>
      <c r="B666" s="4"/>
      <c r="C666" s="4"/>
      <c r="D666" s="4"/>
      <c r="E666" s="128"/>
      <c r="F666" s="128"/>
      <c r="G666" s="753"/>
      <c r="H666" s="128"/>
      <c r="I666" s="128"/>
      <c r="J666" s="130"/>
      <c r="K666" s="128"/>
      <c r="L666" s="128"/>
      <c r="M666" s="130"/>
      <c r="N666" s="130"/>
      <c r="O666" s="130"/>
      <c r="P666" s="128"/>
      <c r="Q666" s="128"/>
      <c r="R666" s="128"/>
      <c r="S666" s="298"/>
      <c r="T666" s="4"/>
      <c r="U666" s="4"/>
      <c r="V666" s="4"/>
      <c r="W666" s="4"/>
      <c r="X666" s="4"/>
      <c r="Y666" s="128"/>
      <c r="Z666" s="128"/>
      <c r="AA666" s="128"/>
      <c r="AB666" s="4"/>
      <c r="AC666" s="4"/>
      <c r="AD666" s="4"/>
      <c r="AE666" s="4"/>
      <c r="AF666" s="4"/>
      <c r="AG666" s="4"/>
      <c r="AH666" s="4"/>
      <c r="AI666" s="4"/>
      <c r="AJ666" s="246"/>
      <c r="AK666" s="246"/>
      <c r="AL666" s="129"/>
      <c r="AM666" s="129"/>
      <c r="AN666" s="129"/>
      <c r="AO666" s="246"/>
      <c r="AP666" s="246"/>
      <c r="AQ666" s="249"/>
      <c r="AR666" s="4"/>
      <c r="AS666" s="4"/>
      <c r="AT666" s="4"/>
      <c r="AU666" s="4"/>
      <c r="AV666" s="4"/>
      <c r="AW666" s="4"/>
      <c r="AX666" s="4"/>
      <c r="AY666" s="128"/>
      <c r="AZ666" s="4"/>
      <c r="BA666" s="4"/>
      <c r="BB666" s="4"/>
      <c r="BC666" s="4"/>
      <c r="BD666" s="4"/>
      <c r="BE666" s="4"/>
      <c r="BF666" s="4"/>
      <c r="BG666" s="4"/>
      <c r="BH666" s="4"/>
      <c r="BI666" s="567"/>
    </row>
    <row r="667" spans="1:61" ht="12.75" customHeight="1" x14ac:dyDescent="0.25">
      <c r="A667" s="4"/>
      <c r="B667" s="4"/>
      <c r="C667" s="4"/>
      <c r="D667" s="4"/>
      <c r="E667" s="128"/>
      <c r="F667" s="128"/>
      <c r="G667" s="753"/>
      <c r="H667" s="128"/>
      <c r="I667" s="128"/>
      <c r="J667" s="130"/>
      <c r="K667" s="128"/>
      <c r="L667" s="128"/>
      <c r="M667" s="130"/>
      <c r="N667" s="130"/>
      <c r="O667" s="130"/>
      <c r="P667" s="128"/>
      <c r="Q667" s="128"/>
      <c r="R667" s="128"/>
      <c r="S667" s="298"/>
      <c r="T667" s="4"/>
      <c r="U667" s="4"/>
      <c r="V667" s="4"/>
      <c r="W667" s="4"/>
      <c r="X667" s="4"/>
      <c r="Y667" s="128"/>
      <c r="Z667" s="128"/>
      <c r="AA667" s="128"/>
      <c r="AB667" s="4"/>
      <c r="AC667" s="4"/>
      <c r="AD667" s="4"/>
      <c r="AE667" s="4"/>
      <c r="AF667" s="4"/>
      <c r="AG667" s="4"/>
      <c r="AH667" s="4"/>
      <c r="AI667" s="4"/>
      <c r="AJ667" s="246"/>
      <c r="AK667" s="246"/>
      <c r="AL667" s="129"/>
      <c r="AM667" s="129"/>
      <c r="AN667" s="129"/>
      <c r="AO667" s="246"/>
      <c r="AP667" s="246"/>
      <c r="AQ667" s="249"/>
      <c r="AR667" s="4"/>
      <c r="AS667" s="4"/>
      <c r="AT667" s="4"/>
      <c r="AU667" s="4"/>
      <c r="AV667" s="4"/>
      <c r="AW667" s="4"/>
      <c r="AX667" s="4"/>
      <c r="AY667" s="128"/>
      <c r="AZ667" s="4"/>
      <c r="BA667" s="4"/>
      <c r="BB667" s="4"/>
      <c r="BC667" s="4"/>
      <c r="BD667" s="4"/>
      <c r="BE667" s="4"/>
      <c r="BF667" s="4"/>
      <c r="BG667" s="4"/>
      <c r="BH667" s="4"/>
      <c r="BI667" s="567"/>
    </row>
    <row r="668" spans="1:61" ht="12.75" customHeight="1" x14ac:dyDescent="0.25">
      <c r="A668" s="4"/>
      <c r="B668" s="4"/>
      <c r="C668" s="4"/>
      <c r="D668" s="4"/>
      <c r="E668" s="128"/>
      <c r="F668" s="128"/>
      <c r="G668" s="753"/>
      <c r="H668" s="128"/>
      <c r="I668" s="128"/>
      <c r="J668" s="130"/>
      <c r="K668" s="128"/>
      <c r="L668" s="128"/>
      <c r="M668" s="130"/>
      <c r="N668" s="130"/>
      <c r="O668" s="130"/>
      <c r="P668" s="128"/>
      <c r="Q668" s="128"/>
      <c r="R668" s="128"/>
      <c r="S668" s="298"/>
      <c r="T668" s="4"/>
      <c r="U668" s="4"/>
      <c r="V668" s="4"/>
      <c r="W668" s="4"/>
      <c r="X668" s="4"/>
      <c r="Y668" s="128"/>
      <c r="Z668" s="128"/>
      <c r="AA668" s="128"/>
      <c r="AB668" s="4"/>
      <c r="AC668" s="4"/>
      <c r="AD668" s="4"/>
      <c r="AE668" s="4"/>
      <c r="AF668" s="4"/>
      <c r="AG668" s="4"/>
      <c r="AH668" s="4"/>
      <c r="AI668" s="4"/>
      <c r="AJ668" s="246"/>
      <c r="AK668" s="246"/>
      <c r="AL668" s="129"/>
      <c r="AM668" s="129"/>
      <c r="AN668" s="129"/>
      <c r="AO668" s="246"/>
      <c r="AP668" s="246"/>
      <c r="AQ668" s="249"/>
      <c r="AR668" s="4"/>
      <c r="AS668" s="4"/>
      <c r="AT668" s="4"/>
      <c r="AU668" s="4"/>
      <c r="AV668" s="4"/>
      <c r="AW668" s="4"/>
      <c r="AX668" s="4"/>
      <c r="AY668" s="128"/>
      <c r="AZ668" s="4"/>
      <c r="BA668" s="4"/>
      <c r="BB668" s="4"/>
      <c r="BC668" s="4"/>
      <c r="BD668" s="4"/>
      <c r="BE668" s="4"/>
      <c r="BF668" s="4"/>
      <c r="BG668" s="4"/>
      <c r="BH668" s="4"/>
      <c r="BI668" s="567"/>
    </row>
    <row r="669" spans="1:61" ht="12.75" customHeight="1" x14ac:dyDescent="0.25">
      <c r="A669" s="4"/>
      <c r="B669" s="4"/>
      <c r="C669" s="4"/>
      <c r="D669" s="4"/>
      <c r="E669" s="128"/>
      <c r="F669" s="128"/>
      <c r="G669" s="753"/>
      <c r="H669" s="128"/>
      <c r="I669" s="128"/>
      <c r="J669" s="130"/>
      <c r="K669" s="128"/>
      <c r="L669" s="128"/>
      <c r="M669" s="130"/>
      <c r="N669" s="130"/>
      <c r="O669" s="130"/>
      <c r="P669" s="128"/>
      <c r="Q669" s="128"/>
      <c r="R669" s="128"/>
      <c r="S669" s="298"/>
      <c r="T669" s="4"/>
      <c r="U669" s="4"/>
      <c r="V669" s="4"/>
      <c r="W669" s="4"/>
      <c r="X669" s="4"/>
      <c r="Y669" s="128"/>
      <c r="Z669" s="128"/>
      <c r="AA669" s="128"/>
      <c r="AB669" s="4"/>
      <c r="AC669" s="4"/>
      <c r="AD669" s="4"/>
      <c r="AE669" s="4"/>
      <c r="AF669" s="4"/>
      <c r="AG669" s="4"/>
      <c r="AH669" s="4"/>
      <c r="AI669" s="4"/>
      <c r="AJ669" s="246"/>
      <c r="AK669" s="246"/>
      <c r="AL669" s="129"/>
      <c r="AM669" s="129"/>
      <c r="AN669" s="129"/>
      <c r="AO669" s="246"/>
      <c r="AP669" s="246"/>
      <c r="AQ669" s="249"/>
      <c r="AR669" s="4"/>
      <c r="AS669" s="4"/>
      <c r="AT669" s="4"/>
      <c r="AU669" s="4"/>
      <c r="AV669" s="4"/>
      <c r="AW669" s="4"/>
      <c r="AX669" s="4"/>
      <c r="AY669" s="128"/>
      <c r="AZ669" s="4"/>
      <c r="BA669" s="4"/>
      <c r="BB669" s="4"/>
      <c r="BC669" s="4"/>
      <c r="BD669" s="4"/>
      <c r="BE669" s="4"/>
      <c r="BF669" s="4"/>
      <c r="BG669" s="4"/>
      <c r="BH669" s="4"/>
      <c r="BI669" s="567"/>
    </row>
    <row r="670" spans="1:61" ht="12.75" customHeight="1" x14ac:dyDescent="0.25">
      <c r="A670" s="4"/>
      <c r="B670" s="4"/>
      <c r="C670" s="4"/>
      <c r="D670" s="4"/>
      <c r="E670" s="128"/>
      <c r="F670" s="128"/>
      <c r="G670" s="753"/>
      <c r="H670" s="128"/>
      <c r="I670" s="128"/>
      <c r="J670" s="130"/>
      <c r="K670" s="128"/>
      <c r="L670" s="128"/>
      <c r="M670" s="130"/>
      <c r="N670" s="130"/>
      <c r="O670" s="130"/>
      <c r="P670" s="128"/>
      <c r="Q670" s="128"/>
      <c r="R670" s="128"/>
      <c r="S670" s="298"/>
      <c r="T670" s="4"/>
      <c r="U670" s="4"/>
      <c r="V670" s="4"/>
      <c r="W670" s="4"/>
      <c r="X670" s="4"/>
      <c r="Y670" s="128"/>
      <c r="Z670" s="128"/>
      <c r="AA670" s="128"/>
      <c r="AB670" s="4"/>
      <c r="AC670" s="4"/>
      <c r="AD670" s="4"/>
      <c r="AE670" s="4"/>
      <c r="AF670" s="4"/>
      <c r="AG670" s="4"/>
      <c r="AH670" s="4"/>
      <c r="AI670" s="4"/>
      <c r="AJ670" s="246"/>
      <c r="AK670" s="246"/>
      <c r="AL670" s="129"/>
      <c r="AM670" s="129"/>
      <c r="AN670" s="129"/>
      <c r="AO670" s="246"/>
      <c r="AP670" s="246"/>
      <c r="AQ670" s="249"/>
      <c r="AR670" s="4"/>
      <c r="AS670" s="4"/>
      <c r="AT670" s="4"/>
      <c r="AU670" s="4"/>
      <c r="AV670" s="4"/>
      <c r="AW670" s="4"/>
      <c r="AX670" s="4"/>
      <c r="AY670" s="128"/>
      <c r="AZ670" s="4"/>
      <c r="BA670" s="4"/>
      <c r="BB670" s="4"/>
      <c r="BC670" s="4"/>
      <c r="BD670" s="4"/>
      <c r="BE670" s="4"/>
      <c r="BF670" s="4"/>
      <c r="BG670" s="4"/>
      <c r="BH670" s="4"/>
      <c r="BI670" s="567"/>
    </row>
    <row r="671" spans="1:61" ht="12.75" customHeight="1" x14ac:dyDescent="0.25">
      <c r="A671" s="4"/>
      <c r="B671" s="4"/>
      <c r="C671" s="4"/>
      <c r="D671" s="4"/>
      <c r="E671" s="128"/>
      <c r="F671" s="128"/>
      <c r="G671" s="753"/>
      <c r="H671" s="128"/>
      <c r="I671" s="128"/>
      <c r="J671" s="130"/>
      <c r="K671" s="128"/>
      <c r="L671" s="128"/>
      <c r="M671" s="130"/>
      <c r="N671" s="130"/>
      <c r="O671" s="130"/>
      <c r="P671" s="128"/>
      <c r="Q671" s="128"/>
      <c r="R671" s="128"/>
      <c r="S671" s="298"/>
      <c r="T671" s="4"/>
      <c r="U671" s="4"/>
      <c r="V671" s="4"/>
      <c r="W671" s="4"/>
      <c r="X671" s="4"/>
      <c r="Y671" s="128"/>
      <c r="Z671" s="128"/>
      <c r="AA671" s="128"/>
      <c r="AB671" s="4"/>
      <c r="AC671" s="4"/>
      <c r="AD671" s="4"/>
      <c r="AE671" s="4"/>
      <c r="AF671" s="4"/>
      <c r="AG671" s="4"/>
      <c r="AH671" s="4"/>
      <c r="AI671" s="4"/>
      <c r="AJ671" s="246"/>
      <c r="AK671" s="246"/>
      <c r="AL671" s="129"/>
      <c r="AM671" s="129"/>
      <c r="AN671" s="129"/>
      <c r="AO671" s="246"/>
      <c r="AP671" s="246"/>
      <c r="AQ671" s="249"/>
      <c r="AR671" s="4"/>
      <c r="AS671" s="4"/>
      <c r="AT671" s="4"/>
      <c r="AU671" s="4"/>
      <c r="AV671" s="4"/>
      <c r="AW671" s="4"/>
      <c r="AX671" s="4"/>
      <c r="AY671" s="128"/>
      <c r="AZ671" s="4"/>
      <c r="BA671" s="4"/>
      <c r="BB671" s="4"/>
      <c r="BC671" s="4"/>
      <c r="BD671" s="4"/>
      <c r="BE671" s="4"/>
      <c r="BF671" s="4"/>
      <c r="BG671" s="4"/>
      <c r="BH671" s="4"/>
      <c r="BI671" s="567"/>
    </row>
    <row r="672" spans="1:61" ht="12.75" customHeight="1" x14ac:dyDescent="0.25">
      <c r="A672" s="4"/>
      <c r="B672" s="4"/>
      <c r="C672" s="4"/>
      <c r="D672" s="4"/>
      <c r="E672" s="128"/>
      <c r="F672" s="128"/>
      <c r="G672" s="753"/>
      <c r="H672" s="128"/>
      <c r="I672" s="128"/>
      <c r="J672" s="130"/>
      <c r="K672" s="128"/>
      <c r="L672" s="128"/>
      <c r="M672" s="130"/>
      <c r="N672" s="130"/>
      <c r="O672" s="130"/>
      <c r="P672" s="128"/>
      <c r="Q672" s="128"/>
      <c r="R672" s="128"/>
      <c r="S672" s="298"/>
      <c r="T672" s="4"/>
      <c r="U672" s="4"/>
      <c r="V672" s="4"/>
      <c r="W672" s="4"/>
      <c r="X672" s="4"/>
      <c r="Y672" s="128"/>
      <c r="Z672" s="128"/>
      <c r="AA672" s="128"/>
      <c r="AB672" s="4"/>
      <c r="AC672" s="4"/>
      <c r="AD672" s="4"/>
      <c r="AE672" s="4"/>
      <c r="AF672" s="4"/>
      <c r="AG672" s="4"/>
      <c r="AH672" s="4"/>
      <c r="AI672" s="4"/>
      <c r="AJ672" s="246"/>
      <c r="AK672" s="246"/>
      <c r="AL672" s="129"/>
      <c r="AM672" s="129"/>
      <c r="AN672" s="129"/>
      <c r="AO672" s="246"/>
      <c r="AP672" s="246"/>
      <c r="AQ672" s="249"/>
      <c r="AR672" s="4"/>
      <c r="AS672" s="4"/>
      <c r="AT672" s="4"/>
      <c r="AU672" s="4"/>
      <c r="AV672" s="4"/>
      <c r="AW672" s="4"/>
      <c r="AX672" s="4"/>
      <c r="AY672" s="128"/>
      <c r="AZ672" s="4"/>
      <c r="BA672" s="4"/>
      <c r="BB672" s="4"/>
      <c r="BC672" s="4"/>
      <c r="BD672" s="4"/>
      <c r="BE672" s="4"/>
      <c r="BF672" s="4"/>
      <c r="BG672" s="4"/>
      <c r="BH672" s="4"/>
      <c r="BI672" s="567"/>
    </row>
    <row r="673" spans="1:61" ht="12.75" customHeight="1" x14ac:dyDescent="0.25">
      <c r="A673" s="4"/>
      <c r="B673" s="4"/>
      <c r="C673" s="4"/>
      <c r="D673" s="4"/>
      <c r="E673" s="128"/>
      <c r="F673" s="128"/>
      <c r="G673" s="753"/>
      <c r="H673" s="128"/>
      <c r="I673" s="128"/>
      <c r="J673" s="130"/>
      <c r="K673" s="128"/>
      <c r="L673" s="128"/>
      <c r="M673" s="130"/>
      <c r="N673" s="130"/>
      <c r="O673" s="130"/>
      <c r="P673" s="128"/>
      <c r="Q673" s="128"/>
      <c r="R673" s="128"/>
      <c r="S673" s="298"/>
      <c r="T673" s="4"/>
      <c r="U673" s="4"/>
      <c r="V673" s="4"/>
      <c r="W673" s="4"/>
      <c r="X673" s="4"/>
      <c r="Y673" s="128"/>
      <c r="Z673" s="128"/>
      <c r="AA673" s="128"/>
      <c r="AB673" s="4"/>
      <c r="AC673" s="4"/>
      <c r="AD673" s="4"/>
      <c r="AE673" s="4"/>
      <c r="AF673" s="4"/>
      <c r="AG673" s="4"/>
      <c r="AH673" s="4"/>
      <c r="AI673" s="4"/>
      <c r="AJ673" s="246"/>
      <c r="AK673" s="246"/>
      <c r="AL673" s="129"/>
      <c r="AM673" s="129"/>
      <c r="AN673" s="129"/>
      <c r="AO673" s="246"/>
      <c r="AP673" s="246"/>
      <c r="AQ673" s="249"/>
      <c r="AR673" s="4"/>
      <c r="AS673" s="4"/>
      <c r="AT673" s="4"/>
      <c r="AU673" s="4"/>
      <c r="AV673" s="4"/>
      <c r="AW673" s="4"/>
      <c r="AX673" s="4"/>
      <c r="AY673" s="128"/>
      <c r="AZ673" s="4"/>
      <c r="BA673" s="4"/>
      <c r="BB673" s="4"/>
      <c r="BC673" s="4"/>
      <c r="BD673" s="4"/>
      <c r="BE673" s="4"/>
      <c r="BF673" s="4"/>
      <c r="BG673" s="4"/>
      <c r="BH673" s="4"/>
      <c r="BI673" s="567"/>
    </row>
    <row r="674" spans="1:61" ht="12.75" customHeight="1" x14ac:dyDescent="0.25">
      <c r="A674" s="4"/>
      <c r="B674" s="4"/>
      <c r="C674" s="4"/>
      <c r="D674" s="4"/>
      <c r="E674" s="128"/>
      <c r="F674" s="128"/>
      <c r="G674" s="753"/>
      <c r="H674" s="128"/>
      <c r="I674" s="128"/>
      <c r="J674" s="130"/>
      <c r="K674" s="128"/>
      <c r="L674" s="128"/>
      <c r="M674" s="130"/>
      <c r="N674" s="130"/>
      <c r="O674" s="130"/>
      <c r="P674" s="128"/>
      <c r="Q674" s="128"/>
      <c r="R674" s="128"/>
      <c r="S674" s="298"/>
      <c r="T674" s="4"/>
      <c r="U674" s="4"/>
      <c r="V674" s="4"/>
      <c r="W674" s="4"/>
      <c r="X674" s="4"/>
      <c r="Y674" s="128"/>
      <c r="Z674" s="128"/>
      <c r="AA674" s="128"/>
      <c r="AB674" s="4"/>
      <c r="AC674" s="4"/>
      <c r="AD674" s="4"/>
      <c r="AE674" s="4"/>
      <c r="AF674" s="4"/>
      <c r="AG674" s="4"/>
      <c r="AH674" s="4"/>
      <c r="AI674" s="4"/>
      <c r="AJ674" s="246"/>
      <c r="AK674" s="246"/>
      <c r="AL674" s="129"/>
      <c r="AM674" s="129"/>
      <c r="AN674" s="129"/>
      <c r="AO674" s="246"/>
      <c r="AP674" s="246"/>
      <c r="AQ674" s="249"/>
      <c r="AR674" s="4"/>
      <c r="AS674" s="4"/>
      <c r="AT674" s="4"/>
      <c r="AU674" s="4"/>
      <c r="AV674" s="4"/>
      <c r="AW674" s="4"/>
      <c r="AX674" s="4"/>
      <c r="AY674" s="128"/>
      <c r="AZ674" s="4"/>
      <c r="BA674" s="4"/>
      <c r="BB674" s="4"/>
      <c r="BC674" s="4"/>
      <c r="BD674" s="4"/>
      <c r="BE674" s="4"/>
      <c r="BF674" s="4"/>
      <c r="BG674" s="4"/>
      <c r="BH674" s="4"/>
      <c r="BI674" s="567"/>
    </row>
    <row r="675" spans="1:61" ht="12.75" customHeight="1" x14ac:dyDescent="0.25">
      <c r="A675" s="4"/>
      <c r="B675" s="4"/>
      <c r="C675" s="4"/>
      <c r="D675" s="4"/>
      <c r="E675" s="128"/>
      <c r="F675" s="128"/>
      <c r="G675" s="753"/>
      <c r="H675" s="128"/>
      <c r="I675" s="128"/>
      <c r="J675" s="130"/>
      <c r="K675" s="128"/>
      <c r="L675" s="128"/>
      <c r="M675" s="130"/>
      <c r="N675" s="130"/>
      <c r="O675" s="130"/>
      <c r="P675" s="128"/>
      <c r="Q675" s="128"/>
      <c r="R675" s="128"/>
      <c r="S675" s="298"/>
      <c r="T675" s="4"/>
      <c r="U675" s="4"/>
      <c r="V675" s="4"/>
      <c r="W675" s="4"/>
      <c r="X675" s="4"/>
      <c r="Y675" s="128"/>
      <c r="Z675" s="128"/>
      <c r="AA675" s="128"/>
      <c r="AB675" s="4"/>
      <c r="AC675" s="4"/>
      <c r="AD675" s="4"/>
      <c r="AE675" s="4"/>
      <c r="AF675" s="4"/>
      <c r="AG675" s="4"/>
      <c r="AH675" s="4"/>
      <c r="AI675" s="4"/>
      <c r="AJ675" s="246"/>
      <c r="AK675" s="246"/>
      <c r="AL675" s="129"/>
      <c r="AM675" s="129"/>
      <c r="AN675" s="129"/>
      <c r="AO675" s="246"/>
      <c r="AP675" s="246"/>
      <c r="AQ675" s="249"/>
      <c r="AR675" s="4"/>
      <c r="AS675" s="4"/>
      <c r="AT675" s="4"/>
      <c r="AU675" s="4"/>
      <c r="AV675" s="4"/>
      <c r="AW675" s="4"/>
      <c r="AX675" s="4"/>
      <c r="AY675" s="128"/>
      <c r="AZ675" s="4"/>
      <c r="BA675" s="4"/>
      <c r="BB675" s="4"/>
      <c r="BC675" s="4"/>
      <c r="BD675" s="4"/>
      <c r="BE675" s="4"/>
      <c r="BF675" s="4"/>
      <c r="BG675" s="4"/>
      <c r="BH675" s="4"/>
      <c r="BI675" s="567"/>
    </row>
    <row r="676" spans="1:61" ht="12.75" customHeight="1" x14ac:dyDescent="0.25">
      <c r="A676" s="4"/>
      <c r="B676" s="4"/>
      <c r="C676" s="4"/>
      <c r="D676" s="4"/>
      <c r="E676" s="128"/>
      <c r="F676" s="128"/>
      <c r="G676" s="753"/>
      <c r="H676" s="128"/>
      <c r="I676" s="128"/>
      <c r="J676" s="130"/>
      <c r="K676" s="128"/>
      <c r="L676" s="128"/>
      <c r="M676" s="130"/>
      <c r="N676" s="130"/>
      <c r="O676" s="130"/>
      <c r="P676" s="128"/>
      <c r="Q676" s="128"/>
      <c r="R676" s="128"/>
      <c r="S676" s="298"/>
      <c r="T676" s="4"/>
      <c r="U676" s="4"/>
      <c r="V676" s="4"/>
      <c r="W676" s="4"/>
      <c r="X676" s="4"/>
      <c r="Y676" s="128"/>
      <c r="Z676" s="128"/>
      <c r="AA676" s="128"/>
      <c r="AB676" s="4"/>
      <c r="AC676" s="4"/>
      <c r="AD676" s="4"/>
      <c r="AE676" s="4"/>
      <c r="AF676" s="4"/>
      <c r="AG676" s="4"/>
      <c r="AH676" s="4"/>
      <c r="AI676" s="4"/>
      <c r="AJ676" s="246"/>
      <c r="AK676" s="246"/>
      <c r="AL676" s="129"/>
      <c r="AM676" s="129"/>
      <c r="AN676" s="129"/>
      <c r="AO676" s="246"/>
      <c r="AP676" s="246"/>
      <c r="AQ676" s="249"/>
      <c r="AR676" s="4"/>
      <c r="AS676" s="4"/>
      <c r="AT676" s="4"/>
      <c r="AU676" s="4"/>
      <c r="AV676" s="4"/>
      <c r="AW676" s="4"/>
      <c r="AX676" s="4"/>
      <c r="AY676" s="128"/>
      <c r="AZ676" s="4"/>
      <c r="BA676" s="4"/>
      <c r="BB676" s="4"/>
      <c r="BC676" s="4"/>
      <c r="BD676" s="4"/>
      <c r="BE676" s="4"/>
      <c r="BF676" s="4"/>
      <c r="BG676" s="4"/>
      <c r="BH676" s="4"/>
      <c r="BI676" s="567"/>
    </row>
    <row r="677" spans="1:61" ht="12.75" customHeight="1" x14ac:dyDescent="0.25">
      <c r="A677" s="4"/>
      <c r="B677" s="4"/>
      <c r="C677" s="4"/>
      <c r="D677" s="4"/>
      <c r="E677" s="128"/>
      <c r="F677" s="128"/>
      <c r="G677" s="753"/>
      <c r="H677" s="128"/>
      <c r="I677" s="128"/>
      <c r="J677" s="130"/>
      <c r="K677" s="128"/>
      <c r="L677" s="128"/>
      <c r="M677" s="130"/>
      <c r="N677" s="130"/>
      <c r="O677" s="130"/>
      <c r="P677" s="128"/>
      <c r="Q677" s="128"/>
      <c r="R677" s="128"/>
      <c r="S677" s="298"/>
      <c r="T677" s="4"/>
      <c r="U677" s="4"/>
      <c r="V677" s="4"/>
      <c r="W677" s="4"/>
      <c r="X677" s="4"/>
      <c r="Y677" s="128"/>
      <c r="Z677" s="128"/>
      <c r="AA677" s="128"/>
      <c r="AB677" s="4"/>
      <c r="AC677" s="4"/>
      <c r="AD677" s="4"/>
      <c r="AE677" s="4"/>
      <c r="AF677" s="4"/>
      <c r="AG677" s="4"/>
      <c r="AH677" s="4"/>
      <c r="AI677" s="4"/>
      <c r="AJ677" s="246"/>
      <c r="AK677" s="246"/>
      <c r="AL677" s="129"/>
      <c r="AM677" s="129"/>
      <c r="AN677" s="129"/>
      <c r="AO677" s="246"/>
      <c r="AP677" s="246"/>
      <c r="AQ677" s="249"/>
      <c r="AR677" s="4"/>
      <c r="AS677" s="4"/>
      <c r="AT677" s="4"/>
      <c r="AU677" s="4"/>
      <c r="AV677" s="4"/>
      <c r="AW677" s="4"/>
      <c r="AX677" s="4"/>
      <c r="AY677" s="128"/>
      <c r="AZ677" s="4"/>
      <c r="BA677" s="4"/>
      <c r="BB677" s="4"/>
      <c r="BC677" s="4"/>
      <c r="BD677" s="4"/>
      <c r="BE677" s="4"/>
      <c r="BF677" s="4"/>
      <c r="BG677" s="4"/>
      <c r="BH677" s="4"/>
      <c r="BI677" s="567"/>
    </row>
    <row r="678" spans="1:61" ht="12.75" customHeight="1" x14ac:dyDescent="0.25">
      <c r="A678" s="4"/>
      <c r="B678" s="4"/>
      <c r="C678" s="4"/>
      <c r="D678" s="4"/>
      <c r="E678" s="128"/>
      <c r="F678" s="128"/>
      <c r="G678" s="753"/>
      <c r="H678" s="128"/>
      <c r="I678" s="128"/>
      <c r="J678" s="130"/>
      <c r="K678" s="128"/>
      <c r="L678" s="128"/>
      <c r="M678" s="130"/>
      <c r="N678" s="130"/>
      <c r="O678" s="130"/>
      <c r="P678" s="128"/>
      <c r="Q678" s="128"/>
      <c r="R678" s="128"/>
      <c r="S678" s="298"/>
      <c r="T678" s="4"/>
      <c r="U678" s="4"/>
      <c r="V678" s="4"/>
      <c r="W678" s="4"/>
      <c r="X678" s="4"/>
      <c r="Y678" s="128"/>
      <c r="Z678" s="128"/>
      <c r="AA678" s="128"/>
      <c r="AB678" s="4"/>
      <c r="AC678" s="4"/>
      <c r="AD678" s="4"/>
      <c r="AE678" s="4"/>
      <c r="AF678" s="4"/>
      <c r="AG678" s="4"/>
      <c r="AH678" s="4"/>
      <c r="AI678" s="4"/>
      <c r="AJ678" s="246"/>
      <c r="AK678" s="246"/>
      <c r="AL678" s="129"/>
      <c r="AM678" s="129"/>
      <c r="AN678" s="129"/>
      <c r="AO678" s="246"/>
      <c r="AP678" s="246"/>
      <c r="AQ678" s="249"/>
      <c r="AR678" s="4"/>
      <c r="AS678" s="4"/>
      <c r="AT678" s="4"/>
      <c r="AU678" s="4"/>
      <c r="AV678" s="4"/>
      <c r="AW678" s="4"/>
      <c r="AX678" s="4"/>
      <c r="AY678" s="128"/>
      <c r="AZ678" s="4"/>
      <c r="BA678" s="4"/>
      <c r="BB678" s="4"/>
      <c r="BC678" s="4"/>
      <c r="BD678" s="4"/>
      <c r="BE678" s="4"/>
      <c r="BF678" s="4"/>
      <c r="BG678" s="4"/>
      <c r="BH678" s="4"/>
      <c r="BI678" s="567"/>
    </row>
    <row r="679" spans="1:61" ht="12.75" customHeight="1" x14ac:dyDescent="0.25">
      <c r="A679" s="4"/>
      <c r="B679" s="4"/>
      <c r="C679" s="4"/>
      <c r="D679" s="4"/>
      <c r="E679" s="128"/>
      <c r="F679" s="128"/>
      <c r="G679" s="753"/>
      <c r="H679" s="128"/>
      <c r="I679" s="128"/>
      <c r="J679" s="130"/>
      <c r="K679" s="128"/>
      <c r="L679" s="128"/>
      <c r="M679" s="130"/>
      <c r="N679" s="130"/>
      <c r="O679" s="130"/>
      <c r="P679" s="128"/>
      <c r="Q679" s="128"/>
      <c r="R679" s="128"/>
      <c r="S679" s="298"/>
      <c r="T679" s="4"/>
      <c r="U679" s="4"/>
      <c r="V679" s="4"/>
      <c r="W679" s="4"/>
      <c r="X679" s="4"/>
      <c r="Y679" s="128"/>
      <c r="Z679" s="128"/>
      <c r="AA679" s="128"/>
      <c r="AB679" s="4"/>
      <c r="AC679" s="4"/>
      <c r="AD679" s="4"/>
      <c r="AE679" s="4"/>
      <c r="AF679" s="4"/>
      <c r="AG679" s="4"/>
      <c r="AH679" s="4"/>
      <c r="AI679" s="4"/>
      <c r="AJ679" s="246"/>
      <c r="AK679" s="246"/>
      <c r="AL679" s="129"/>
      <c r="AM679" s="129"/>
      <c r="AN679" s="129"/>
      <c r="AO679" s="246"/>
      <c r="AP679" s="246"/>
      <c r="AQ679" s="249"/>
      <c r="AR679" s="4"/>
      <c r="AS679" s="4"/>
      <c r="AT679" s="4"/>
      <c r="AU679" s="4"/>
      <c r="AV679" s="4"/>
      <c r="AW679" s="4"/>
      <c r="AX679" s="4"/>
      <c r="AY679" s="128"/>
      <c r="AZ679" s="4"/>
      <c r="BA679" s="4"/>
      <c r="BB679" s="4"/>
      <c r="BC679" s="4"/>
      <c r="BD679" s="4"/>
      <c r="BE679" s="4"/>
      <c r="BF679" s="4"/>
      <c r="BG679" s="4"/>
      <c r="BH679" s="4"/>
      <c r="BI679" s="567"/>
    </row>
    <row r="680" spans="1:61" ht="12.75" customHeight="1" x14ac:dyDescent="0.25">
      <c r="A680" s="4"/>
      <c r="B680" s="4"/>
      <c r="C680" s="4"/>
      <c r="D680" s="4"/>
      <c r="E680" s="128"/>
      <c r="F680" s="128"/>
      <c r="G680" s="753"/>
      <c r="H680" s="128"/>
      <c r="I680" s="128"/>
      <c r="J680" s="130"/>
      <c r="K680" s="128"/>
      <c r="L680" s="128"/>
      <c r="M680" s="130"/>
      <c r="N680" s="130"/>
      <c r="O680" s="130"/>
      <c r="P680" s="128"/>
      <c r="Q680" s="128"/>
      <c r="R680" s="128"/>
      <c r="S680" s="298"/>
      <c r="T680" s="4"/>
      <c r="U680" s="4"/>
      <c r="V680" s="4"/>
      <c r="W680" s="4"/>
      <c r="X680" s="4"/>
      <c r="Y680" s="128"/>
      <c r="Z680" s="128"/>
      <c r="AA680" s="128"/>
      <c r="AB680" s="4"/>
      <c r="AC680" s="4"/>
      <c r="AD680" s="4"/>
      <c r="AE680" s="4"/>
      <c r="AF680" s="4"/>
      <c r="AG680" s="4"/>
      <c r="AH680" s="4"/>
      <c r="AI680" s="4"/>
      <c r="AJ680" s="246"/>
      <c r="AK680" s="246"/>
      <c r="AL680" s="129"/>
      <c r="AM680" s="129"/>
      <c r="AN680" s="129"/>
      <c r="AO680" s="246"/>
      <c r="AP680" s="246"/>
      <c r="AQ680" s="249"/>
      <c r="AR680" s="4"/>
      <c r="AS680" s="4"/>
      <c r="AT680" s="4"/>
      <c r="AU680" s="4"/>
      <c r="AV680" s="4"/>
      <c r="AW680" s="4"/>
      <c r="AX680" s="4"/>
      <c r="AY680" s="128"/>
      <c r="AZ680" s="4"/>
      <c r="BA680" s="4"/>
      <c r="BB680" s="4"/>
      <c r="BC680" s="4"/>
      <c r="BD680" s="4"/>
      <c r="BE680" s="4"/>
      <c r="BF680" s="4"/>
      <c r="BG680" s="4"/>
      <c r="BH680" s="4"/>
      <c r="BI680" s="567"/>
    </row>
    <row r="681" spans="1:61" ht="12.75" customHeight="1" x14ac:dyDescent="0.25">
      <c r="A681" s="4"/>
      <c r="B681" s="4"/>
      <c r="C681" s="4"/>
      <c r="D681" s="4"/>
      <c r="E681" s="128"/>
      <c r="F681" s="128"/>
      <c r="G681" s="753"/>
      <c r="H681" s="128"/>
      <c r="I681" s="128"/>
      <c r="J681" s="130"/>
      <c r="K681" s="128"/>
      <c r="L681" s="128"/>
      <c r="M681" s="130"/>
      <c r="N681" s="130"/>
      <c r="O681" s="130"/>
      <c r="P681" s="128"/>
      <c r="Q681" s="128"/>
      <c r="R681" s="128"/>
      <c r="S681" s="298"/>
      <c r="T681" s="4"/>
      <c r="U681" s="4"/>
      <c r="V681" s="4"/>
      <c r="W681" s="4"/>
      <c r="X681" s="4"/>
      <c r="Y681" s="128"/>
      <c r="Z681" s="128"/>
      <c r="AA681" s="128"/>
      <c r="AB681" s="4"/>
      <c r="AC681" s="4"/>
      <c r="AD681" s="4"/>
      <c r="AE681" s="4"/>
      <c r="AF681" s="4"/>
      <c r="AG681" s="4"/>
      <c r="AH681" s="4"/>
      <c r="AI681" s="4"/>
      <c r="AJ681" s="246"/>
      <c r="AK681" s="246"/>
      <c r="AL681" s="129"/>
      <c r="AM681" s="129"/>
      <c r="AN681" s="129"/>
      <c r="AO681" s="246"/>
      <c r="AP681" s="246"/>
      <c r="AQ681" s="249"/>
      <c r="AR681" s="4"/>
      <c r="AS681" s="4"/>
      <c r="AT681" s="4"/>
      <c r="AU681" s="4"/>
      <c r="AV681" s="4"/>
      <c r="AW681" s="4"/>
      <c r="AX681" s="4"/>
      <c r="AY681" s="128"/>
      <c r="AZ681" s="4"/>
      <c r="BA681" s="4"/>
      <c r="BB681" s="4"/>
      <c r="BC681" s="4"/>
      <c r="BD681" s="4"/>
      <c r="BE681" s="4"/>
      <c r="BF681" s="4"/>
      <c r="BG681" s="4"/>
      <c r="BH681" s="4"/>
      <c r="BI681" s="567"/>
    </row>
    <row r="682" spans="1:61" ht="12.75" customHeight="1" x14ac:dyDescent="0.25">
      <c r="A682" s="4"/>
      <c r="B682" s="4"/>
      <c r="C682" s="4"/>
      <c r="D682" s="4"/>
      <c r="E682" s="128"/>
      <c r="F682" s="128"/>
      <c r="G682" s="753"/>
      <c r="H682" s="128"/>
      <c r="I682" s="128"/>
      <c r="J682" s="130"/>
      <c r="K682" s="128"/>
      <c r="L682" s="128"/>
      <c r="M682" s="130"/>
      <c r="N682" s="130"/>
      <c r="O682" s="130"/>
      <c r="P682" s="128"/>
      <c r="Q682" s="128"/>
      <c r="R682" s="128"/>
      <c r="S682" s="298"/>
      <c r="T682" s="4"/>
      <c r="U682" s="4"/>
      <c r="V682" s="4"/>
      <c r="W682" s="4"/>
      <c r="X682" s="4"/>
      <c r="Y682" s="128"/>
      <c r="Z682" s="128"/>
      <c r="AA682" s="128"/>
      <c r="AB682" s="4"/>
      <c r="AC682" s="4"/>
      <c r="AD682" s="4"/>
      <c r="AE682" s="4"/>
      <c r="AF682" s="4"/>
      <c r="AG682" s="4"/>
      <c r="AH682" s="4"/>
      <c r="AI682" s="4"/>
      <c r="AJ682" s="246"/>
      <c r="AK682" s="246"/>
      <c r="AL682" s="129"/>
      <c r="AM682" s="129"/>
      <c r="AN682" s="129"/>
      <c r="AO682" s="246"/>
      <c r="AP682" s="246"/>
      <c r="AQ682" s="249"/>
      <c r="AR682" s="4"/>
      <c r="AS682" s="4"/>
      <c r="AT682" s="4"/>
      <c r="AU682" s="4"/>
      <c r="AV682" s="4"/>
      <c r="AW682" s="4"/>
      <c r="AX682" s="4"/>
      <c r="AY682" s="128"/>
      <c r="AZ682" s="4"/>
      <c r="BA682" s="4"/>
      <c r="BB682" s="4"/>
      <c r="BC682" s="4"/>
      <c r="BD682" s="4"/>
      <c r="BE682" s="4"/>
      <c r="BF682" s="4"/>
      <c r="BG682" s="4"/>
      <c r="BH682" s="4"/>
      <c r="BI682" s="567"/>
    </row>
    <row r="683" spans="1:61" ht="12.75" customHeight="1" x14ac:dyDescent="0.25">
      <c r="A683" s="4"/>
      <c r="B683" s="4"/>
      <c r="C683" s="4"/>
      <c r="D683" s="4"/>
      <c r="E683" s="128"/>
      <c r="F683" s="128"/>
      <c r="G683" s="753"/>
      <c r="H683" s="128"/>
      <c r="I683" s="128"/>
      <c r="J683" s="130"/>
      <c r="K683" s="128"/>
      <c r="L683" s="128"/>
      <c r="M683" s="130"/>
      <c r="N683" s="130"/>
      <c r="O683" s="130"/>
      <c r="P683" s="128"/>
      <c r="Q683" s="128"/>
      <c r="R683" s="128"/>
      <c r="S683" s="298"/>
      <c r="T683" s="4"/>
      <c r="U683" s="4"/>
      <c r="V683" s="4"/>
      <c r="W683" s="4"/>
      <c r="X683" s="4"/>
      <c r="Y683" s="128"/>
      <c r="Z683" s="128"/>
      <c r="AA683" s="128"/>
      <c r="AB683" s="4"/>
      <c r="AC683" s="4"/>
      <c r="AD683" s="4"/>
      <c r="AE683" s="4"/>
      <c r="AF683" s="4"/>
      <c r="AG683" s="4"/>
      <c r="AH683" s="4"/>
      <c r="AI683" s="4"/>
      <c r="AJ683" s="246"/>
      <c r="AK683" s="246"/>
      <c r="AL683" s="129"/>
      <c r="AM683" s="129"/>
      <c r="AN683" s="129"/>
      <c r="AO683" s="246"/>
      <c r="AP683" s="246"/>
      <c r="AQ683" s="249"/>
      <c r="AR683" s="4"/>
      <c r="AS683" s="4"/>
      <c r="AT683" s="4"/>
      <c r="AU683" s="4"/>
      <c r="AV683" s="4"/>
      <c r="AW683" s="4"/>
      <c r="AX683" s="4"/>
      <c r="AY683" s="128"/>
      <c r="AZ683" s="4"/>
      <c r="BA683" s="4"/>
      <c r="BB683" s="4"/>
      <c r="BC683" s="4"/>
      <c r="BD683" s="4"/>
      <c r="BE683" s="4"/>
      <c r="BF683" s="4"/>
      <c r="BG683" s="4"/>
      <c r="BH683" s="4"/>
      <c r="BI683" s="567"/>
    </row>
    <row r="684" spans="1:61" ht="12.75" customHeight="1" x14ac:dyDescent="0.25">
      <c r="A684" s="4"/>
      <c r="B684" s="4"/>
      <c r="C684" s="4"/>
      <c r="D684" s="4"/>
      <c r="E684" s="128"/>
      <c r="F684" s="128"/>
      <c r="G684" s="753"/>
      <c r="H684" s="128"/>
      <c r="I684" s="128"/>
      <c r="J684" s="130"/>
      <c r="K684" s="128"/>
      <c r="L684" s="128"/>
      <c r="M684" s="130"/>
      <c r="N684" s="130"/>
      <c r="O684" s="130"/>
      <c r="P684" s="128"/>
      <c r="Q684" s="128"/>
      <c r="R684" s="128"/>
      <c r="S684" s="298"/>
      <c r="T684" s="4"/>
      <c r="U684" s="4"/>
      <c r="V684" s="4"/>
      <c r="W684" s="4"/>
      <c r="X684" s="4"/>
      <c r="Y684" s="128"/>
      <c r="Z684" s="128"/>
      <c r="AA684" s="128"/>
      <c r="AB684" s="4"/>
      <c r="AC684" s="4"/>
      <c r="AD684" s="4"/>
      <c r="AE684" s="4"/>
      <c r="AF684" s="4"/>
      <c r="AG684" s="4"/>
      <c r="AH684" s="4"/>
      <c r="AI684" s="4"/>
      <c r="AJ684" s="246"/>
      <c r="AK684" s="246"/>
      <c r="AL684" s="129"/>
      <c r="AM684" s="129"/>
      <c r="AN684" s="129"/>
      <c r="AO684" s="246"/>
      <c r="AP684" s="246"/>
      <c r="AQ684" s="249"/>
      <c r="AR684" s="4"/>
      <c r="AS684" s="4"/>
      <c r="AT684" s="4"/>
      <c r="AU684" s="4"/>
      <c r="AV684" s="4"/>
      <c r="AW684" s="4"/>
      <c r="AX684" s="4"/>
      <c r="AY684" s="128"/>
      <c r="AZ684" s="4"/>
      <c r="BA684" s="4"/>
      <c r="BB684" s="4"/>
      <c r="BC684" s="4"/>
      <c r="BD684" s="4"/>
      <c r="BE684" s="4"/>
      <c r="BF684" s="4"/>
      <c r="BG684" s="4"/>
      <c r="BH684" s="4"/>
      <c r="BI684" s="567"/>
    </row>
    <row r="685" spans="1:61" ht="12.75" customHeight="1" x14ac:dyDescent="0.25">
      <c r="A685" s="4"/>
      <c r="B685" s="4"/>
      <c r="C685" s="4"/>
      <c r="D685" s="4"/>
      <c r="E685" s="128"/>
      <c r="F685" s="128"/>
      <c r="G685" s="753"/>
      <c r="H685" s="128"/>
      <c r="I685" s="128"/>
      <c r="J685" s="130"/>
      <c r="K685" s="128"/>
      <c r="L685" s="128"/>
      <c r="M685" s="130"/>
      <c r="N685" s="130"/>
      <c r="O685" s="130"/>
      <c r="P685" s="128"/>
      <c r="Q685" s="128"/>
      <c r="R685" s="128"/>
      <c r="S685" s="298"/>
      <c r="T685" s="4"/>
      <c r="U685" s="4"/>
      <c r="V685" s="4"/>
      <c r="W685" s="4"/>
      <c r="X685" s="4"/>
      <c r="Y685" s="128"/>
      <c r="Z685" s="128"/>
      <c r="AA685" s="128"/>
      <c r="AB685" s="4"/>
      <c r="AC685" s="4"/>
      <c r="AD685" s="4"/>
      <c r="AE685" s="4"/>
      <c r="AF685" s="4"/>
      <c r="AG685" s="4"/>
      <c r="AH685" s="4"/>
      <c r="AI685" s="4"/>
      <c r="AJ685" s="246"/>
      <c r="AK685" s="246"/>
      <c r="AL685" s="129"/>
      <c r="AM685" s="129"/>
      <c r="AN685" s="129"/>
      <c r="AO685" s="246"/>
      <c r="AP685" s="246"/>
      <c r="AQ685" s="249"/>
      <c r="AR685" s="4"/>
      <c r="AS685" s="4"/>
      <c r="AT685" s="4"/>
      <c r="AU685" s="4"/>
      <c r="AV685" s="4"/>
      <c r="AW685" s="4"/>
      <c r="AX685" s="4"/>
      <c r="AY685" s="128"/>
      <c r="AZ685" s="4"/>
      <c r="BA685" s="4"/>
      <c r="BB685" s="4"/>
      <c r="BC685" s="4"/>
      <c r="BD685" s="4"/>
      <c r="BE685" s="4"/>
      <c r="BF685" s="4"/>
      <c r="BG685" s="4"/>
      <c r="BH685" s="4"/>
      <c r="BI685" s="567"/>
    </row>
    <row r="686" spans="1:61" ht="12.75" customHeight="1" x14ac:dyDescent="0.25">
      <c r="A686" s="4"/>
      <c r="B686" s="4"/>
      <c r="C686" s="4"/>
      <c r="D686" s="4"/>
      <c r="E686" s="128"/>
      <c r="F686" s="128"/>
      <c r="G686" s="753"/>
      <c r="H686" s="128"/>
      <c r="I686" s="128"/>
      <c r="J686" s="130"/>
      <c r="K686" s="128"/>
      <c r="L686" s="128"/>
      <c r="M686" s="130"/>
      <c r="N686" s="130"/>
      <c r="O686" s="130"/>
      <c r="P686" s="128"/>
      <c r="Q686" s="128"/>
      <c r="R686" s="128"/>
      <c r="S686" s="298"/>
      <c r="T686" s="4"/>
      <c r="U686" s="4"/>
      <c r="V686" s="4"/>
      <c r="W686" s="4"/>
      <c r="X686" s="4"/>
      <c r="Y686" s="128"/>
      <c r="Z686" s="128"/>
      <c r="AA686" s="128"/>
      <c r="AB686" s="4"/>
      <c r="AC686" s="4"/>
      <c r="AD686" s="4"/>
      <c r="AE686" s="4"/>
      <c r="AF686" s="4"/>
      <c r="AG686" s="4"/>
      <c r="AH686" s="4"/>
      <c r="AI686" s="4"/>
      <c r="AJ686" s="246"/>
      <c r="AK686" s="246"/>
      <c r="AL686" s="129"/>
      <c r="AM686" s="129"/>
      <c r="AN686" s="129"/>
      <c r="AO686" s="246"/>
      <c r="AP686" s="246"/>
      <c r="AQ686" s="249"/>
      <c r="AR686" s="4"/>
      <c r="AS686" s="4"/>
      <c r="AT686" s="4"/>
      <c r="AU686" s="4"/>
      <c r="AV686" s="4"/>
      <c r="AW686" s="4"/>
      <c r="AX686" s="4"/>
      <c r="AY686" s="128"/>
      <c r="AZ686" s="4"/>
      <c r="BA686" s="4"/>
      <c r="BB686" s="4"/>
      <c r="BC686" s="4"/>
      <c r="BD686" s="4"/>
      <c r="BE686" s="4"/>
      <c r="BF686" s="4"/>
      <c r="BG686" s="4"/>
      <c r="BH686" s="4"/>
      <c r="BI686" s="567"/>
    </row>
    <row r="687" spans="1:61" ht="12.75" customHeight="1" x14ac:dyDescent="0.25">
      <c r="A687" s="4"/>
      <c r="B687" s="4"/>
      <c r="C687" s="4"/>
      <c r="D687" s="4"/>
      <c r="E687" s="128"/>
      <c r="F687" s="128"/>
      <c r="G687" s="753"/>
      <c r="H687" s="128"/>
      <c r="I687" s="128"/>
      <c r="J687" s="130"/>
      <c r="K687" s="128"/>
      <c r="L687" s="128"/>
      <c r="M687" s="130"/>
      <c r="N687" s="130"/>
      <c r="O687" s="130"/>
      <c r="P687" s="128"/>
      <c r="Q687" s="128"/>
      <c r="R687" s="128"/>
      <c r="S687" s="298"/>
      <c r="T687" s="4"/>
      <c r="U687" s="4"/>
      <c r="V687" s="4"/>
      <c r="W687" s="4"/>
      <c r="X687" s="4"/>
      <c r="Y687" s="128"/>
      <c r="Z687" s="128"/>
      <c r="AA687" s="128"/>
      <c r="AB687" s="4"/>
      <c r="AC687" s="4"/>
      <c r="AD687" s="4"/>
      <c r="AE687" s="4"/>
      <c r="AF687" s="4"/>
      <c r="AG687" s="4"/>
      <c r="AH687" s="4"/>
      <c r="AI687" s="4"/>
      <c r="AJ687" s="246"/>
      <c r="AK687" s="246"/>
      <c r="AL687" s="129"/>
      <c r="AM687" s="129"/>
      <c r="AN687" s="129"/>
      <c r="AO687" s="246"/>
      <c r="AP687" s="246"/>
      <c r="AQ687" s="249"/>
      <c r="AR687" s="4"/>
      <c r="AS687" s="4"/>
      <c r="AT687" s="4"/>
      <c r="AU687" s="4"/>
      <c r="AV687" s="4"/>
      <c r="AW687" s="4"/>
      <c r="AX687" s="4"/>
      <c r="AY687" s="128"/>
      <c r="AZ687" s="4"/>
      <c r="BA687" s="4"/>
      <c r="BB687" s="4"/>
      <c r="BC687" s="4"/>
      <c r="BD687" s="4"/>
      <c r="BE687" s="4"/>
      <c r="BF687" s="4"/>
      <c r="BG687" s="4"/>
      <c r="BH687" s="4"/>
      <c r="BI687" s="567"/>
    </row>
    <row r="688" spans="1:61" ht="12.75" customHeight="1" x14ac:dyDescent="0.25">
      <c r="A688" s="4"/>
      <c r="B688" s="4"/>
      <c r="C688" s="4"/>
      <c r="D688" s="4"/>
      <c r="E688" s="128"/>
      <c r="F688" s="128"/>
      <c r="G688" s="753"/>
      <c r="H688" s="128"/>
      <c r="I688" s="128"/>
      <c r="J688" s="130"/>
      <c r="K688" s="128"/>
      <c r="L688" s="128"/>
      <c r="M688" s="130"/>
      <c r="N688" s="130"/>
      <c r="O688" s="130"/>
      <c r="P688" s="128"/>
      <c r="Q688" s="128"/>
      <c r="R688" s="128"/>
      <c r="S688" s="298"/>
      <c r="T688" s="4"/>
      <c r="U688" s="4"/>
      <c r="V688" s="4"/>
      <c r="W688" s="4"/>
      <c r="X688" s="4"/>
      <c r="Y688" s="128"/>
      <c r="Z688" s="128"/>
      <c r="AA688" s="128"/>
      <c r="AB688" s="4"/>
      <c r="AC688" s="4"/>
      <c r="AD688" s="4"/>
      <c r="AE688" s="4"/>
      <c r="AF688" s="4"/>
      <c r="AG688" s="4"/>
      <c r="AH688" s="4"/>
      <c r="AI688" s="4"/>
      <c r="AJ688" s="246"/>
      <c r="AK688" s="246"/>
      <c r="AL688" s="129"/>
      <c r="AM688" s="129"/>
      <c r="AN688" s="129"/>
      <c r="AO688" s="246"/>
      <c r="AP688" s="246"/>
      <c r="AQ688" s="249"/>
      <c r="AR688" s="4"/>
      <c r="AS688" s="4"/>
      <c r="AT688" s="4"/>
      <c r="AU688" s="4"/>
      <c r="AV688" s="4"/>
      <c r="AW688" s="4"/>
      <c r="AX688" s="4"/>
      <c r="AY688" s="128"/>
      <c r="AZ688" s="4"/>
      <c r="BA688" s="4"/>
      <c r="BB688" s="4"/>
      <c r="BC688" s="4"/>
      <c r="BD688" s="4"/>
      <c r="BE688" s="4"/>
      <c r="BF688" s="4"/>
      <c r="BG688" s="4"/>
      <c r="BH688" s="4"/>
      <c r="BI688" s="567"/>
    </row>
    <row r="689" spans="1:61" ht="12.75" customHeight="1" x14ac:dyDescent="0.25">
      <c r="A689" s="4"/>
      <c r="B689" s="4"/>
      <c r="C689" s="4"/>
      <c r="D689" s="4"/>
      <c r="E689" s="128"/>
      <c r="F689" s="128"/>
      <c r="G689" s="753"/>
      <c r="H689" s="128"/>
      <c r="I689" s="128"/>
      <c r="J689" s="130"/>
      <c r="K689" s="128"/>
      <c r="L689" s="128"/>
      <c r="M689" s="130"/>
      <c r="N689" s="130"/>
      <c r="O689" s="130"/>
      <c r="P689" s="128"/>
      <c r="Q689" s="128"/>
      <c r="R689" s="128"/>
      <c r="S689" s="298"/>
      <c r="T689" s="4"/>
      <c r="U689" s="4"/>
      <c r="V689" s="4"/>
      <c r="W689" s="4"/>
      <c r="X689" s="4"/>
      <c r="Y689" s="128"/>
      <c r="Z689" s="128"/>
      <c r="AA689" s="128"/>
      <c r="AB689" s="4"/>
      <c r="AC689" s="4"/>
      <c r="AD689" s="4"/>
      <c r="AE689" s="4"/>
      <c r="AF689" s="4"/>
      <c r="AG689" s="4"/>
      <c r="AH689" s="4"/>
      <c r="AI689" s="4"/>
      <c r="AJ689" s="246"/>
      <c r="AK689" s="246"/>
      <c r="AL689" s="129"/>
      <c r="AM689" s="129"/>
      <c r="AN689" s="129"/>
      <c r="AO689" s="246"/>
      <c r="AP689" s="246"/>
      <c r="AQ689" s="249"/>
      <c r="AR689" s="4"/>
      <c r="AS689" s="4"/>
      <c r="AT689" s="4"/>
      <c r="AU689" s="4"/>
      <c r="AV689" s="4"/>
      <c r="AW689" s="4"/>
      <c r="AX689" s="4"/>
      <c r="AY689" s="128"/>
      <c r="AZ689" s="4"/>
      <c r="BA689" s="4"/>
      <c r="BB689" s="4"/>
      <c r="BC689" s="4"/>
      <c r="BD689" s="4"/>
      <c r="BE689" s="4"/>
      <c r="BF689" s="4"/>
      <c r="BG689" s="4"/>
      <c r="BH689" s="4"/>
      <c r="BI689" s="567"/>
    </row>
    <row r="690" spans="1:61" ht="12.75" customHeight="1" x14ac:dyDescent="0.25">
      <c r="A690" s="4"/>
      <c r="B690" s="4"/>
      <c r="C690" s="4"/>
      <c r="D690" s="4"/>
      <c r="E690" s="128"/>
      <c r="F690" s="128"/>
      <c r="G690" s="753"/>
      <c r="H690" s="128"/>
      <c r="I690" s="128"/>
      <c r="J690" s="130"/>
      <c r="K690" s="128"/>
      <c r="L690" s="128"/>
      <c r="M690" s="130"/>
      <c r="N690" s="130"/>
      <c r="O690" s="130"/>
      <c r="P690" s="128"/>
      <c r="Q690" s="128"/>
      <c r="R690" s="128"/>
      <c r="S690" s="298"/>
      <c r="T690" s="4"/>
      <c r="U690" s="4"/>
      <c r="V690" s="4"/>
      <c r="W690" s="4"/>
      <c r="X690" s="4"/>
      <c r="Y690" s="128"/>
      <c r="Z690" s="128"/>
      <c r="AA690" s="128"/>
      <c r="AB690" s="4"/>
      <c r="AC690" s="4"/>
      <c r="AD690" s="4"/>
      <c r="AE690" s="4"/>
      <c r="AF690" s="4"/>
      <c r="AG690" s="4"/>
      <c r="AH690" s="4"/>
      <c r="AI690" s="4"/>
      <c r="AJ690" s="246"/>
      <c r="AK690" s="246"/>
      <c r="AL690" s="129"/>
      <c r="AM690" s="129"/>
      <c r="AN690" s="129"/>
      <c r="AO690" s="246"/>
      <c r="AP690" s="246"/>
      <c r="AQ690" s="249"/>
      <c r="AR690" s="4"/>
      <c r="AS690" s="4"/>
      <c r="AT690" s="4"/>
      <c r="AU690" s="4"/>
      <c r="AV690" s="4"/>
      <c r="AW690" s="4"/>
      <c r="AX690" s="4"/>
      <c r="AY690" s="128"/>
      <c r="AZ690" s="4"/>
      <c r="BA690" s="4"/>
      <c r="BB690" s="4"/>
      <c r="BC690" s="4"/>
      <c r="BD690" s="4"/>
      <c r="BE690" s="4"/>
      <c r="BF690" s="4"/>
      <c r="BG690" s="4"/>
      <c r="BH690" s="4"/>
      <c r="BI690" s="567"/>
    </row>
    <row r="691" spans="1:61" ht="12.75" customHeight="1" x14ac:dyDescent="0.25">
      <c r="A691" s="4"/>
      <c r="B691" s="4"/>
      <c r="C691" s="4"/>
      <c r="D691" s="4"/>
      <c r="E691" s="128"/>
      <c r="F691" s="128"/>
      <c r="G691" s="753"/>
      <c r="H691" s="128"/>
      <c r="I691" s="128"/>
      <c r="J691" s="130"/>
      <c r="K691" s="128"/>
      <c r="L691" s="128"/>
      <c r="M691" s="130"/>
      <c r="N691" s="130"/>
      <c r="O691" s="130"/>
      <c r="P691" s="128"/>
      <c r="Q691" s="128"/>
      <c r="R691" s="128"/>
      <c r="S691" s="298"/>
      <c r="T691" s="4"/>
      <c r="U691" s="4"/>
      <c r="V691" s="4"/>
      <c r="W691" s="4"/>
      <c r="X691" s="4"/>
      <c r="Y691" s="128"/>
      <c r="Z691" s="128"/>
      <c r="AA691" s="128"/>
      <c r="AB691" s="4"/>
      <c r="AC691" s="4"/>
      <c r="AD691" s="4"/>
      <c r="AE691" s="4"/>
      <c r="AF691" s="4"/>
      <c r="AG691" s="4"/>
      <c r="AH691" s="4"/>
      <c r="AI691" s="4"/>
      <c r="AJ691" s="246"/>
      <c r="AK691" s="246"/>
      <c r="AL691" s="129"/>
      <c r="AM691" s="129"/>
      <c r="AN691" s="129"/>
      <c r="AO691" s="246"/>
      <c r="AP691" s="246"/>
      <c r="AQ691" s="249"/>
      <c r="AR691" s="4"/>
      <c r="AS691" s="4"/>
      <c r="AT691" s="4"/>
      <c r="AU691" s="4"/>
      <c r="AV691" s="4"/>
      <c r="AW691" s="4"/>
      <c r="AX691" s="4"/>
      <c r="AY691" s="128"/>
      <c r="AZ691" s="4"/>
      <c r="BA691" s="4"/>
      <c r="BB691" s="4"/>
      <c r="BC691" s="4"/>
      <c r="BD691" s="4"/>
      <c r="BE691" s="4"/>
      <c r="BF691" s="4"/>
      <c r="BG691" s="4"/>
      <c r="BH691" s="4"/>
      <c r="BI691" s="567"/>
    </row>
    <row r="692" spans="1:61" ht="12.75" customHeight="1" x14ac:dyDescent="0.25">
      <c r="A692" s="4"/>
      <c r="B692" s="4"/>
      <c r="C692" s="4"/>
      <c r="D692" s="4"/>
      <c r="E692" s="128"/>
      <c r="F692" s="128"/>
      <c r="G692" s="753"/>
      <c r="H692" s="128"/>
      <c r="I692" s="128"/>
      <c r="J692" s="130"/>
      <c r="K692" s="128"/>
      <c r="L692" s="128"/>
      <c r="M692" s="130"/>
      <c r="N692" s="130"/>
      <c r="O692" s="130"/>
      <c r="P692" s="128"/>
      <c r="Q692" s="128"/>
      <c r="R692" s="128"/>
      <c r="S692" s="298"/>
      <c r="T692" s="4"/>
      <c r="U692" s="4"/>
      <c r="V692" s="4"/>
      <c r="W692" s="4"/>
      <c r="X692" s="4"/>
      <c r="Y692" s="128"/>
      <c r="Z692" s="128"/>
      <c r="AA692" s="128"/>
      <c r="AB692" s="4"/>
      <c r="AC692" s="4"/>
      <c r="AD692" s="4"/>
      <c r="AE692" s="4"/>
      <c r="AF692" s="4"/>
      <c r="AG692" s="4"/>
      <c r="AH692" s="4"/>
      <c r="AI692" s="4"/>
      <c r="AJ692" s="246"/>
      <c r="AK692" s="246"/>
      <c r="AL692" s="129"/>
      <c r="AM692" s="129"/>
      <c r="AN692" s="129"/>
      <c r="AO692" s="246"/>
      <c r="AP692" s="246"/>
      <c r="AQ692" s="249"/>
      <c r="AR692" s="4"/>
      <c r="AS692" s="4"/>
      <c r="AT692" s="4"/>
      <c r="AU692" s="4"/>
      <c r="AV692" s="4"/>
      <c r="AW692" s="4"/>
      <c r="AX692" s="4"/>
      <c r="AY692" s="128"/>
      <c r="AZ692" s="4"/>
      <c r="BA692" s="4"/>
      <c r="BB692" s="4"/>
      <c r="BC692" s="4"/>
      <c r="BD692" s="4"/>
      <c r="BE692" s="4"/>
      <c r="BF692" s="4"/>
      <c r="BG692" s="4"/>
      <c r="BH692" s="4"/>
      <c r="BI692" s="567"/>
    </row>
    <row r="693" spans="1:61" ht="12.75" customHeight="1" x14ac:dyDescent="0.25">
      <c r="A693" s="4"/>
      <c r="B693" s="4"/>
      <c r="C693" s="4"/>
      <c r="D693" s="4"/>
      <c r="E693" s="128"/>
      <c r="F693" s="128"/>
      <c r="G693" s="753"/>
      <c r="H693" s="128"/>
      <c r="I693" s="128"/>
      <c r="J693" s="130"/>
      <c r="K693" s="128"/>
      <c r="L693" s="128"/>
      <c r="M693" s="130"/>
      <c r="N693" s="130"/>
      <c r="O693" s="130"/>
      <c r="P693" s="128"/>
      <c r="Q693" s="128"/>
      <c r="R693" s="128"/>
      <c r="S693" s="298"/>
      <c r="T693" s="4"/>
      <c r="U693" s="4"/>
      <c r="V693" s="4"/>
      <c r="W693" s="4"/>
      <c r="X693" s="4"/>
      <c r="Y693" s="128"/>
      <c r="Z693" s="128"/>
      <c r="AA693" s="128"/>
      <c r="AB693" s="4"/>
      <c r="AC693" s="4"/>
      <c r="AD693" s="4"/>
      <c r="AE693" s="4"/>
      <c r="AF693" s="4"/>
      <c r="AG693" s="4"/>
      <c r="AH693" s="4"/>
      <c r="AI693" s="4"/>
      <c r="AJ693" s="246"/>
      <c r="AK693" s="246"/>
      <c r="AL693" s="129"/>
      <c r="AM693" s="129"/>
      <c r="AN693" s="129"/>
      <c r="AO693" s="246"/>
      <c r="AP693" s="246"/>
      <c r="AQ693" s="249"/>
      <c r="AR693" s="4"/>
      <c r="AS693" s="4"/>
      <c r="AT693" s="4"/>
      <c r="AU693" s="4"/>
      <c r="AV693" s="4"/>
      <c r="AW693" s="4"/>
      <c r="AX693" s="4"/>
      <c r="AY693" s="128"/>
      <c r="AZ693" s="4"/>
      <c r="BA693" s="4"/>
      <c r="BB693" s="4"/>
      <c r="BC693" s="4"/>
      <c r="BD693" s="4"/>
      <c r="BE693" s="4"/>
      <c r="BF693" s="4"/>
      <c r="BG693" s="4"/>
      <c r="BH693" s="4"/>
      <c r="BI693" s="567"/>
    </row>
    <row r="694" spans="1:61" ht="12.75" customHeight="1" x14ac:dyDescent="0.25">
      <c r="A694" s="4"/>
      <c r="B694" s="4"/>
      <c r="C694" s="4"/>
      <c r="D694" s="4"/>
      <c r="E694" s="128"/>
      <c r="F694" s="128"/>
      <c r="G694" s="753"/>
      <c r="H694" s="128"/>
      <c r="I694" s="128"/>
      <c r="J694" s="130"/>
      <c r="K694" s="128"/>
      <c r="L694" s="128"/>
      <c r="M694" s="130"/>
      <c r="N694" s="130"/>
      <c r="O694" s="130"/>
      <c r="P694" s="128"/>
      <c r="Q694" s="128"/>
      <c r="R694" s="128"/>
      <c r="S694" s="298"/>
      <c r="T694" s="4"/>
      <c r="U694" s="4"/>
      <c r="V694" s="4"/>
      <c r="W694" s="4"/>
      <c r="X694" s="4"/>
      <c r="Y694" s="128"/>
      <c r="Z694" s="128"/>
      <c r="AA694" s="128"/>
      <c r="AB694" s="4"/>
      <c r="AC694" s="4"/>
      <c r="AD694" s="4"/>
      <c r="AE694" s="4"/>
      <c r="AF694" s="4"/>
      <c r="AG694" s="4"/>
      <c r="AH694" s="4"/>
      <c r="AI694" s="4"/>
      <c r="AJ694" s="246"/>
      <c r="AK694" s="246"/>
      <c r="AL694" s="129"/>
      <c r="AM694" s="129"/>
      <c r="AN694" s="129"/>
      <c r="AO694" s="246"/>
      <c r="AP694" s="246"/>
      <c r="AQ694" s="249"/>
      <c r="AR694" s="4"/>
      <c r="AS694" s="4"/>
      <c r="AT694" s="4"/>
      <c r="AU694" s="4"/>
      <c r="AV694" s="4"/>
      <c r="AW694" s="4"/>
      <c r="AX694" s="4"/>
      <c r="AY694" s="128"/>
      <c r="AZ694" s="4"/>
      <c r="BA694" s="4"/>
      <c r="BB694" s="4"/>
      <c r="BC694" s="4"/>
      <c r="BD694" s="4"/>
      <c r="BE694" s="4"/>
      <c r="BF694" s="4"/>
      <c r="BG694" s="4"/>
      <c r="BH694" s="4"/>
      <c r="BI694" s="567"/>
    </row>
    <row r="695" spans="1:61" ht="12.75" customHeight="1" x14ac:dyDescent="0.25">
      <c r="A695" s="4"/>
      <c r="B695" s="4"/>
      <c r="C695" s="4"/>
      <c r="D695" s="4"/>
      <c r="E695" s="128"/>
      <c r="F695" s="128"/>
      <c r="G695" s="753"/>
      <c r="H695" s="128"/>
      <c r="I695" s="128"/>
      <c r="J695" s="130"/>
      <c r="K695" s="128"/>
      <c r="L695" s="128"/>
      <c r="M695" s="130"/>
      <c r="N695" s="130"/>
      <c r="O695" s="130"/>
      <c r="P695" s="128"/>
      <c r="Q695" s="128"/>
      <c r="R695" s="128"/>
      <c r="S695" s="298"/>
      <c r="T695" s="4"/>
      <c r="U695" s="4"/>
      <c r="V695" s="4"/>
      <c r="W695" s="4"/>
      <c r="X695" s="4"/>
      <c r="Y695" s="128"/>
      <c r="Z695" s="128"/>
      <c r="AA695" s="128"/>
      <c r="AB695" s="4"/>
      <c r="AC695" s="4"/>
      <c r="AD695" s="4"/>
      <c r="AE695" s="4"/>
      <c r="AF695" s="4"/>
      <c r="AG695" s="4"/>
      <c r="AH695" s="4"/>
      <c r="AI695" s="4"/>
      <c r="AJ695" s="246"/>
      <c r="AK695" s="246"/>
      <c r="AL695" s="129"/>
      <c r="AM695" s="129"/>
      <c r="AN695" s="129"/>
      <c r="AO695" s="246"/>
      <c r="AP695" s="246"/>
      <c r="AQ695" s="249"/>
      <c r="AR695" s="4"/>
      <c r="AS695" s="4"/>
      <c r="AT695" s="4"/>
      <c r="AU695" s="4"/>
      <c r="AV695" s="4"/>
      <c r="AW695" s="4"/>
      <c r="AX695" s="4"/>
      <c r="AY695" s="128"/>
      <c r="AZ695" s="4"/>
      <c r="BA695" s="4"/>
      <c r="BB695" s="4"/>
      <c r="BC695" s="4"/>
      <c r="BD695" s="4"/>
      <c r="BE695" s="4"/>
      <c r="BF695" s="4"/>
      <c r="BG695" s="4"/>
      <c r="BH695" s="4"/>
      <c r="BI695" s="567"/>
    </row>
    <row r="696" spans="1:61" ht="12.75" customHeight="1" x14ac:dyDescent="0.25">
      <c r="A696" s="4"/>
      <c r="B696" s="4"/>
      <c r="C696" s="4"/>
      <c r="D696" s="4"/>
      <c r="E696" s="128"/>
      <c r="F696" s="128"/>
      <c r="G696" s="753"/>
      <c r="H696" s="128"/>
      <c r="I696" s="128"/>
      <c r="J696" s="130"/>
      <c r="K696" s="128"/>
      <c r="L696" s="128"/>
      <c r="M696" s="130"/>
      <c r="N696" s="130"/>
      <c r="O696" s="130"/>
      <c r="P696" s="128"/>
      <c r="Q696" s="128"/>
      <c r="R696" s="128"/>
      <c r="S696" s="298"/>
      <c r="T696" s="4"/>
      <c r="U696" s="4"/>
      <c r="V696" s="4"/>
      <c r="W696" s="4"/>
      <c r="X696" s="4"/>
      <c r="Y696" s="128"/>
      <c r="Z696" s="128"/>
      <c r="AA696" s="128"/>
      <c r="AB696" s="4"/>
      <c r="AC696" s="4"/>
      <c r="AD696" s="4"/>
      <c r="AE696" s="4"/>
      <c r="AF696" s="4"/>
      <c r="AG696" s="4"/>
      <c r="AH696" s="4"/>
      <c r="AI696" s="4"/>
      <c r="AJ696" s="246"/>
      <c r="AK696" s="246"/>
      <c r="AL696" s="129"/>
      <c r="AM696" s="129"/>
      <c r="AN696" s="129"/>
      <c r="AO696" s="246"/>
      <c r="AP696" s="246"/>
      <c r="AQ696" s="249"/>
      <c r="AR696" s="4"/>
      <c r="AS696" s="4"/>
      <c r="AT696" s="4"/>
      <c r="AU696" s="4"/>
      <c r="AV696" s="4"/>
      <c r="AW696" s="4"/>
      <c r="AX696" s="4"/>
      <c r="AY696" s="128"/>
      <c r="AZ696" s="4"/>
      <c r="BA696" s="4"/>
      <c r="BB696" s="4"/>
      <c r="BC696" s="4"/>
      <c r="BD696" s="4"/>
      <c r="BE696" s="4"/>
      <c r="BF696" s="4"/>
      <c r="BG696" s="4"/>
      <c r="BH696" s="4"/>
      <c r="BI696" s="567"/>
    </row>
    <row r="697" spans="1:61" ht="12.75" customHeight="1" x14ac:dyDescent="0.25">
      <c r="A697" s="4"/>
      <c r="B697" s="4"/>
      <c r="C697" s="4"/>
      <c r="D697" s="4"/>
      <c r="E697" s="128"/>
      <c r="F697" s="128"/>
      <c r="G697" s="753"/>
      <c r="H697" s="128"/>
      <c r="I697" s="128"/>
      <c r="J697" s="130"/>
      <c r="K697" s="128"/>
      <c r="L697" s="128"/>
      <c r="M697" s="130"/>
      <c r="N697" s="130"/>
      <c r="O697" s="130"/>
      <c r="P697" s="128"/>
      <c r="Q697" s="128"/>
      <c r="R697" s="128"/>
      <c r="S697" s="298"/>
      <c r="T697" s="4"/>
      <c r="U697" s="4"/>
      <c r="V697" s="4"/>
      <c r="W697" s="4"/>
      <c r="X697" s="4"/>
      <c r="Y697" s="128"/>
      <c r="Z697" s="128"/>
      <c r="AA697" s="128"/>
      <c r="AB697" s="4"/>
      <c r="AC697" s="4"/>
      <c r="AD697" s="4"/>
      <c r="AE697" s="4"/>
      <c r="AF697" s="4"/>
      <c r="AG697" s="4"/>
      <c r="AH697" s="4"/>
      <c r="AI697" s="4"/>
      <c r="AJ697" s="246"/>
      <c r="AK697" s="246"/>
      <c r="AL697" s="129"/>
      <c r="AM697" s="129"/>
      <c r="AN697" s="129"/>
      <c r="AO697" s="246"/>
      <c r="AP697" s="246"/>
      <c r="AQ697" s="249"/>
      <c r="AR697" s="4"/>
      <c r="AS697" s="4"/>
      <c r="AT697" s="4"/>
      <c r="AU697" s="4"/>
      <c r="AV697" s="4"/>
      <c r="AW697" s="4"/>
      <c r="AX697" s="4"/>
      <c r="AY697" s="128"/>
      <c r="AZ697" s="4"/>
      <c r="BA697" s="4"/>
      <c r="BB697" s="4"/>
      <c r="BC697" s="4"/>
      <c r="BD697" s="4"/>
      <c r="BE697" s="4"/>
      <c r="BF697" s="4"/>
      <c r="BG697" s="4"/>
      <c r="BH697" s="4"/>
      <c r="BI697" s="567"/>
    </row>
    <row r="698" spans="1:61" ht="12.75" customHeight="1" x14ac:dyDescent="0.25">
      <c r="A698" s="4"/>
      <c r="B698" s="4"/>
      <c r="C698" s="4"/>
      <c r="D698" s="4"/>
      <c r="E698" s="128"/>
      <c r="F698" s="128"/>
      <c r="G698" s="753"/>
      <c r="H698" s="128"/>
      <c r="I698" s="128"/>
      <c r="J698" s="130"/>
      <c r="K698" s="128"/>
      <c r="L698" s="128"/>
      <c r="M698" s="130"/>
      <c r="N698" s="130"/>
      <c r="O698" s="130"/>
      <c r="P698" s="128"/>
      <c r="Q698" s="128"/>
      <c r="R698" s="128"/>
      <c r="S698" s="298"/>
      <c r="T698" s="4"/>
      <c r="U698" s="4"/>
      <c r="V698" s="4"/>
      <c r="W698" s="4"/>
      <c r="X698" s="4"/>
      <c r="Y698" s="128"/>
      <c r="Z698" s="128"/>
      <c r="AA698" s="128"/>
      <c r="AB698" s="4"/>
      <c r="AC698" s="4"/>
      <c r="AD698" s="4"/>
      <c r="AE698" s="4"/>
      <c r="AF698" s="4"/>
      <c r="AG698" s="4"/>
      <c r="AH698" s="4"/>
      <c r="AI698" s="4"/>
      <c r="AJ698" s="246"/>
      <c r="AK698" s="246"/>
      <c r="AL698" s="129"/>
      <c r="AM698" s="129"/>
      <c r="AN698" s="129"/>
      <c r="AO698" s="246"/>
      <c r="AP698" s="246"/>
      <c r="AQ698" s="249"/>
      <c r="AR698" s="4"/>
      <c r="AS698" s="4"/>
      <c r="AT698" s="4"/>
      <c r="AU698" s="4"/>
      <c r="AV698" s="4"/>
      <c r="AW698" s="4"/>
      <c r="AX698" s="4"/>
      <c r="AY698" s="128"/>
      <c r="AZ698" s="4"/>
      <c r="BA698" s="4"/>
      <c r="BB698" s="4"/>
      <c r="BC698" s="4"/>
      <c r="BD698" s="4"/>
      <c r="BE698" s="4"/>
      <c r="BF698" s="4"/>
      <c r="BG698" s="4"/>
      <c r="BH698" s="4"/>
      <c r="BI698" s="567"/>
    </row>
    <row r="699" spans="1:61" ht="12.75" customHeight="1" x14ac:dyDescent="0.25">
      <c r="A699" s="4"/>
      <c r="B699" s="4"/>
      <c r="C699" s="4"/>
      <c r="D699" s="4"/>
      <c r="E699" s="128"/>
      <c r="F699" s="128"/>
      <c r="G699" s="753"/>
      <c r="H699" s="128"/>
      <c r="I699" s="128"/>
      <c r="J699" s="130"/>
      <c r="K699" s="128"/>
      <c r="L699" s="128"/>
      <c r="M699" s="130"/>
      <c r="N699" s="130"/>
      <c r="O699" s="130"/>
      <c r="P699" s="128"/>
      <c r="Q699" s="128"/>
      <c r="R699" s="128"/>
      <c r="S699" s="298"/>
      <c r="T699" s="4"/>
      <c r="U699" s="4"/>
      <c r="V699" s="4"/>
      <c r="W699" s="4"/>
      <c r="X699" s="4"/>
      <c r="Y699" s="128"/>
      <c r="Z699" s="128"/>
      <c r="AA699" s="128"/>
      <c r="AB699" s="4"/>
      <c r="AC699" s="4"/>
      <c r="AD699" s="4"/>
      <c r="AE699" s="4"/>
      <c r="AF699" s="4"/>
      <c r="AG699" s="4"/>
      <c r="AH699" s="4"/>
      <c r="AI699" s="4"/>
      <c r="AJ699" s="246"/>
      <c r="AK699" s="246"/>
      <c r="AL699" s="129"/>
      <c r="AM699" s="129"/>
      <c r="AN699" s="129"/>
      <c r="AO699" s="246"/>
      <c r="AP699" s="246"/>
      <c r="AQ699" s="249"/>
      <c r="AR699" s="4"/>
      <c r="AS699" s="4"/>
      <c r="AT699" s="4"/>
      <c r="AU699" s="4"/>
      <c r="AV699" s="4"/>
      <c r="AW699" s="4"/>
      <c r="AX699" s="4"/>
      <c r="AY699" s="128"/>
      <c r="AZ699" s="4"/>
      <c r="BA699" s="4"/>
      <c r="BB699" s="4"/>
      <c r="BC699" s="4"/>
      <c r="BD699" s="4"/>
      <c r="BE699" s="4"/>
      <c r="BF699" s="4"/>
      <c r="BG699" s="4"/>
      <c r="BH699" s="4"/>
      <c r="BI699" s="567"/>
    </row>
    <row r="700" spans="1:61" ht="12.75" customHeight="1" x14ac:dyDescent="0.25">
      <c r="A700" s="4"/>
      <c r="B700" s="4"/>
      <c r="C700" s="4"/>
      <c r="D700" s="4"/>
      <c r="E700" s="128"/>
      <c r="F700" s="128"/>
      <c r="G700" s="753"/>
      <c r="H700" s="128"/>
      <c r="I700" s="128"/>
      <c r="J700" s="130"/>
      <c r="K700" s="128"/>
      <c r="L700" s="128"/>
      <c r="M700" s="130"/>
      <c r="N700" s="130"/>
      <c r="O700" s="130"/>
      <c r="P700" s="128"/>
      <c r="Q700" s="128"/>
      <c r="R700" s="128"/>
      <c r="S700" s="298"/>
      <c r="T700" s="4"/>
      <c r="U700" s="4"/>
      <c r="V700" s="4"/>
      <c r="W700" s="4"/>
      <c r="X700" s="4"/>
      <c r="Y700" s="128"/>
      <c r="Z700" s="128"/>
      <c r="AA700" s="128"/>
      <c r="AB700" s="4"/>
      <c r="AC700" s="4"/>
      <c r="AD700" s="4"/>
      <c r="AE700" s="4"/>
      <c r="AF700" s="4"/>
      <c r="AG700" s="4"/>
      <c r="AH700" s="4"/>
      <c r="AI700" s="4"/>
      <c r="AJ700" s="246"/>
      <c r="AK700" s="246"/>
      <c r="AL700" s="129"/>
      <c r="AM700" s="129"/>
      <c r="AN700" s="129"/>
      <c r="AO700" s="246"/>
      <c r="AP700" s="246"/>
      <c r="AQ700" s="249"/>
      <c r="AR700" s="4"/>
      <c r="AS700" s="4"/>
      <c r="AT700" s="4"/>
      <c r="AU700" s="4"/>
      <c r="AV700" s="4"/>
      <c r="AW700" s="4"/>
      <c r="AX700" s="4"/>
      <c r="AY700" s="128"/>
      <c r="AZ700" s="4"/>
      <c r="BA700" s="4"/>
      <c r="BB700" s="4"/>
      <c r="BC700" s="4"/>
      <c r="BD700" s="4"/>
      <c r="BE700" s="4"/>
      <c r="BF700" s="4"/>
      <c r="BG700" s="4"/>
      <c r="BH700" s="4"/>
      <c r="BI700" s="567"/>
    </row>
    <row r="701" spans="1:61" ht="12.75" customHeight="1" x14ac:dyDescent="0.25">
      <c r="A701" s="4"/>
      <c r="B701" s="4"/>
      <c r="C701" s="4"/>
      <c r="D701" s="4"/>
      <c r="E701" s="128"/>
      <c r="F701" s="128"/>
      <c r="G701" s="753"/>
      <c r="H701" s="128"/>
      <c r="I701" s="128"/>
      <c r="J701" s="130"/>
      <c r="K701" s="128"/>
      <c r="L701" s="128"/>
      <c r="M701" s="130"/>
      <c r="N701" s="130"/>
      <c r="O701" s="130"/>
      <c r="P701" s="128"/>
      <c r="Q701" s="128"/>
      <c r="R701" s="128"/>
      <c r="S701" s="298"/>
      <c r="T701" s="4"/>
      <c r="U701" s="4"/>
      <c r="V701" s="4"/>
      <c r="W701" s="4"/>
      <c r="X701" s="4"/>
      <c r="Y701" s="128"/>
      <c r="Z701" s="128"/>
      <c r="AA701" s="128"/>
      <c r="AB701" s="4"/>
      <c r="AC701" s="4"/>
      <c r="AD701" s="4"/>
      <c r="AE701" s="4"/>
      <c r="AF701" s="4"/>
      <c r="AG701" s="4"/>
      <c r="AH701" s="4"/>
      <c r="AI701" s="4"/>
      <c r="AJ701" s="246"/>
      <c r="AK701" s="246"/>
      <c r="AL701" s="129"/>
      <c r="AM701" s="129"/>
      <c r="AN701" s="129"/>
      <c r="AO701" s="246"/>
      <c r="AP701" s="246"/>
      <c r="AQ701" s="249"/>
      <c r="AR701" s="4"/>
      <c r="AS701" s="4"/>
      <c r="AT701" s="4"/>
      <c r="AU701" s="4"/>
      <c r="AV701" s="4"/>
      <c r="AW701" s="4"/>
      <c r="AX701" s="4"/>
      <c r="AY701" s="128"/>
      <c r="AZ701" s="4"/>
      <c r="BA701" s="4"/>
      <c r="BB701" s="4"/>
      <c r="BC701" s="4"/>
      <c r="BD701" s="4"/>
      <c r="BE701" s="4"/>
      <c r="BF701" s="4"/>
      <c r="BG701" s="4"/>
      <c r="BH701" s="4"/>
      <c r="BI701" s="567"/>
    </row>
    <row r="702" spans="1:61" ht="12.75" customHeight="1" x14ac:dyDescent="0.25">
      <c r="A702" s="4"/>
      <c r="B702" s="4"/>
      <c r="C702" s="4"/>
      <c r="D702" s="4"/>
      <c r="E702" s="128"/>
      <c r="F702" s="128"/>
      <c r="G702" s="753"/>
      <c r="H702" s="128"/>
      <c r="I702" s="128"/>
      <c r="J702" s="130"/>
      <c r="K702" s="128"/>
      <c r="L702" s="128"/>
      <c r="M702" s="130"/>
      <c r="N702" s="130"/>
      <c r="O702" s="130"/>
      <c r="P702" s="128"/>
      <c r="Q702" s="128"/>
      <c r="R702" s="128"/>
      <c r="S702" s="298"/>
      <c r="T702" s="4"/>
      <c r="U702" s="4"/>
      <c r="V702" s="4"/>
      <c r="W702" s="4"/>
      <c r="X702" s="4"/>
      <c r="Y702" s="128"/>
      <c r="Z702" s="128"/>
      <c r="AA702" s="128"/>
      <c r="AB702" s="4"/>
      <c r="AC702" s="4"/>
      <c r="AD702" s="4"/>
      <c r="AE702" s="4"/>
      <c r="AF702" s="4"/>
      <c r="AG702" s="4"/>
      <c r="AH702" s="4"/>
      <c r="AI702" s="4"/>
      <c r="AJ702" s="246"/>
      <c r="AK702" s="246"/>
      <c r="AL702" s="129"/>
      <c r="AM702" s="129"/>
      <c r="AN702" s="129"/>
      <c r="AO702" s="246"/>
      <c r="AP702" s="246"/>
      <c r="AQ702" s="249"/>
      <c r="AR702" s="4"/>
      <c r="AS702" s="4"/>
      <c r="AT702" s="4"/>
      <c r="AU702" s="4"/>
      <c r="AV702" s="4"/>
      <c r="AW702" s="4"/>
      <c r="AX702" s="4"/>
      <c r="AY702" s="128"/>
      <c r="AZ702" s="4"/>
      <c r="BA702" s="4"/>
      <c r="BB702" s="4"/>
      <c r="BC702" s="4"/>
      <c r="BD702" s="4"/>
      <c r="BE702" s="4"/>
      <c r="BF702" s="4"/>
      <c r="BG702" s="4"/>
      <c r="BH702" s="4"/>
      <c r="BI702" s="567"/>
    </row>
    <row r="703" spans="1:61" ht="12.75" customHeight="1" x14ac:dyDescent="0.25">
      <c r="A703" s="4"/>
      <c r="B703" s="4"/>
      <c r="C703" s="4"/>
      <c r="D703" s="4"/>
      <c r="E703" s="128"/>
      <c r="F703" s="128"/>
      <c r="G703" s="753"/>
      <c r="H703" s="128"/>
      <c r="I703" s="128"/>
      <c r="J703" s="130"/>
      <c r="K703" s="128"/>
      <c r="L703" s="128"/>
      <c r="M703" s="130"/>
      <c r="N703" s="130"/>
      <c r="O703" s="130"/>
      <c r="P703" s="128"/>
      <c r="Q703" s="128"/>
      <c r="R703" s="128"/>
      <c r="S703" s="298"/>
      <c r="T703" s="4"/>
      <c r="U703" s="4"/>
      <c r="V703" s="4"/>
      <c r="W703" s="4"/>
      <c r="X703" s="4"/>
      <c r="Y703" s="128"/>
      <c r="Z703" s="128"/>
      <c r="AA703" s="128"/>
      <c r="AB703" s="4"/>
      <c r="AC703" s="4"/>
      <c r="AD703" s="4"/>
      <c r="AE703" s="4"/>
      <c r="AF703" s="4"/>
      <c r="AG703" s="4"/>
      <c r="AH703" s="4"/>
      <c r="AI703" s="4"/>
      <c r="AJ703" s="246"/>
      <c r="AK703" s="246"/>
      <c r="AL703" s="129"/>
      <c r="AM703" s="129"/>
      <c r="AN703" s="129"/>
      <c r="AO703" s="246"/>
      <c r="AP703" s="246"/>
      <c r="AQ703" s="249"/>
      <c r="AR703" s="4"/>
      <c r="AS703" s="4"/>
      <c r="AT703" s="4"/>
      <c r="AU703" s="4"/>
      <c r="AV703" s="4"/>
      <c r="AW703" s="4"/>
      <c r="AX703" s="4"/>
      <c r="AY703" s="128"/>
      <c r="AZ703" s="4"/>
      <c r="BA703" s="4"/>
      <c r="BB703" s="4"/>
      <c r="BC703" s="4"/>
      <c r="BD703" s="4"/>
      <c r="BE703" s="4"/>
      <c r="BF703" s="4"/>
      <c r="BG703" s="4"/>
      <c r="BH703" s="4"/>
      <c r="BI703" s="567"/>
    </row>
    <row r="704" spans="1:61" ht="12.75" customHeight="1" x14ac:dyDescent="0.25">
      <c r="A704" s="4"/>
      <c r="B704" s="4"/>
      <c r="C704" s="4"/>
      <c r="D704" s="4"/>
      <c r="E704" s="128"/>
      <c r="F704" s="128"/>
      <c r="G704" s="753"/>
      <c r="H704" s="128"/>
      <c r="I704" s="128"/>
      <c r="J704" s="130"/>
      <c r="K704" s="128"/>
      <c r="L704" s="128"/>
      <c r="M704" s="130"/>
      <c r="N704" s="130"/>
      <c r="O704" s="130"/>
      <c r="P704" s="128"/>
      <c r="Q704" s="128"/>
      <c r="R704" s="128"/>
      <c r="S704" s="298"/>
      <c r="T704" s="4"/>
      <c r="U704" s="4"/>
      <c r="V704" s="4"/>
      <c r="W704" s="4"/>
      <c r="X704" s="4"/>
      <c r="Y704" s="128"/>
      <c r="Z704" s="128"/>
      <c r="AA704" s="128"/>
      <c r="AB704" s="4"/>
      <c r="AC704" s="4"/>
      <c r="AD704" s="4"/>
      <c r="AE704" s="4"/>
      <c r="AF704" s="4"/>
      <c r="AG704" s="4"/>
      <c r="AH704" s="4"/>
      <c r="AI704" s="4"/>
      <c r="AJ704" s="246"/>
      <c r="AK704" s="246"/>
      <c r="AL704" s="129"/>
      <c r="AM704" s="129"/>
      <c r="AN704" s="129"/>
      <c r="AO704" s="246"/>
      <c r="AP704" s="246"/>
      <c r="AQ704" s="249"/>
      <c r="AR704" s="4"/>
      <c r="AS704" s="4"/>
      <c r="AT704" s="4"/>
      <c r="AU704" s="4"/>
      <c r="AV704" s="4"/>
      <c r="AW704" s="4"/>
      <c r="AX704" s="4"/>
      <c r="AY704" s="128"/>
      <c r="AZ704" s="4"/>
      <c r="BA704" s="4"/>
      <c r="BB704" s="4"/>
      <c r="BC704" s="4"/>
      <c r="BD704" s="4"/>
      <c r="BE704" s="4"/>
      <c r="BF704" s="4"/>
      <c r="BG704" s="4"/>
      <c r="BH704" s="4"/>
      <c r="BI704" s="567"/>
    </row>
    <row r="705" spans="1:61" ht="12.75" customHeight="1" x14ac:dyDescent="0.25">
      <c r="A705" s="4"/>
      <c r="B705" s="4"/>
      <c r="C705" s="4"/>
      <c r="D705" s="4"/>
      <c r="E705" s="128"/>
      <c r="F705" s="128"/>
      <c r="G705" s="753"/>
      <c r="H705" s="128"/>
      <c r="I705" s="128"/>
      <c r="J705" s="130"/>
      <c r="K705" s="128"/>
      <c r="L705" s="128"/>
      <c r="M705" s="130"/>
      <c r="N705" s="130"/>
      <c r="O705" s="130"/>
      <c r="P705" s="128"/>
      <c r="Q705" s="128"/>
      <c r="R705" s="128"/>
      <c r="S705" s="298"/>
      <c r="T705" s="4"/>
      <c r="U705" s="4"/>
      <c r="V705" s="4"/>
      <c r="W705" s="4"/>
      <c r="X705" s="4"/>
      <c r="Y705" s="128"/>
      <c r="Z705" s="128"/>
      <c r="AA705" s="128"/>
      <c r="AB705" s="4"/>
      <c r="AC705" s="4"/>
      <c r="AD705" s="4"/>
      <c r="AE705" s="4"/>
      <c r="AF705" s="4"/>
      <c r="AG705" s="4"/>
      <c r="AH705" s="4"/>
      <c r="AI705" s="4"/>
      <c r="AJ705" s="246"/>
      <c r="AK705" s="246"/>
      <c r="AL705" s="129"/>
      <c r="AM705" s="129"/>
      <c r="AN705" s="129"/>
      <c r="AO705" s="246"/>
      <c r="AP705" s="246"/>
      <c r="AQ705" s="249"/>
      <c r="AR705" s="4"/>
      <c r="AS705" s="4"/>
      <c r="AT705" s="4"/>
      <c r="AU705" s="4"/>
      <c r="AV705" s="4"/>
      <c r="AW705" s="4"/>
      <c r="AX705" s="4"/>
      <c r="AY705" s="128"/>
      <c r="AZ705" s="4"/>
      <c r="BA705" s="4"/>
      <c r="BB705" s="4"/>
      <c r="BC705" s="4"/>
      <c r="BD705" s="4"/>
      <c r="BE705" s="4"/>
      <c r="BF705" s="4"/>
      <c r="BG705" s="4"/>
      <c r="BH705" s="4"/>
      <c r="BI705" s="567"/>
    </row>
    <row r="706" spans="1:61" ht="12.75" customHeight="1" x14ac:dyDescent="0.25">
      <c r="A706" s="4"/>
      <c r="B706" s="4"/>
      <c r="C706" s="4"/>
      <c r="D706" s="4"/>
      <c r="E706" s="128"/>
      <c r="F706" s="128"/>
      <c r="G706" s="753"/>
      <c r="H706" s="128"/>
      <c r="I706" s="128"/>
      <c r="J706" s="130"/>
      <c r="K706" s="128"/>
      <c r="L706" s="128"/>
      <c r="M706" s="130"/>
      <c r="N706" s="130"/>
      <c r="O706" s="130"/>
      <c r="P706" s="128"/>
      <c r="Q706" s="128"/>
      <c r="R706" s="128"/>
      <c r="S706" s="298"/>
      <c r="T706" s="4"/>
      <c r="U706" s="4"/>
      <c r="V706" s="4"/>
      <c r="W706" s="4"/>
      <c r="X706" s="4"/>
      <c r="Y706" s="128"/>
      <c r="Z706" s="128"/>
      <c r="AA706" s="128"/>
      <c r="AB706" s="4"/>
      <c r="AC706" s="4"/>
      <c r="AD706" s="4"/>
      <c r="AE706" s="4"/>
      <c r="AF706" s="4"/>
      <c r="AG706" s="4"/>
      <c r="AH706" s="4"/>
      <c r="AI706" s="4"/>
      <c r="AJ706" s="246"/>
      <c r="AK706" s="246"/>
      <c r="AL706" s="129"/>
      <c r="AM706" s="129"/>
      <c r="AN706" s="129"/>
      <c r="AO706" s="246"/>
      <c r="AP706" s="246"/>
      <c r="AQ706" s="249"/>
      <c r="AR706" s="4"/>
      <c r="AS706" s="4"/>
      <c r="AT706" s="4"/>
      <c r="AU706" s="4"/>
      <c r="AV706" s="4"/>
      <c r="AW706" s="4"/>
      <c r="AX706" s="4"/>
      <c r="AY706" s="128"/>
      <c r="AZ706" s="4"/>
      <c r="BA706" s="4"/>
      <c r="BB706" s="4"/>
      <c r="BC706" s="4"/>
      <c r="BD706" s="4"/>
      <c r="BE706" s="4"/>
      <c r="BF706" s="4"/>
      <c r="BG706" s="4"/>
      <c r="BH706" s="4"/>
      <c r="BI706" s="567"/>
    </row>
    <row r="707" spans="1:61" ht="12.75" customHeight="1" x14ac:dyDescent="0.25">
      <c r="A707" s="4"/>
      <c r="B707" s="4"/>
      <c r="C707" s="4"/>
      <c r="D707" s="4"/>
      <c r="E707" s="128"/>
      <c r="F707" s="128"/>
      <c r="G707" s="753"/>
      <c r="H707" s="128"/>
      <c r="I707" s="128"/>
      <c r="J707" s="130"/>
      <c r="K707" s="128"/>
      <c r="L707" s="128"/>
      <c r="M707" s="130"/>
      <c r="N707" s="130"/>
      <c r="O707" s="130"/>
      <c r="P707" s="128"/>
      <c r="Q707" s="128"/>
      <c r="R707" s="128"/>
      <c r="S707" s="298"/>
      <c r="T707" s="4"/>
      <c r="U707" s="4"/>
      <c r="V707" s="4"/>
      <c r="W707" s="4"/>
      <c r="X707" s="4"/>
      <c r="Y707" s="128"/>
      <c r="Z707" s="128"/>
      <c r="AA707" s="128"/>
      <c r="AB707" s="4"/>
      <c r="AC707" s="4"/>
      <c r="AD707" s="4"/>
      <c r="AE707" s="4"/>
      <c r="AF707" s="4"/>
      <c r="AG707" s="4"/>
      <c r="AH707" s="4"/>
      <c r="AI707" s="4"/>
      <c r="AJ707" s="246"/>
      <c r="AK707" s="246"/>
      <c r="AL707" s="129"/>
      <c r="AM707" s="129"/>
      <c r="AN707" s="129"/>
      <c r="AO707" s="246"/>
      <c r="AP707" s="246"/>
      <c r="AQ707" s="249"/>
      <c r="AR707" s="4"/>
      <c r="AS707" s="4"/>
      <c r="AT707" s="4"/>
      <c r="AU707" s="4"/>
      <c r="AV707" s="4"/>
      <c r="AW707" s="4"/>
      <c r="AX707" s="4"/>
      <c r="AY707" s="128"/>
      <c r="AZ707" s="4"/>
      <c r="BA707" s="4"/>
      <c r="BB707" s="4"/>
      <c r="BC707" s="4"/>
      <c r="BD707" s="4"/>
      <c r="BE707" s="4"/>
      <c r="BF707" s="4"/>
      <c r="BG707" s="4"/>
      <c r="BH707" s="4"/>
      <c r="BI707" s="567"/>
    </row>
    <row r="708" spans="1:61" ht="12.75" customHeight="1" x14ac:dyDescent="0.25">
      <c r="A708" s="4"/>
      <c r="B708" s="4"/>
      <c r="C708" s="4"/>
      <c r="D708" s="4"/>
      <c r="E708" s="128"/>
      <c r="F708" s="128"/>
      <c r="G708" s="753"/>
      <c r="H708" s="128"/>
      <c r="I708" s="128"/>
      <c r="J708" s="130"/>
      <c r="K708" s="128"/>
      <c r="L708" s="128"/>
      <c r="M708" s="130"/>
      <c r="N708" s="130"/>
      <c r="O708" s="130"/>
      <c r="P708" s="128"/>
      <c r="Q708" s="128"/>
      <c r="R708" s="128"/>
      <c r="S708" s="298"/>
      <c r="T708" s="4"/>
      <c r="U708" s="4"/>
      <c r="V708" s="4"/>
      <c r="W708" s="4"/>
      <c r="X708" s="4"/>
      <c r="Y708" s="128"/>
      <c r="Z708" s="128"/>
      <c r="AA708" s="128"/>
      <c r="AB708" s="4"/>
      <c r="AC708" s="4"/>
      <c r="AD708" s="4"/>
      <c r="AE708" s="4"/>
      <c r="AF708" s="4"/>
      <c r="AG708" s="4"/>
      <c r="AH708" s="4"/>
      <c r="AI708" s="4"/>
      <c r="AJ708" s="246"/>
      <c r="AK708" s="246"/>
      <c r="AL708" s="129"/>
      <c r="AM708" s="129"/>
      <c r="AN708" s="129"/>
      <c r="AO708" s="246"/>
      <c r="AP708" s="246"/>
      <c r="AQ708" s="249"/>
      <c r="AR708" s="4"/>
      <c r="AS708" s="4"/>
      <c r="AT708" s="4"/>
      <c r="AU708" s="4"/>
      <c r="AV708" s="4"/>
      <c r="AW708" s="4"/>
      <c r="AX708" s="4"/>
      <c r="AY708" s="128"/>
      <c r="AZ708" s="4"/>
      <c r="BA708" s="4"/>
      <c r="BB708" s="4"/>
      <c r="BC708" s="4"/>
      <c r="BD708" s="4"/>
      <c r="BE708" s="4"/>
      <c r="BF708" s="4"/>
      <c r="BG708" s="4"/>
      <c r="BH708" s="4"/>
      <c r="BI708" s="567"/>
    </row>
    <row r="709" spans="1:61" ht="12.75" customHeight="1" x14ac:dyDescent="0.25">
      <c r="A709" s="4"/>
      <c r="B709" s="4"/>
      <c r="C709" s="4"/>
      <c r="D709" s="4"/>
      <c r="E709" s="128"/>
      <c r="F709" s="128"/>
      <c r="G709" s="753"/>
      <c r="H709" s="128"/>
      <c r="I709" s="128"/>
      <c r="J709" s="130"/>
      <c r="K709" s="128"/>
      <c r="L709" s="128"/>
      <c r="M709" s="130"/>
      <c r="N709" s="130"/>
      <c r="O709" s="130"/>
      <c r="P709" s="128"/>
      <c r="Q709" s="128"/>
      <c r="R709" s="128"/>
      <c r="S709" s="298"/>
      <c r="T709" s="4"/>
      <c r="U709" s="4"/>
      <c r="V709" s="4"/>
      <c r="W709" s="4"/>
      <c r="X709" s="4"/>
      <c r="Y709" s="128"/>
      <c r="Z709" s="128"/>
      <c r="AA709" s="128"/>
      <c r="AB709" s="4"/>
      <c r="AC709" s="4"/>
      <c r="AD709" s="4"/>
      <c r="AE709" s="4"/>
      <c r="AF709" s="4"/>
      <c r="AG709" s="4"/>
      <c r="AH709" s="4"/>
      <c r="AI709" s="4"/>
      <c r="AJ709" s="246"/>
      <c r="AK709" s="246"/>
      <c r="AL709" s="129"/>
      <c r="AM709" s="129"/>
      <c r="AN709" s="129"/>
      <c r="AO709" s="246"/>
      <c r="AP709" s="246"/>
      <c r="AQ709" s="249"/>
      <c r="AR709" s="4"/>
      <c r="AS709" s="4"/>
      <c r="AT709" s="4"/>
      <c r="AU709" s="4"/>
      <c r="AV709" s="4"/>
      <c r="AW709" s="4"/>
      <c r="AX709" s="4"/>
      <c r="AY709" s="128"/>
      <c r="AZ709" s="4"/>
      <c r="BA709" s="4"/>
      <c r="BB709" s="4"/>
      <c r="BC709" s="4"/>
      <c r="BD709" s="4"/>
      <c r="BE709" s="4"/>
      <c r="BF709" s="4"/>
      <c r="BG709" s="4"/>
      <c r="BH709" s="4"/>
      <c r="BI709" s="567"/>
    </row>
    <row r="710" spans="1:61" ht="12.75" customHeight="1" x14ac:dyDescent="0.25">
      <c r="A710" s="4"/>
      <c r="B710" s="4"/>
      <c r="C710" s="4"/>
      <c r="D710" s="4"/>
      <c r="E710" s="128"/>
      <c r="F710" s="128"/>
      <c r="G710" s="753"/>
      <c r="H710" s="128"/>
      <c r="I710" s="128"/>
      <c r="J710" s="130"/>
      <c r="K710" s="128"/>
      <c r="L710" s="128"/>
      <c r="M710" s="130"/>
      <c r="N710" s="130"/>
      <c r="O710" s="130"/>
      <c r="P710" s="128"/>
      <c r="Q710" s="128"/>
      <c r="R710" s="128"/>
      <c r="S710" s="298"/>
      <c r="T710" s="4"/>
      <c r="U710" s="4"/>
      <c r="V710" s="4"/>
      <c r="W710" s="4"/>
      <c r="X710" s="4"/>
      <c r="Y710" s="128"/>
      <c r="Z710" s="128"/>
      <c r="AA710" s="128"/>
      <c r="AB710" s="4"/>
      <c r="AC710" s="4"/>
      <c r="AD710" s="4"/>
      <c r="AE710" s="4"/>
      <c r="AF710" s="4"/>
      <c r="AG710" s="4"/>
      <c r="AH710" s="4"/>
      <c r="AI710" s="4"/>
      <c r="AJ710" s="246"/>
      <c r="AK710" s="246"/>
      <c r="AL710" s="129"/>
      <c r="AM710" s="129"/>
      <c r="AN710" s="129"/>
      <c r="AO710" s="246"/>
      <c r="AP710" s="246"/>
      <c r="AQ710" s="249"/>
      <c r="AR710" s="4"/>
      <c r="AS710" s="4"/>
      <c r="AT710" s="4"/>
      <c r="AU710" s="4"/>
      <c r="AV710" s="4"/>
      <c r="AW710" s="4"/>
      <c r="AX710" s="4"/>
      <c r="AY710" s="128"/>
      <c r="AZ710" s="4"/>
      <c r="BA710" s="4"/>
      <c r="BB710" s="4"/>
      <c r="BC710" s="4"/>
      <c r="BD710" s="4"/>
      <c r="BE710" s="4"/>
      <c r="BF710" s="4"/>
      <c r="BG710" s="4"/>
      <c r="BH710" s="4"/>
      <c r="BI710" s="567"/>
    </row>
    <row r="711" spans="1:61" ht="12.75" customHeight="1" x14ac:dyDescent="0.25">
      <c r="A711" s="4"/>
      <c r="B711" s="4"/>
      <c r="C711" s="4"/>
      <c r="D711" s="4"/>
      <c r="E711" s="128"/>
      <c r="F711" s="128"/>
      <c r="G711" s="753"/>
      <c r="H711" s="128"/>
      <c r="I711" s="128"/>
      <c r="J711" s="130"/>
      <c r="K711" s="128"/>
      <c r="L711" s="128"/>
      <c r="M711" s="130"/>
      <c r="N711" s="130"/>
      <c r="O711" s="130"/>
      <c r="P711" s="128"/>
      <c r="Q711" s="128"/>
      <c r="R711" s="128"/>
      <c r="S711" s="298"/>
      <c r="T711" s="4"/>
      <c r="U711" s="4"/>
      <c r="V711" s="4"/>
      <c r="W711" s="4"/>
      <c r="X711" s="4"/>
      <c r="Y711" s="128"/>
      <c r="Z711" s="128"/>
      <c r="AA711" s="128"/>
      <c r="AB711" s="4"/>
      <c r="AC711" s="4"/>
      <c r="AD711" s="4"/>
      <c r="AE711" s="4"/>
      <c r="AF711" s="4"/>
      <c r="AG711" s="4"/>
      <c r="AH711" s="4"/>
      <c r="AI711" s="4"/>
      <c r="AJ711" s="246"/>
      <c r="AK711" s="246"/>
      <c r="AL711" s="129"/>
      <c r="AM711" s="129"/>
      <c r="AN711" s="129"/>
      <c r="AO711" s="246"/>
      <c r="AP711" s="246"/>
      <c r="AQ711" s="249"/>
      <c r="AR711" s="4"/>
      <c r="AS711" s="4"/>
      <c r="AT711" s="4"/>
      <c r="AU711" s="4"/>
      <c r="AV711" s="4"/>
      <c r="AW711" s="4"/>
      <c r="AX711" s="4"/>
      <c r="AY711" s="128"/>
      <c r="AZ711" s="4"/>
      <c r="BA711" s="4"/>
      <c r="BB711" s="4"/>
      <c r="BC711" s="4"/>
      <c r="BD711" s="4"/>
      <c r="BE711" s="4"/>
      <c r="BF711" s="4"/>
      <c r="BG711" s="4"/>
      <c r="BH711" s="4"/>
      <c r="BI711" s="567"/>
    </row>
    <row r="712" spans="1:61" ht="12.75" customHeight="1" x14ac:dyDescent="0.25">
      <c r="A712" s="4"/>
      <c r="B712" s="4"/>
      <c r="C712" s="4"/>
      <c r="D712" s="4"/>
      <c r="E712" s="128"/>
      <c r="F712" s="128"/>
      <c r="G712" s="753"/>
      <c r="H712" s="128"/>
      <c r="I712" s="128"/>
      <c r="J712" s="130"/>
      <c r="K712" s="128"/>
      <c r="L712" s="128"/>
      <c r="M712" s="130"/>
      <c r="N712" s="130"/>
      <c r="O712" s="130"/>
      <c r="P712" s="128"/>
      <c r="Q712" s="128"/>
      <c r="R712" s="128"/>
      <c r="S712" s="298"/>
      <c r="T712" s="4"/>
      <c r="U712" s="4"/>
      <c r="V712" s="4"/>
      <c r="W712" s="4"/>
      <c r="X712" s="4"/>
      <c r="Y712" s="128"/>
      <c r="Z712" s="128"/>
      <c r="AA712" s="128"/>
      <c r="AB712" s="4"/>
      <c r="AC712" s="4"/>
      <c r="AD712" s="4"/>
      <c r="AE712" s="4"/>
      <c r="AF712" s="4"/>
      <c r="AG712" s="4"/>
      <c r="AH712" s="4"/>
      <c r="AI712" s="4"/>
      <c r="AJ712" s="246"/>
      <c r="AK712" s="246"/>
      <c r="AL712" s="129"/>
      <c r="AM712" s="129"/>
      <c r="AN712" s="129"/>
      <c r="AO712" s="246"/>
      <c r="AP712" s="246"/>
      <c r="AQ712" s="249"/>
      <c r="AR712" s="4"/>
      <c r="AS712" s="4"/>
      <c r="AT712" s="4"/>
      <c r="AU712" s="4"/>
      <c r="AV712" s="4"/>
      <c r="AW712" s="4"/>
      <c r="AX712" s="4"/>
      <c r="AY712" s="128"/>
      <c r="AZ712" s="4"/>
      <c r="BA712" s="4"/>
      <c r="BB712" s="4"/>
      <c r="BC712" s="4"/>
      <c r="BD712" s="4"/>
      <c r="BE712" s="4"/>
      <c r="BF712" s="4"/>
      <c r="BG712" s="4"/>
      <c r="BH712" s="4"/>
      <c r="BI712" s="567"/>
    </row>
    <row r="713" spans="1:61" ht="12.75" customHeight="1" x14ac:dyDescent="0.25">
      <c r="A713" s="4"/>
      <c r="B713" s="4"/>
      <c r="C713" s="4"/>
      <c r="D713" s="4"/>
      <c r="E713" s="128"/>
      <c r="F713" s="128"/>
      <c r="G713" s="753"/>
      <c r="H713" s="128"/>
      <c r="I713" s="128"/>
      <c r="J713" s="130"/>
      <c r="K713" s="128"/>
      <c r="L713" s="128"/>
      <c r="M713" s="130"/>
      <c r="N713" s="130"/>
      <c r="O713" s="130"/>
      <c r="P713" s="128"/>
      <c r="Q713" s="128"/>
      <c r="R713" s="128"/>
      <c r="S713" s="298"/>
      <c r="T713" s="4"/>
      <c r="U713" s="4"/>
      <c r="V713" s="4"/>
      <c r="W713" s="4"/>
      <c r="X713" s="4"/>
      <c r="Y713" s="128"/>
      <c r="Z713" s="128"/>
      <c r="AA713" s="128"/>
      <c r="AB713" s="4"/>
      <c r="AC713" s="4"/>
      <c r="AD713" s="4"/>
      <c r="AE713" s="4"/>
      <c r="AF713" s="4"/>
      <c r="AG713" s="4"/>
      <c r="AH713" s="4"/>
      <c r="AI713" s="4"/>
      <c r="AJ713" s="246"/>
      <c r="AK713" s="246"/>
      <c r="AL713" s="129"/>
      <c r="AM713" s="129"/>
      <c r="AN713" s="129"/>
      <c r="AO713" s="246"/>
      <c r="AP713" s="246"/>
      <c r="AQ713" s="249"/>
      <c r="AR713" s="4"/>
      <c r="AS713" s="4"/>
      <c r="AT713" s="4"/>
      <c r="AU713" s="4"/>
      <c r="AV713" s="4"/>
      <c r="AW713" s="4"/>
      <c r="AX713" s="4"/>
      <c r="AY713" s="128"/>
      <c r="AZ713" s="4"/>
      <c r="BA713" s="4"/>
      <c r="BB713" s="4"/>
      <c r="BC713" s="4"/>
      <c r="BD713" s="4"/>
      <c r="BE713" s="4"/>
      <c r="BF713" s="4"/>
      <c r="BG713" s="4"/>
      <c r="BH713" s="4"/>
      <c r="BI713" s="567"/>
    </row>
    <row r="714" spans="1:61" ht="12.75" customHeight="1" x14ac:dyDescent="0.25">
      <c r="A714" s="4"/>
      <c r="B714" s="4"/>
      <c r="C714" s="4"/>
      <c r="D714" s="4"/>
      <c r="E714" s="128"/>
      <c r="F714" s="128"/>
      <c r="G714" s="753"/>
      <c r="H714" s="128"/>
      <c r="I714" s="128"/>
      <c r="J714" s="130"/>
      <c r="K714" s="128"/>
      <c r="L714" s="128"/>
      <c r="M714" s="130"/>
      <c r="N714" s="130"/>
      <c r="O714" s="130"/>
      <c r="P714" s="128"/>
      <c r="Q714" s="128"/>
      <c r="R714" s="128"/>
      <c r="S714" s="298"/>
      <c r="T714" s="4"/>
      <c r="U714" s="4"/>
      <c r="V714" s="4"/>
      <c r="W714" s="4"/>
      <c r="X714" s="4"/>
      <c r="Y714" s="128"/>
      <c r="Z714" s="128"/>
      <c r="AA714" s="128"/>
      <c r="AB714" s="4"/>
      <c r="AC714" s="4"/>
      <c r="AD714" s="4"/>
      <c r="AE714" s="4"/>
      <c r="AF714" s="4"/>
      <c r="AG714" s="4"/>
      <c r="AH714" s="4"/>
      <c r="AI714" s="4"/>
      <c r="AJ714" s="246"/>
      <c r="AK714" s="246"/>
      <c r="AL714" s="129"/>
      <c r="AM714" s="129"/>
      <c r="AN714" s="129"/>
      <c r="AO714" s="246"/>
      <c r="AP714" s="246"/>
      <c r="AQ714" s="249"/>
      <c r="AR714" s="4"/>
      <c r="AS714" s="4"/>
      <c r="AT714" s="4"/>
      <c r="AU714" s="4"/>
      <c r="AV714" s="4"/>
      <c r="AW714" s="4"/>
      <c r="AX714" s="4"/>
      <c r="AY714" s="128"/>
      <c r="AZ714" s="4"/>
      <c r="BA714" s="4"/>
      <c r="BB714" s="4"/>
      <c r="BC714" s="4"/>
      <c r="BD714" s="4"/>
      <c r="BE714" s="4"/>
      <c r="BF714" s="4"/>
      <c r="BG714" s="4"/>
      <c r="BH714" s="4"/>
      <c r="BI714" s="567"/>
    </row>
    <row r="715" spans="1:61" ht="12.75" customHeight="1" x14ac:dyDescent="0.25">
      <c r="A715" s="4"/>
      <c r="B715" s="4"/>
      <c r="C715" s="4"/>
      <c r="D715" s="4"/>
      <c r="E715" s="128"/>
      <c r="F715" s="128"/>
      <c r="G715" s="753"/>
      <c r="H715" s="128"/>
      <c r="I715" s="128"/>
      <c r="J715" s="130"/>
      <c r="K715" s="128"/>
      <c r="L715" s="128"/>
      <c r="M715" s="130"/>
      <c r="N715" s="130"/>
      <c r="O715" s="130"/>
      <c r="P715" s="128"/>
      <c r="Q715" s="128"/>
      <c r="R715" s="128"/>
      <c r="S715" s="298"/>
      <c r="T715" s="4"/>
      <c r="U715" s="4"/>
      <c r="V715" s="4"/>
      <c r="W715" s="4"/>
      <c r="X715" s="4"/>
      <c r="Y715" s="128"/>
      <c r="Z715" s="128"/>
      <c r="AA715" s="128"/>
      <c r="AB715" s="4"/>
      <c r="AC715" s="4"/>
      <c r="AD715" s="4"/>
      <c r="AE715" s="4"/>
      <c r="AF715" s="4"/>
      <c r="AG715" s="4"/>
      <c r="AH715" s="4"/>
      <c r="AI715" s="4"/>
      <c r="AJ715" s="246"/>
      <c r="AK715" s="246"/>
      <c r="AL715" s="129"/>
      <c r="AM715" s="129"/>
      <c r="AN715" s="129"/>
      <c r="AO715" s="246"/>
      <c r="AP715" s="246"/>
      <c r="AQ715" s="249"/>
      <c r="AR715" s="4"/>
      <c r="AS715" s="4"/>
      <c r="AT715" s="4"/>
      <c r="AU715" s="4"/>
      <c r="AV715" s="4"/>
      <c r="AW715" s="4"/>
      <c r="AX715" s="4"/>
      <c r="AY715" s="128"/>
      <c r="AZ715" s="4"/>
      <c r="BA715" s="4"/>
      <c r="BB715" s="4"/>
      <c r="BC715" s="4"/>
      <c r="BD715" s="4"/>
      <c r="BE715" s="4"/>
      <c r="BF715" s="4"/>
      <c r="BG715" s="4"/>
      <c r="BH715" s="4"/>
      <c r="BI715" s="567"/>
    </row>
    <row r="716" spans="1:61" ht="12.75" customHeight="1" x14ac:dyDescent="0.25">
      <c r="A716" s="4"/>
      <c r="B716" s="4"/>
      <c r="C716" s="4"/>
      <c r="D716" s="4"/>
      <c r="E716" s="128"/>
      <c r="F716" s="128"/>
      <c r="G716" s="753"/>
      <c r="H716" s="128"/>
      <c r="I716" s="128"/>
      <c r="J716" s="130"/>
      <c r="K716" s="128"/>
      <c r="L716" s="128"/>
      <c r="M716" s="130"/>
      <c r="N716" s="130"/>
      <c r="O716" s="130"/>
      <c r="P716" s="128"/>
      <c r="Q716" s="128"/>
      <c r="R716" s="128"/>
      <c r="S716" s="298"/>
      <c r="T716" s="4"/>
      <c r="U716" s="4"/>
      <c r="V716" s="4"/>
      <c r="W716" s="4"/>
      <c r="X716" s="4"/>
      <c r="Y716" s="128"/>
      <c r="Z716" s="128"/>
      <c r="AA716" s="128"/>
      <c r="AB716" s="4"/>
      <c r="AC716" s="4"/>
      <c r="AD716" s="4"/>
      <c r="AE716" s="4"/>
      <c r="AF716" s="4"/>
      <c r="AG716" s="4"/>
      <c r="AH716" s="4"/>
      <c r="AI716" s="4"/>
      <c r="AJ716" s="246"/>
      <c r="AK716" s="246"/>
      <c r="AL716" s="129"/>
      <c r="AM716" s="129"/>
      <c r="AN716" s="129"/>
      <c r="AO716" s="246"/>
      <c r="AP716" s="246"/>
      <c r="AQ716" s="249"/>
      <c r="AR716" s="4"/>
      <c r="AS716" s="4"/>
      <c r="AT716" s="4"/>
      <c r="AU716" s="4"/>
      <c r="AV716" s="4"/>
      <c r="AW716" s="4"/>
      <c r="AX716" s="4"/>
      <c r="AY716" s="128"/>
      <c r="AZ716" s="4"/>
      <c r="BA716" s="4"/>
      <c r="BB716" s="4"/>
      <c r="BC716" s="4"/>
      <c r="BD716" s="4"/>
      <c r="BE716" s="4"/>
      <c r="BF716" s="4"/>
      <c r="BG716" s="4"/>
      <c r="BH716" s="4"/>
      <c r="BI716" s="567"/>
    </row>
    <row r="717" spans="1:61" ht="12.75" customHeight="1" x14ac:dyDescent="0.25">
      <c r="A717" s="4"/>
      <c r="B717" s="4"/>
      <c r="C717" s="4"/>
      <c r="D717" s="4"/>
      <c r="E717" s="128"/>
      <c r="F717" s="128"/>
      <c r="G717" s="753"/>
      <c r="H717" s="128"/>
      <c r="I717" s="128"/>
      <c r="J717" s="130"/>
      <c r="K717" s="128"/>
      <c r="L717" s="128"/>
      <c r="M717" s="130"/>
      <c r="N717" s="130"/>
      <c r="O717" s="130"/>
      <c r="P717" s="128"/>
      <c r="Q717" s="128"/>
      <c r="R717" s="128"/>
      <c r="S717" s="298"/>
      <c r="T717" s="4"/>
      <c r="U717" s="4"/>
      <c r="V717" s="4"/>
      <c r="W717" s="4"/>
      <c r="X717" s="4"/>
      <c r="Y717" s="128"/>
      <c r="Z717" s="128"/>
      <c r="AA717" s="128"/>
      <c r="AB717" s="4"/>
      <c r="AC717" s="4"/>
      <c r="AD717" s="4"/>
      <c r="AE717" s="4"/>
      <c r="AF717" s="4"/>
      <c r="AG717" s="4"/>
      <c r="AH717" s="4"/>
      <c r="AI717" s="4"/>
      <c r="AJ717" s="246"/>
      <c r="AK717" s="246"/>
      <c r="AL717" s="129"/>
      <c r="AM717" s="129"/>
      <c r="AN717" s="129"/>
      <c r="AO717" s="246"/>
      <c r="AP717" s="246"/>
      <c r="AQ717" s="249"/>
      <c r="AR717" s="4"/>
      <c r="AS717" s="4"/>
      <c r="AT717" s="4"/>
      <c r="AU717" s="4"/>
      <c r="AV717" s="4"/>
      <c r="AW717" s="4"/>
      <c r="AX717" s="4"/>
      <c r="AY717" s="128"/>
      <c r="AZ717" s="4"/>
      <c r="BA717" s="4"/>
      <c r="BB717" s="4"/>
      <c r="BC717" s="4"/>
      <c r="BD717" s="4"/>
      <c r="BE717" s="4"/>
      <c r="BF717" s="4"/>
      <c r="BG717" s="4"/>
      <c r="BH717" s="4"/>
      <c r="BI717" s="567"/>
    </row>
    <row r="718" spans="1:61" ht="12.75" customHeight="1" x14ac:dyDescent="0.25">
      <c r="A718" s="4"/>
      <c r="B718" s="4"/>
      <c r="C718" s="4"/>
      <c r="D718" s="4"/>
      <c r="E718" s="128"/>
      <c r="F718" s="128"/>
      <c r="G718" s="753"/>
      <c r="H718" s="128"/>
      <c r="I718" s="128"/>
      <c r="J718" s="130"/>
      <c r="K718" s="128"/>
      <c r="L718" s="128"/>
      <c r="M718" s="130"/>
      <c r="N718" s="130"/>
      <c r="O718" s="130"/>
      <c r="P718" s="128"/>
      <c r="Q718" s="128"/>
      <c r="R718" s="128"/>
      <c r="S718" s="298"/>
      <c r="T718" s="4"/>
      <c r="U718" s="4"/>
      <c r="V718" s="4"/>
      <c r="W718" s="4"/>
      <c r="X718" s="4"/>
      <c r="Y718" s="128"/>
      <c r="Z718" s="128"/>
      <c r="AA718" s="128"/>
      <c r="AB718" s="4"/>
      <c r="AC718" s="4"/>
      <c r="AD718" s="4"/>
      <c r="AE718" s="4"/>
      <c r="AF718" s="4"/>
      <c r="AG718" s="4"/>
      <c r="AH718" s="4"/>
      <c r="AI718" s="4"/>
      <c r="AJ718" s="246"/>
      <c r="AK718" s="246"/>
      <c r="AL718" s="129"/>
      <c r="AM718" s="129"/>
      <c r="AN718" s="129"/>
      <c r="AO718" s="246"/>
      <c r="AP718" s="246"/>
      <c r="AQ718" s="249"/>
      <c r="AR718" s="4"/>
      <c r="AS718" s="4"/>
      <c r="AT718" s="4"/>
      <c r="AU718" s="4"/>
      <c r="AV718" s="4"/>
      <c r="AW718" s="4"/>
      <c r="AX718" s="4"/>
      <c r="AY718" s="128"/>
      <c r="AZ718" s="4"/>
      <c r="BA718" s="4"/>
      <c r="BB718" s="4"/>
      <c r="BC718" s="4"/>
      <c r="BD718" s="4"/>
      <c r="BE718" s="4"/>
      <c r="BF718" s="4"/>
      <c r="BG718" s="4"/>
      <c r="BH718" s="4"/>
      <c r="BI718" s="567"/>
    </row>
    <row r="719" spans="1:61" ht="12.75" customHeight="1" x14ac:dyDescent="0.25">
      <c r="A719" s="4"/>
      <c r="B719" s="4"/>
      <c r="C719" s="4"/>
      <c r="D719" s="4"/>
      <c r="E719" s="128"/>
      <c r="F719" s="128"/>
      <c r="G719" s="753"/>
      <c r="H719" s="128"/>
      <c r="I719" s="128"/>
      <c r="J719" s="130"/>
      <c r="K719" s="128"/>
      <c r="L719" s="128"/>
      <c r="M719" s="130"/>
      <c r="N719" s="130"/>
      <c r="O719" s="130"/>
      <c r="P719" s="128"/>
      <c r="Q719" s="128"/>
      <c r="R719" s="128"/>
      <c r="S719" s="298"/>
      <c r="T719" s="4"/>
      <c r="U719" s="4"/>
      <c r="V719" s="4"/>
      <c r="W719" s="4"/>
      <c r="X719" s="4"/>
      <c r="Y719" s="128"/>
      <c r="Z719" s="128"/>
      <c r="AA719" s="128"/>
      <c r="AB719" s="4"/>
      <c r="AC719" s="4"/>
      <c r="AD719" s="4"/>
      <c r="AE719" s="4"/>
      <c r="AF719" s="4"/>
      <c r="AG719" s="4"/>
      <c r="AH719" s="4"/>
      <c r="AI719" s="4"/>
      <c r="AJ719" s="246"/>
      <c r="AK719" s="246"/>
      <c r="AL719" s="129"/>
      <c r="AM719" s="129"/>
      <c r="AN719" s="129"/>
      <c r="AO719" s="246"/>
      <c r="AP719" s="246"/>
      <c r="AQ719" s="249"/>
      <c r="AR719" s="4"/>
      <c r="AS719" s="4"/>
      <c r="AT719" s="4"/>
      <c r="AU719" s="4"/>
      <c r="AV719" s="4"/>
      <c r="AW719" s="4"/>
      <c r="AX719" s="4"/>
      <c r="AY719" s="128"/>
      <c r="AZ719" s="4"/>
      <c r="BA719" s="4"/>
      <c r="BB719" s="4"/>
      <c r="BC719" s="4"/>
      <c r="BD719" s="4"/>
      <c r="BE719" s="4"/>
      <c r="BF719" s="4"/>
      <c r="BG719" s="4"/>
      <c r="BH719" s="4"/>
      <c r="BI719" s="567"/>
    </row>
    <row r="720" spans="1:61" ht="12.75" customHeight="1" x14ac:dyDescent="0.25">
      <c r="A720" s="4"/>
      <c r="B720" s="4"/>
      <c r="C720" s="4"/>
      <c r="D720" s="4"/>
      <c r="E720" s="128"/>
      <c r="F720" s="128"/>
      <c r="G720" s="753"/>
      <c r="H720" s="128"/>
      <c r="I720" s="128"/>
      <c r="J720" s="130"/>
      <c r="K720" s="128"/>
      <c r="L720" s="128"/>
      <c r="M720" s="130"/>
      <c r="N720" s="130"/>
      <c r="O720" s="130"/>
      <c r="P720" s="128"/>
      <c r="Q720" s="128"/>
      <c r="R720" s="128"/>
      <c r="S720" s="298"/>
      <c r="T720" s="4"/>
      <c r="U720" s="4"/>
      <c r="V720" s="4"/>
      <c r="W720" s="4"/>
      <c r="X720" s="4"/>
      <c r="Y720" s="128"/>
      <c r="Z720" s="128"/>
      <c r="AA720" s="128"/>
      <c r="AB720" s="4"/>
      <c r="AC720" s="4"/>
      <c r="AD720" s="4"/>
      <c r="AE720" s="4"/>
      <c r="AF720" s="4"/>
      <c r="AG720" s="4"/>
      <c r="AH720" s="4"/>
      <c r="AI720" s="4"/>
      <c r="AJ720" s="246"/>
      <c r="AK720" s="246"/>
      <c r="AL720" s="129"/>
      <c r="AM720" s="129"/>
      <c r="AN720" s="129"/>
      <c r="AO720" s="246"/>
      <c r="AP720" s="246"/>
      <c r="AQ720" s="249"/>
      <c r="AR720" s="4"/>
      <c r="AS720" s="4"/>
      <c r="AT720" s="4"/>
      <c r="AU720" s="4"/>
      <c r="AV720" s="4"/>
      <c r="AW720" s="4"/>
      <c r="AX720" s="4"/>
      <c r="AY720" s="128"/>
      <c r="AZ720" s="4"/>
      <c r="BA720" s="4"/>
      <c r="BB720" s="4"/>
      <c r="BC720" s="4"/>
      <c r="BD720" s="4"/>
      <c r="BE720" s="4"/>
      <c r="BF720" s="4"/>
      <c r="BG720" s="4"/>
      <c r="BH720" s="4"/>
      <c r="BI720" s="567"/>
    </row>
    <row r="721" spans="1:61" ht="12.75" customHeight="1" x14ac:dyDescent="0.25">
      <c r="A721" s="4"/>
      <c r="B721" s="4"/>
      <c r="C721" s="4"/>
      <c r="D721" s="4"/>
      <c r="E721" s="128"/>
      <c r="F721" s="128"/>
      <c r="G721" s="753"/>
      <c r="H721" s="128"/>
      <c r="I721" s="128"/>
      <c r="J721" s="130"/>
      <c r="K721" s="128"/>
      <c r="L721" s="128"/>
      <c r="M721" s="130"/>
      <c r="N721" s="130"/>
      <c r="O721" s="130"/>
      <c r="P721" s="128"/>
      <c r="Q721" s="128"/>
      <c r="R721" s="128"/>
      <c r="S721" s="298"/>
      <c r="T721" s="4"/>
      <c r="U721" s="4"/>
      <c r="V721" s="4"/>
      <c r="W721" s="4"/>
      <c r="X721" s="4"/>
      <c r="Y721" s="128"/>
      <c r="Z721" s="128"/>
      <c r="AA721" s="128"/>
      <c r="AB721" s="4"/>
      <c r="AC721" s="4"/>
      <c r="AD721" s="4"/>
      <c r="AE721" s="4"/>
      <c r="AF721" s="4"/>
      <c r="AG721" s="4"/>
      <c r="AH721" s="4"/>
      <c r="AI721" s="4"/>
      <c r="AJ721" s="246"/>
      <c r="AK721" s="246"/>
      <c r="AL721" s="129"/>
      <c r="AM721" s="129"/>
      <c r="AN721" s="129"/>
      <c r="AO721" s="246"/>
      <c r="AP721" s="246"/>
      <c r="AQ721" s="249"/>
      <c r="AR721" s="4"/>
      <c r="AS721" s="4"/>
      <c r="AT721" s="4"/>
      <c r="AU721" s="4"/>
      <c r="AV721" s="4"/>
      <c r="AW721" s="4"/>
      <c r="AX721" s="4"/>
      <c r="AY721" s="128"/>
      <c r="AZ721" s="4"/>
      <c r="BA721" s="4"/>
      <c r="BB721" s="4"/>
      <c r="BC721" s="4"/>
      <c r="BD721" s="4"/>
      <c r="BE721" s="4"/>
      <c r="BF721" s="4"/>
      <c r="BG721" s="4"/>
      <c r="BH721" s="4"/>
      <c r="BI721" s="567"/>
    </row>
    <row r="722" spans="1:61" ht="12.75" customHeight="1" x14ac:dyDescent="0.25">
      <c r="A722" s="4"/>
      <c r="B722" s="4"/>
      <c r="C722" s="4"/>
      <c r="D722" s="4"/>
      <c r="E722" s="128"/>
      <c r="F722" s="128"/>
      <c r="G722" s="753"/>
      <c r="H722" s="128"/>
      <c r="I722" s="128"/>
      <c r="J722" s="130"/>
      <c r="K722" s="128"/>
      <c r="L722" s="128"/>
      <c r="M722" s="130"/>
      <c r="N722" s="130"/>
      <c r="O722" s="130"/>
      <c r="P722" s="128"/>
      <c r="Q722" s="128"/>
      <c r="R722" s="128"/>
      <c r="S722" s="298"/>
      <c r="T722" s="4"/>
      <c r="U722" s="4"/>
      <c r="V722" s="4"/>
      <c r="W722" s="4"/>
      <c r="X722" s="4"/>
      <c r="Y722" s="128"/>
      <c r="Z722" s="128"/>
      <c r="AA722" s="128"/>
      <c r="AB722" s="4"/>
      <c r="AC722" s="4"/>
      <c r="AD722" s="4"/>
      <c r="AE722" s="4"/>
      <c r="AF722" s="4"/>
      <c r="AG722" s="4"/>
      <c r="AH722" s="4"/>
      <c r="AI722" s="4"/>
      <c r="AJ722" s="246"/>
      <c r="AK722" s="246"/>
      <c r="AL722" s="129"/>
      <c r="AM722" s="129"/>
      <c r="AN722" s="129"/>
      <c r="AO722" s="246"/>
      <c r="AP722" s="246"/>
      <c r="AQ722" s="249"/>
      <c r="AR722" s="4"/>
      <c r="AS722" s="4"/>
      <c r="AT722" s="4"/>
      <c r="AU722" s="4"/>
      <c r="AV722" s="4"/>
      <c r="AW722" s="4"/>
      <c r="AX722" s="4"/>
      <c r="AY722" s="128"/>
      <c r="AZ722" s="4"/>
      <c r="BA722" s="4"/>
      <c r="BB722" s="4"/>
      <c r="BC722" s="4"/>
      <c r="BD722" s="4"/>
      <c r="BE722" s="4"/>
      <c r="BF722" s="4"/>
      <c r="BG722" s="4"/>
      <c r="BH722" s="4"/>
      <c r="BI722" s="567"/>
    </row>
    <row r="723" spans="1:61" ht="12.75" customHeight="1" x14ac:dyDescent="0.25">
      <c r="A723" s="4"/>
      <c r="B723" s="4"/>
      <c r="C723" s="4"/>
      <c r="D723" s="4"/>
      <c r="E723" s="128"/>
      <c r="F723" s="128"/>
      <c r="G723" s="753"/>
      <c r="H723" s="128"/>
      <c r="I723" s="128"/>
      <c r="J723" s="130"/>
      <c r="K723" s="128"/>
      <c r="L723" s="128"/>
      <c r="M723" s="130"/>
      <c r="N723" s="130"/>
      <c r="O723" s="130"/>
      <c r="P723" s="128"/>
      <c r="Q723" s="128"/>
      <c r="R723" s="128"/>
      <c r="S723" s="298"/>
      <c r="T723" s="4"/>
      <c r="U723" s="4"/>
      <c r="V723" s="4"/>
      <c r="W723" s="4"/>
      <c r="X723" s="4"/>
      <c r="Y723" s="128"/>
      <c r="Z723" s="128"/>
      <c r="AA723" s="128"/>
      <c r="AB723" s="4"/>
      <c r="AC723" s="4"/>
      <c r="AD723" s="4"/>
      <c r="AE723" s="4"/>
      <c r="AF723" s="4"/>
      <c r="AG723" s="4"/>
      <c r="AH723" s="4"/>
      <c r="AI723" s="4"/>
      <c r="AJ723" s="246"/>
      <c r="AK723" s="246"/>
      <c r="AL723" s="129"/>
      <c r="AM723" s="129"/>
      <c r="AN723" s="129"/>
      <c r="AO723" s="246"/>
      <c r="AP723" s="246"/>
      <c r="AQ723" s="249"/>
      <c r="AR723" s="4"/>
      <c r="AS723" s="4"/>
      <c r="AT723" s="4"/>
      <c r="AU723" s="4"/>
      <c r="AV723" s="4"/>
      <c r="AW723" s="4"/>
      <c r="AX723" s="4"/>
      <c r="AY723" s="128"/>
      <c r="AZ723" s="4"/>
      <c r="BA723" s="4"/>
      <c r="BB723" s="4"/>
      <c r="BC723" s="4"/>
      <c r="BD723" s="4"/>
      <c r="BE723" s="4"/>
      <c r="BF723" s="4"/>
      <c r="BG723" s="4"/>
      <c r="BH723" s="4"/>
      <c r="BI723" s="567"/>
    </row>
    <row r="724" spans="1:61" ht="12.75" customHeight="1" x14ac:dyDescent="0.25">
      <c r="A724" s="4"/>
      <c r="B724" s="4"/>
      <c r="C724" s="4"/>
      <c r="D724" s="4"/>
      <c r="E724" s="128"/>
      <c r="F724" s="128"/>
      <c r="G724" s="753"/>
      <c r="H724" s="128"/>
      <c r="I724" s="128"/>
      <c r="J724" s="130"/>
      <c r="K724" s="128"/>
      <c r="L724" s="128"/>
      <c r="M724" s="130"/>
      <c r="N724" s="130"/>
      <c r="O724" s="130"/>
      <c r="P724" s="128"/>
      <c r="Q724" s="128"/>
      <c r="R724" s="128"/>
      <c r="S724" s="298"/>
      <c r="T724" s="4"/>
      <c r="U724" s="4"/>
      <c r="V724" s="4"/>
      <c r="W724" s="4"/>
      <c r="X724" s="4"/>
      <c r="Y724" s="128"/>
      <c r="Z724" s="128"/>
      <c r="AA724" s="128"/>
      <c r="AB724" s="4"/>
      <c r="AC724" s="4"/>
      <c r="AD724" s="4"/>
      <c r="AE724" s="4"/>
      <c r="AF724" s="4"/>
      <c r="AG724" s="4"/>
      <c r="AH724" s="4"/>
      <c r="AI724" s="4"/>
      <c r="AJ724" s="246"/>
      <c r="AK724" s="246"/>
      <c r="AL724" s="129"/>
      <c r="AM724" s="129"/>
      <c r="AN724" s="129"/>
      <c r="AO724" s="246"/>
      <c r="AP724" s="246"/>
      <c r="AQ724" s="249"/>
      <c r="AR724" s="4"/>
      <c r="AS724" s="4"/>
      <c r="AT724" s="4"/>
      <c r="AU724" s="4"/>
      <c r="AV724" s="4"/>
      <c r="AW724" s="4"/>
      <c r="AX724" s="4"/>
      <c r="AY724" s="128"/>
      <c r="AZ724" s="4"/>
      <c r="BA724" s="4"/>
      <c r="BB724" s="4"/>
      <c r="BC724" s="4"/>
      <c r="BD724" s="4"/>
      <c r="BE724" s="4"/>
      <c r="BF724" s="4"/>
      <c r="BG724" s="4"/>
      <c r="BH724" s="4"/>
      <c r="BI724" s="567"/>
    </row>
    <row r="725" spans="1:61" ht="12.75" customHeight="1" x14ac:dyDescent="0.25">
      <c r="A725" s="4"/>
      <c r="B725" s="4"/>
      <c r="C725" s="4"/>
      <c r="D725" s="4"/>
      <c r="E725" s="128"/>
      <c r="F725" s="128"/>
      <c r="G725" s="753"/>
      <c r="H725" s="128"/>
      <c r="I725" s="128"/>
      <c r="J725" s="130"/>
      <c r="K725" s="128"/>
      <c r="L725" s="128"/>
      <c r="M725" s="130"/>
      <c r="N725" s="130"/>
      <c r="O725" s="130"/>
      <c r="P725" s="128"/>
      <c r="Q725" s="128"/>
      <c r="R725" s="128"/>
      <c r="S725" s="298"/>
      <c r="T725" s="4"/>
      <c r="U725" s="4"/>
      <c r="V725" s="4"/>
      <c r="W725" s="4"/>
      <c r="X725" s="4"/>
      <c r="Y725" s="128"/>
      <c r="Z725" s="128"/>
      <c r="AA725" s="128"/>
      <c r="AB725" s="4"/>
      <c r="AC725" s="4"/>
      <c r="AD725" s="4"/>
      <c r="AE725" s="4"/>
      <c r="AF725" s="4"/>
      <c r="AG725" s="4"/>
      <c r="AH725" s="4"/>
      <c r="AI725" s="4"/>
      <c r="AJ725" s="246"/>
      <c r="AK725" s="246"/>
      <c r="AL725" s="129"/>
      <c r="AM725" s="129"/>
      <c r="AN725" s="129"/>
      <c r="AO725" s="246"/>
      <c r="AP725" s="246"/>
      <c r="AQ725" s="249"/>
      <c r="AR725" s="4"/>
      <c r="AS725" s="4"/>
      <c r="AT725" s="4"/>
      <c r="AU725" s="4"/>
      <c r="AV725" s="4"/>
      <c r="AW725" s="4"/>
      <c r="AX725" s="4"/>
      <c r="AY725" s="128"/>
      <c r="AZ725" s="4"/>
      <c r="BA725" s="4"/>
      <c r="BB725" s="4"/>
      <c r="BC725" s="4"/>
      <c r="BD725" s="4"/>
      <c r="BE725" s="4"/>
      <c r="BF725" s="4"/>
      <c r="BG725" s="4"/>
      <c r="BH725" s="4"/>
      <c r="BI725" s="567"/>
    </row>
    <row r="726" spans="1:61" ht="12.75" customHeight="1" x14ac:dyDescent="0.25">
      <c r="A726" s="4"/>
      <c r="B726" s="4"/>
      <c r="C726" s="4"/>
      <c r="D726" s="4"/>
      <c r="E726" s="128"/>
      <c r="F726" s="128"/>
      <c r="G726" s="753"/>
      <c r="H726" s="128"/>
      <c r="I726" s="128"/>
      <c r="J726" s="130"/>
      <c r="K726" s="128"/>
      <c r="L726" s="128"/>
      <c r="M726" s="130"/>
      <c r="N726" s="130"/>
      <c r="O726" s="130"/>
      <c r="P726" s="128"/>
      <c r="Q726" s="128"/>
      <c r="R726" s="128"/>
      <c r="S726" s="298"/>
      <c r="T726" s="4"/>
      <c r="U726" s="4"/>
      <c r="V726" s="4"/>
      <c r="W726" s="4"/>
      <c r="X726" s="4"/>
      <c r="Y726" s="128"/>
      <c r="Z726" s="128"/>
      <c r="AA726" s="128"/>
      <c r="AB726" s="4"/>
      <c r="AC726" s="4"/>
      <c r="AD726" s="4"/>
      <c r="AE726" s="4"/>
      <c r="AF726" s="4"/>
      <c r="AG726" s="4"/>
      <c r="AH726" s="4"/>
      <c r="AI726" s="4"/>
      <c r="AJ726" s="246"/>
      <c r="AK726" s="246"/>
      <c r="AL726" s="129"/>
      <c r="AM726" s="129"/>
      <c r="AN726" s="129"/>
      <c r="AO726" s="246"/>
      <c r="AP726" s="246"/>
      <c r="AQ726" s="249"/>
      <c r="AR726" s="4"/>
      <c r="AS726" s="4"/>
      <c r="AT726" s="4"/>
      <c r="AU726" s="4"/>
      <c r="AV726" s="4"/>
      <c r="AW726" s="4"/>
      <c r="AX726" s="4"/>
      <c r="AY726" s="128"/>
      <c r="AZ726" s="4"/>
      <c r="BA726" s="4"/>
      <c r="BB726" s="4"/>
      <c r="BC726" s="4"/>
      <c r="BD726" s="4"/>
      <c r="BE726" s="4"/>
      <c r="BF726" s="4"/>
      <c r="BG726" s="4"/>
      <c r="BH726" s="4"/>
      <c r="BI726" s="567"/>
    </row>
    <row r="727" spans="1:61" ht="12.75" customHeight="1" x14ac:dyDescent="0.25">
      <c r="A727" s="4"/>
      <c r="B727" s="4"/>
      <c r="C727" s="4"/>
      <c r="D727" s="4"/>
      <c r="E727" s="128"/>
      <c r="F727" s="128"/>
      <c r="G727" s="753"/>
      <c r="H727" s="128"/>
      <c r="I727" s="128"/>
      <c r="J727" s="130"/>
      <c r="K727" s="128"/>
      <c r="L727" s="128"/>
      <c r="M727" s="130"/>
      <c r="N727" s="130"/>
      <c r="O727" s="130"/>
      <c r="P727" s="128"/>
      <c r="Q727" s="128"/>
      <c r="R727" s="128"/>
      <c r="S727" s="298"/>
      <c r="T727" s="4"/>
      <c r="U727" s="4"/>
      <c r="V727" s="4"/>
      <c r="W727" s="4"/>
      <c r="X727" s="4"/>
      <c r="Y727" s="128"/>
      <c r="Z727" s="128"/>
      <c r="AA727" s="128"/>
      <c r="AB727" s="4"/>
      <c r="AC727" s="4"/>
      <c r="AD727" s="4"/>
      <c r="AE727" s="4"/>
      <c r="AF727" s="4"/>
      <c r="AG727" s="4"/>
      <c r="AH727" s="4"/>
      <c r="AI727" s="4"/>
      <c r="AJ727" s="246"/>
      <c r="AK727" s="246"/>
      <c r="AL727" s="129"/>
      <c r="AM727" s="129"/>
      <c r="AN727" s="129"/>
      <c r="AO727" s="246"/>
      <c r="AP727" s="246"/>
      <c r="AQ727" s="249"/>
      <c r="AR727" s="4"/>
      <c r="AS727" s="4"/>
      <c r="AT727" s="4"/>
      <c r="AU727" s="4"/>
      <c r="AV727" s="4"/>
      <c r="AW727" s="4"/>
      <c r="AX727" s="4"/>
      <c r="AY727" s="128"/>
      <c r="AZ727" s="4"/>
      <c r="BA727" s="4"/>
      <c r="BB727" s="4"/>
      <c r="BC727" s="4"/>
      <c r="BD727" s="4"/>
      <c r="BE727" s="4"/>
      <c r="BF727" s="4"/>
      <c r="BG727" s="4"/>
      <c r="BH727" s="4"/>
      <c r="BI727" s="567"/>
    </row>
    <row r="728" spans="1:61" ht="12.75" customHeight="1" x14ac:dyDescent="0.25">
      <c r="A728" s="4"/>
      <c r="B728" s="4"/>
      <c r="C728" s="4"/>
      <c r="D728" s="4"/>
      <c r="E728" s="128"/>
      <c r="F728" s="128"/>
      <c r="G728" s="753"/>
      <c r="H728" s="128"/>
      <c r="I728" s="128"/>
      <c r="J728" s="130"/>
      <c r="K728" s="128"/>
      <c r="L728" s="128"/>
      <c r="M728" s="130"/>
      <c r="N728" s="130"/>
      <c r="O728" s="130"/>
      <c r="P728" s="128"/>
      <c r="Q728" s="128"/>
      <c r="R728" s="128"/>
      <c r="S728" s="298"/>
      <c r="T728" s="4"/>
      <c r="U728" s="4"/>
      <c r="V728" s="4"/>
      <c r="W728" s="4"/>
      <c r="X728" s="4"/>
      <c r="Y728" s="128"/>
      <c r="Z728" s="128"/>
      <c r="AA728" s="128"/>
      <c r="AB728" s="4"/>
      <c r="AC728" s="4"/>
      <c r="AD728" s="4"/>
      <c r="AE728" s="4"/>
      <c r="AF728" s="4"/>
      <c r="AG728" s="4"/>
      <c r="AH728" s="4"/>
      <c r="AI728" s="4"/>
      <c r="AJ728" s="246"/>
      <c r="AK728" s="246"/>
      <c r="AL728" s="129"/>
      <c r="AM728" s="129"/>
      <c r="AN728" s="129"/>
      <c r="AO728" s="246"/>
      <c r="AP728" s="246"/>
      <c r="AQ728" s="249"/>
      <c r="AR728" s="4"/>
      <c r="AS728" s="4"/>
      <c r="AT728" s="4"/>
      <c r="AU728" s="4"/>
      <c r="AV728" s="4"/>
      <c r="AW728" s="4"/>
      <c r="AX728" s="4"/>
      <c r="AY728" s="128"/>
      <c r="AZ728" s="4"/>
      <c r="BA728" s="4"/>
      <c r="BB728" s="4"/>
      <c r="BC728" s="4"/>
      <c r="BD728" s="4"/>
      <c r="BE728" s="4"/>
      <c r="BF728" s="4"/>
      <c r="BG728" s="4"/>
      <c r="BH728" s="4"/>
      <c r="BI728" s="567"/>
    </row>
    <row r="729" spans="1:61" ht="12.75" customHeight="1" x14ac:dyDescent="0.25">
      <c r="A729" s="4"/>
      <c r="B729" s="4"/>
      <c r="C729" s="4"/>
      <c r="D729" s="4"/>
      <c r="E729" s="128"/>
      <c r="F729" s="128"/>
      <c r="G729" s="753"/>
      <c r="H729" s="128"/>
      <c r="I729" s="128"/>
      <c r="J729" s="130"/>
      <c r="K729" s="128"/>
      <c r="L729" s="128"/>
      <c r="M729" s="130"/>
      <c r="N729" s="130"/>
      <c r="O729" s="130"/>
      <c r="P729" s="128"/>
      <c r="Q729" s="128"/>
      <c r="R729" s="128"/>
      <c r="S729" s="298"/>
      <c r="T729" s="4"/>
      <c r="U729" s="4"/>
      <c r="V729" s="4"/>
      <c r="W729" s="4"/>
      <c r="X729" s="4"/>
      <c r="Y729" s="128"/>
      <c r="Z729" s="128"/>
      <c r="AA729" s="128"/>
      <c r="AB729" s="4"/>
      <c r="AC729" s="4"/>
      <c r="AD729" s="4"/>
      <c r="AE729" s="4"/>
      <c r="AF729" s="4"/>
      <c r="AG729" s="4"/>
      <c r="AH729" s="4"/>
      <c r="AI729" s="4"/>
      <c r="AJ729" s="246"/>
      <c r="AK729" s="246"/>
      <c r="AL729" s="129"/>
      <c r="AM729" s="129"/>
      <c r="AN729" s="129"/>
      <c r="AO729" s="246"/>
      <c r="AP729" s="246"/>
      <c r="AQ729" s="249"/>
      <c r="AR729" s="4"/>
      <c r="AS729" s="4"/>
      <c r="AT729" s="4"/>
      <c r="AU729" s="4"/>
      <c r="AV729" s="4"/>
      <c r="AW729" s="4"/>
      <c r="AX729" s="4"/>
      <c r="AY729" s="128"/>
      <c r="AZ729" s="4"/>
      <c r="BA729" s="4"/>
      <c r="BB729" s="4"/>
      <c r="BC729" s="4"/>
      <c r="BD729" s="4"/>
      <c r="BE729" s="4"/>
      <c r="BF729" s="4"/>
      <c r="BG729" s="4"/>
      <c r="BH729" s="4"/>
      <c r="BI729" s="567"/>
    </row>
    <row r="730" spans="1:61" ht="12.75" customHeight="1" x14ac:dyDescent="0.25">
      <c r="A730" s="4"/>
      <c r="B730" s="4"/>
      <c r="C730" s="4"/>
      <c r="D730" s="4"/>
      <c r="E730" s="128"/>
      <c r="F730" s="128"/>
      <c r="G730" s="753"/>
      <c r="H730" s="128"/>
      <c r="I730" s="128"/>
      <c r="J730" s="130"/>
      <c r="K730" s="128"/>
      <c r="L730" s="128"/>
      <c r="M730" s="130"/>
      <c r="N730" s="130"/>
      <c r="O730" s="130"/>
      <c r="P730" s="128"/>
      <c r="Q730" s="128"/>
      <c r="R730" s="128"/>
      <c r="S730" s="298"/>
      <c r="T730" s="4"/>
      <c r="U730" s="4"/>
      <c r="V730" s="4"/>
      <c r="W730" s="4"/>
      <c r="X730" s="4"/>
      <c r="Y730" s="128"/>
      <c r="Z730" s="128"/>
      <c r="AA730" s="128"/>
      <c r="AB730" s="4"/>
      <c r="AC730" s="4"/>
      <c r="AD730" s="4"/>
      <c r="AE730" s="4"/>
      <c r="AF730" s="4"/>
      <c r="AG730" s="4"/>
      <c r="AH730" s="4"/>
      <c r="AI730" s="4"/>
      <c r="AJ730" s="246"/>
      <c r="AK730" s="246"/>
      <c r="AL730" s="129"/>
      <c r="AM730" s="129"/>
      <c r="AN730" s="129"/>
      <c r="AO730" s="246"/>
      <c r="AP730" s="246"/>
      <c r="AQ730" s="249"/>
      <c r="AR730" s="4"/>
      <c r="AS730" s="4"/>
      <c r="AT730" s="4"/>
      <c r="AU730" s="4"/>
      <c r="AV730" s="4"/>
      <c r="AW730" s="4"/>
      <c r="AX730" s="4"/>
      <c r="AY730" s="128"/>
      <c r="AZ730" s="4"/>
      <c r="BA730" s="4"/>
      <c r="BB730" s="4"/>
      <c r="BC730" s="4"/>
      <c r="BD730" s="4"/>
      <c r="BE730" s="4"/>
      <c r="BF730" s="4"/>
      <c r="BG730" s="4"/>
      <c r="BH730" s="4"/>
      <c r="BI730" s="567"/>
    </row>
    <row r="731" spans="1:61" ht="12.75" customHeight="1" x14ac:dyDescent="0.25">
      <c r="A731" s="4"/>
      <c r="B731" s="4"/>
      <c r="C731" s="4"/>
      <c r="D731" s="4"/>
      <c r="E731" s="128"/>
      <c r="F731" s="128"/>
      <c r="G731" s="753"/>
      <c r="H731" s="128"/>
      <c r="I731" s="128"/>
      <c r="J731" s="130"/>
      <c r="K731" s="128"/>
      <c r="L731" s="128"/>
      <c r="M731" s="130"/>
      <c r="N731" s="130"/>
      <c r="O731" s="130"/>
      <c r="P731" s="128"/>
      <c r="Q731" s="128"/>
      <c r="R731" s="128"/>
      <c r="S731" s="298"/>
      <c r="T731" s="4"/>
      <c r="U731" s="4"/>
      <c r="V731" s="4"/>
      <c r="W731" s="4"/>
      <c r="X731" s="4"/>
      <c r="Y731" s="128"/>
      <c r="Z731" s="128"/>
      <c r="AA731" s="128"/>
      <c r="AB731" s="4"/>
      <c r="AC731" s="4"/>
      <c r="AD731" s="4"/>
      <c r="AE731" s="4"/>
      <c r="AF731" s="4"/>
      <c r="AG731" s="4"/>
      <c r="AH731" s="4"/>
      <c r="AI731" s="4"/>
      <c r="AJ731" s="246"/>
      <c r="AK731" s="246"/>
      <c r="AL731" s="129"/>
      <c r="AM731" s="129"/>
      <c r="AN731" s="129"/>
      <c r="AO731" s="246"/>
      <c r="AP731" s="246"/>
      <c r="AQ731" s="249"/>
      <c r="AR731" s="4"/>
      <c r="AS731" s="4"/>
      <c r="AT731" s="4"/>
      <c r="AU731" s="4"/>
      <c r="AV731" s="4"/>
      <c r="AW731" s="4"/>
      <c r="AX731" s="4"/>
      <c r="AY731" s="128"/>
      <c r="AZ731" s="4"/>
      <c r="BA731" s="4"/>
      <c r="BB731" s="4"/>
      <c r="BC731" s="4"/>
      <c r="BD731" s="4"/>
      <c r="BE731" s="4"/>
      <c r="BF731" s="4"/>
      <c r="BG731" s="4"/>
      <c r="BH731" s="4"/>
      <c r="BI731" s="567"/>
    </row>
    <row r="732" spans="1:61" ht="12.75" customHeight="1" x14ac:dyDescent="0.25">
      <c r="A732" s="4"/>
      <c r="B732" s="4"/>
      <c r="C732" s="4"/>
      <c r="D732" s="4"/>
      <c r="E732" s="128"/>
      <c r="F732" s="128"/>
      <c r="G732" s="753"/>
      <c r="H732" s="128"/>
      <c r="I732" s="128"/>
      <c r="J732" s="130"/>
      <c r="K732" s="128"/>
      <c r="L732" s="128"/>
      <c r="M732" s="130"/>
      <c r="N732" s="130"/>
      <c r="O732" s="130"/>
      <c r="P732" s="128"/>
      <c r="Q732" s="128"/>
      <c r="R732" s="128"/>
      <c r="S732" s="298"/>
      <c r="T732" s="4"/>
      <c r="U732" s="4"/>
      <c r="V732" s="4"/>
      <c r="W732" s="4"/>
      <c r="X732" s="4"/>
      <c r="Y732" s="128"/>
      <c r="Z732" s="128"/>
      <c r="AA732" s="128"/>
      <c r="AB732" s="4"/>
      <c r="AC732" s="4"/>
      <c r="AD732" s="4"/>
      <c r="AE732" s="4"/>
      <c r="AF732" s="4"/>
      <c r="AG732" s="4"/>
      <c r="AH732" s="4"/>
      <c r="AI732" s="4"/>
      <c r="AJ732" s="246"/>
      <c r="AK732" s="246"/>
      <c r="AL732" s="129"/>
      <c r="AM732" s="129"/>
      <c r="AN732" s="129"/>
      <c r="AO732" s="246"/>
      <c r="AP732" s="246"/>
      <c r="AQ732" s="249"/>
      <c r="AR732" s="4"/>
      <c r="AS732" s="4"/>
      <c r="AT732" s="4"/>
      <c r="AU732" s="4"/>
      <c r="AV732" s="4"/>
      <c r="AW732" s="4"/>
      <c r="AX732" s="4"/>
      <c r="AY732" s="128"/>
      <c r="AZ732" s="4"/>
      <c r="BA732" s="4"/>
      <c r="BB732" s="4"/>
      <c r="BC732" s="4"/>
      <c r="BD732" s="4"/>
      <c r="BE732" s="4"/>
      <c r="BF732" s="4"/>
      <c r="BG732" s="4"/>
      <c r="BH732" s="4"/>
      <c r="BI732" s="567"/>
    </row>
    <row r="733" spans="1:61" ht="12.75" customHeight="1" x14ac:dyDescent="0.25">
      <c r="A733" s="4"/>
      <c r="B733" s="4"/>
      <c r="C733" s="4"/>
      <c r="D733" s="4"/>
      <c r="E733" s="128"/>
      <c r="F733" s="128"/>
      <c r="G733" s="753"/>
      <c r="H733" s="128"/>
      <c r="I733" s="128"/>
      <c r="J733" s="130"/>
      <c r="K733" s="128"/>
      <c r="L733" s="128"/>
      <c r="M733" s="130"/>
      <c r="N733" s="130"/>
      <c r="O733" s="130"/>
      <c r="P733" s="128"/>
      <c r="Q733" s="128"/>
      <c r="R733" s="128"/>
      <c r="S733" s="298"/>
      <c r="T733" s="4"/>
      <c r="U733" s="4"/>
      <c r="V733" s="4"/>
      <c r="W733" s="4"/>
      <c r="X733" s="4"/>
      <c r="Y733" s="128"/>
      <c r="Z733" s="128"/>
      <c r="AA733" s="128"/>
      <c r="AB733" s="4"/>
      <c r="AC733" s="4"/>
      <c r="AD733" s="4"/>
      <c r="AE733" s="4"/>
      <c r="AF733" s="4"/>
      <c r="AG733" s="4"/>
      <c r="AH733" s="4"/>
      <c r="AI733" s="4"/>
      <c r="AJ733" s="246"/>
      <c r="AK733" s="246"/>
      <c r="AL733" s="129"/>
      <c r="AM733" s="129"/>
      <c r="AN733" s="129"/>
      <c r="AO733" s="246"/>
      <c r="AP733" s="246"/>
      <c r="AQ733" s="249"/>
      <c r="AR733" s="4"/>
      <c r="AS733" s="4"/>
      <c r="AT733" s="4"/>
      <c r="AU733" s="4"/>
      <c r="AV733" s="4"/>
      <c r="AW733" s="4"/>
      <c r="AX733" s="4"/>
      <c r="AY733" s="128"/>
      <c r="AZ733" s="4"/>
      <c r="BA733" s="4"/>
      <c r="BB733" s="4"/>
      <c r="BC733" s="4"/>
      <c r="BD733" s="4"/>
      <c r="BE733" s="4"/>
      <c r="BF733" s="4"/>
      <c r="BG733" s="4"/>
      <c r="BH733" s="4"/>
      <c r="BI733" s="567"/>
    </row>
    <row r="734" spans="1:61" ht="12.75" customHeight="1" x14ac:dyDescent="0.25">
      <c r="A734" s="4"/>
      <c r="B734" s="4"/>
      <c r="C734" s="4"/>
      <c r="D734" s="4"/>
      <c r="E734" s="128"/>
      <c r="F734" s="128"/>
      <c r="G734" s="753"/>
      <c r="H734" s="128"/>
      <c r="I734" s="128"/>
      <c r="J734" s="130"/>
      <c r="K734" s="128"/>
      <c r="L734" s="128"/>
      <c r="M734" s="130"/>
      <c r="N734" s="130"/>
      <c r="O734" s="130"/>
      <c r="P734" s="128"/>
      <c r="Q734" s="128"/>
      <c r="R734" s="128"/>
      <c r="S734" s="298"/>
      <c r="T734" s="4"/>
      <c r="U734" s="4"/>
      <c r="V734" s="4"/>
      <c r="W734" s="4"/>
      <c r="X734" s="4"/>
      <c r="Y734" s="128"/>
      <c r="Z734" s="128"/>
      <c r="AA734" s="128"/>
      <c r="AB734" s="4"/>
      <c r="AC734" s="4"/>
      <c r="AD734" s="4"/>
      <c r="AE734" s="4"/>
      <c r="AF734" s="4"/>
      <c r="AG734" s="4"/>
      <c r="AH734" s="4"/>
      <c r="AI734" s="4"/>
      <c r="AJ734" s="246"/>
      <c r="AK734" s="246"/>
      <c r="AL734" s="129"/>
      <c r="AM734" s="129"/>
      <c r="AN734" s="129"/>
      <c r="AO734" s="246"/>
      <c r="AP734" s="246"/>
      <c r="AQ734" s="249"/>
      <c r="AR734" s="4"/>
      <c r="AS734" s="4"/>
      <c r="AT734" s="4"/>
      <c r="AU734" s="4"/>
      <c r="AV734" s="4"/>
      <c r="AW734" s="4"/>
      <c r="AX734" s="4"/>
      <c r="AY734" s="128"/>
      <c r="AZ734" s="4"/>
      <c r="BA734" s="4"/>
      <c r="BB734" s="4"/>
      <c r="BC734" s="4"/>
      <c r="BD734" s="4"/>
      <c r="BE734" s="4"/>
      <c r="BF734" s="4"/>
      <c r="BG734" s="4"/>
      <c r="BH734" s="4"/>
      <c r="BI734" s="567"/>
    </row>
    <row r="735" spans="1:61" ht="12.75" customHeight="1" x14ac:dyDescent="0.25">
      <c r="A735" s="4"/>
      <c r="B735" s="4"/>
      <c r="C735" s="4"/>
      <c r="D735" s="4"/>
      <c r="E735" s="128"/>
      <c r="F735" s="128"/>
      <c r="G735" s="753"/>
      <c r="H735" s="128"/>
      <c r="I735" s="128"/>
      <c r="J735" s="130"/>
      <c r="K735" s="128"/>
      <c r="L735" s="128"/>
      <c r="M735" s="130"/>
      <c r="N735" s="130"/>
      <c r="O735" s="130"/>
      <c r="P735" s="128"/>
      <c r="Q735" s="128"/>
      <c r="R735" s="128"/>
      <c r="S735" s="298"/>
      <c r="T735" s="4"/>
      <c r="U735" s="4"/>
      <c r="V735" s="4"/>
      <c r="W735" s="4"/>
      <c r="X735" s="4"/>
      <c r="Y735" s="128"/>
      <c r="Z735" s="128"/>
      <c r="AA735" s="128"/>
      <c r="AB735" s="4"/>
      <c r="AC735" s="4"/>
      <c r="AD735" s="4"/>
      <c r="AE735" s="4"/>
      <c r="AF735" s="4"/>
      <c r="AG735" s="4"/>
      <c r="AH735" s="4"/>
      <c r="AI735" s="4"/>
      <c r="AJ735" s="246"/>
      <c r="AK735" s="246"/>
      <c r="AL735" s="129"/>
      <c r="AM735" s="129"/>
      <c r="AN735" s="129"/>
      <c r="AO735" s="246"/>
      <c r="AP735" s="246"/>
      <c r="AQ735" s="249"/>
      <c r="AR735" s="4"/>
      <c r="AS735" s="4"/>
      <c r="AT735" s="4"/>
      <c r="AU735" s="4"/>
      <c r="AV735" s="4"/>
      <c r="AW735" s="4"/>
      <c r="AX735" s="4"/>
      <c r="AY735" s="128"/>
      <c r="AZ735" s="4"/>
      <c r="BA735" s="4"/>
      <c r="BB735" s="4"/>
      <c r="BC735" s="4"/>
      <c r="BD735" s="4"/>
      <c r="BE735" s="4"/>
      <c r="BF735" s="4"/>
      <c r="BG735" s="4"/>
      <c r="BH735" s="4"/>
      <c r="BI735" s="567"/>
    </row>
    <row r="736" spans="1:61" ht="12.75" customHeight="1" x14ac:dyDescent="0.25">
      <c r="A736" s="4"/>
      <c r="B736" s="4"/>
      <c r="C736" s="4"/>
      <c r="D736" s="4"/>
      <c r="E736" s="128"/>
      <c r="F736" s="128"/>
      <c r="G736" s="753"/>
      <c r="H736" s="128"/>
      <c r="I736" s="128"/>
      <c r="J736" s="130"/>
      <c r="K736" s="128"/>
      <c r="L736" s="128"/>
      <c r="M736" s="130"/>
      <c r="N736" s="130"/>
      <c r="O736" s="130"/>
      <c r="P736" s="128"/>
      <c r="Q736" s="128"/>
      <c r="R736" s="128"/>
      <c r="S736" s="298"/>
      <c r="T736" s="4"/>
      <c r="U736" s="4"/>
      <c r="V736" s="4"/>
      <c r="W736" s="4"/>
      <c r="X736" s="4"/>
      <c r="Y736" s="128"/>
      <c r="Z736" s="128"/>
      <c r="AA736" s="128"/>
      <c r="AB736" s="4"/>
      <c r="AC736" s="4"/>
      <c r="AD736" s="4"/>
      <c r="AE736" s="4"/>
      <c r="AF736" s="4"/>
      <c r="AG736" s="4"/>
      <c r="AH736" s="4"/>
      <c r="AI736" s="4"/>
      <c r="AJ736" s="246"/>
      <c r="AK736" s="246"/>
      <c r="AL736" s="129"/>
      <c r="AM736" s="129"/>
      <c r="AN736" s="129"/>
      <c r="AO736" s="246"/>
      <c r="AP736" s="246"/>
      <c r="AQ736" s="249"/>
      <c r="AR736" s="4"/>
      <c r="AS736" s="4"/>
      <c r="AT736" s="4"/>
      <c r="AU736" s="4"/>
      <c r="AV736" s="4"/>
      <c r="AW736" s="4"/>
      <c r="AX736" s="4"/>
      <c r="AY736" s="128"/>
      <c r="AZ736" s="4"/>
      <c r="BA736" s="4"/>
      <c r="BB736" s="4"/>
      <c r="BC736" s="4"/>
      <c r="BD736" s="4"/>
      <c r="BE736" s="4"/>
      <c r="BF736" s="4"/>
      <c r="BG736" s="4"/>
      <c r="BH736" s="4"/>
      <c r="BI736" s="567"/>
    </row>
    <row r="737" spans="1:61" ht="12.75" customHeight="1" x14ac:dyDescent="0.25">
      <c r="A737" s="4"/>
      <c r="B737" s="4"/>
      <c r="C737" s="4"/>
      <c r="D737" s="4"/>
      <c r="E737" s="128"/>
      <c r="F737" s="128"/>
      <c r="G737" s="753"/>
      <c r="H737" s="128"/>
      <c r="I737" s="128"/>
      <c r="J737" s="130"/>
      <c r="K737" s="128"/>
      <c r="L737" s="128"/>
      <c r="M737" s="130"/>
      <c r="N737" s="130"/>
      <c r="O737" s="130"/>
      <c r="P737" s="128"/>
      <c r="Q737" s="128"/>
      <c r="R737" s="128"/>
      <c r="S737" s="298"/>
      <c r="T737" s="4"/>
      <c r="U737" s="4"/>
      <c r="V737" s="4"/>
      <c r="W737" s="4"/>
      <c r="X737" s="4"/>
      <c r="Y737" s="128"/>
      <c r="Z737" s="128"/>
      <c r="AA737" s="128"/>
      <c r="AB737" s="4"/>
      <c r="AC737" s="4"/>
      <c r="AD737" s="4"/>
      <c r="AE737" s="4"/>
      <c r="AF737" s="4"/>
      <c r="AG737" s="4"/>
      <c r="AH737" s="4"/>
      <c r="AI737" s="4"/>
      <c r="AJ737" s="246"/>
      <c r="AK737" s="246"/>
      <c r="AL737" s="129"/>
      <c r="AM737" s="129"/>
      <c r="AN737" s="129"/>
      <c r="AO737" s="246"/>
      <c r="AP737" s="246"/>
      <c r="AQ737" s="249"/>
      <c r="AR737" s="4"/>
      <c r="AS737" s="4"/>
      <c r="AT737" s="4"/>
      <c r="AU737" s="4"/>
      <c r="AV737" s="4"/>
      <c r="AW737" s="4"/>
      <c r="AX737" s="4"/>
      <c r="AY737" s="128"/>
      <c r="AZ737" s="4"/>
      <c r="BA737" s="4"/>
      <c r="BB737" s="4"/>
      <c r="BC737" s="4"/>
      <c r="BD737" s="4"/>
      <c r="BE737" s="4"/>
      <c r="BF737" s="4"/>
      <c r="BG737" s="4"/>
      <c r="BH737" s="4"/>
      <c r="BI737" s="567"/>
    </row>
    <row r="738" spans="1:61" ht="12.75" customHeight="1" x14ac:dyDescent="0.25">
      <c r="A738" s="4"/>
      <c r="B738" s="4"/>
      <c r="C738" s="4"/>
      <c r="D738" s="4"/>
      <c r="E738" s="128"/>
      <c r="F738" s="128"/>
      <c r="G738" s="753"/>
      <c r="H738" s="128"/>
      <c r="I738" s="128"/>
      <c r="J738" s="130"/>
      <c r="K738" s="128"/>
      <c r="L738" s="128"/>
      <c r="M738" s="130"/>
      <c r="N738" s="130"/>
      <c r="O738" s="130"/>
      <c r="P738" s="128"/>
      <c r="Q738" s="128"/>
      <c r="R738" s="128"/>
      <c r="S738" s="298"/>
      <c r="T738" s="4"/>
      <c r="U738" s="4"/>
      <c r="V738" s="4"/>
      <c r="W738" s="4"/>
      <c r="X738" s="4"/>
      <c r="Y738" s="128"/>
      <c r="Z738" s="128"/>
      <c r="AA738" s="128"/>
      <c r="AB738" s="4"/>
      <c r="AC738" s="4"/>
      <c r="AD738" s="4"/>
      <c r="AE738" s="4"/>
      <c r="AF738" s="4"/>
      <c r="AG738" s="4"/>
      <c r="AH738" s="4"/>
      <c r="AI738" s="4"/>
      <c r="AJ738" s="246"/>
      <c r="AK738" s="246"/>
      <c r="AL738" s="129"/>
      <c r="AM738" s="129"/>
      <c r="AN738" s="129"/>
      <c r="AO738" s="246"/>
      <c r="AP738" s="246"/>
      <c r="AQ738" s="249"/>
      <c r="AR738" s="4"/>
      <c r="AS738" s="4"/>
      <c r="AT738" s="4"/>
      <c r="AU738" s="4"/>
      <c r="AV738" s="4"/>
      <c r="AW738" s="4"/>
      <c r="AX738" s="4"/>
      <c r="AY738" s="128"/>
      <c r="AZ738" s="4"/>
      <c r="BA738" s="4"/>
      <c r="BB738" s="4"/>
      <c r="BC738" s="4"/>
      <c r="BD738" s="4"/>
      <c r="BE738" s="4"/>
      <c r="BF738" s="4"/>
      <c r="BG738" s="4"/>
      <c r="BH738" s="4"/>
      <c r="BI738" s="567"/>
    </row>
    <row r="739" spans="1:61" ht="12.75" customHeight="1" x14ac:dyDescent="0.25">
      <c r="A739" s="4"/>
      <c r="B739" s="4"/>
      <c r="C739" s="4"/>
      <c r="D739" s="4"/>
      <c r="E739" s="128"/>
      <c r="F739" s="128"/>
      <c r="G739" s="753"/>
      <c r="H739" s="128"/>
      <c r="I739" s="128"/>
      <c r="J739" s="130"/>
      <c r="K739" s="128"/>
      <c r="L739" s="128"/>
      <c r="M739" s="130"/>
      <c r="N739" s="130"/>
      <c r="O739" s="130"/>
      <c r="P739" s="128"/>
      <c r="Q739" s="128"/>
      <c r="R739" s="128"/>
      <c r="S739" s="298"/>
      <c r="T739" s="4"/>
      <c r="U739" s="4"/>
      <c r="V739" s="4"/>
      <c r="W739" s="4"/>
      <c r="X739" s="4"/>
      <c r="Y739" s="128"/>
      <c r="Z739" s="128"/>
      <c r="AA739" s="128"/>
      <c r="AB739" s="4"/>
      <c r="AC739" s="4"/>
      <c r="AD739" s="4"/>
      <c r="AE739" s="4"/>
      <c r="AF739" s="4"/>
      <c r="AG739" s="4"/>
      <c r="AH739" s="4"/>
      <c r="AI739" s="4"/>
      <c r="AJ739" s="246"/>
      <c r="AK739" s="246"/>
      <c r="AL739" s="129"/>
      <c r="AM739" s="129"/>
      <c r="AN739" s="129"/>
      <c r="AO739" s="246"/>
      <c r="AP739" s="246"/>
      <c r="AQ739" s="249"/>
      <c r="AR739" s="4"/>
      <c r="AS739" s="4"/>
      <c r="AT739" s="4"/>
      <c r="AU739" s="4"/>
      <c r="AV739" s="4"/>
      <c r="AW739" s="4"/>
      <c r="AX739" s="4"/>
      <c r="AY739" s="128"/>
      <c r="AZ739" s="4"/>
      <c r="BA739" s="4"/>
      <c r="BB739" s="4"/>
      <c r="BC739" s="4"/>
      <c r="BD739" s="4"/>
      <c r="BE739" s="4"/>
      <c r="BF739" s="4"/>
      <c r="BG739" s="4"/>
      <c r="BH739" s="4"/>
      <c r="BI739" s="567"/>
    </row>
    <row r="740" spans="1:61" ht="12.75" customHeight="1" x14ac:dyDescent="0.25">
      <c r="A740" s="4"/>
      <c r="B740" s="4"/>
      <c r="C740" s="4"/>
      <c r="D740" s="4"/>
      <c r="E740" s="128"/>
      <c r="F740" s="128"/>
      <c r="G740" s="753"/>
      <c r="H740" s="128"/>
      <c r="I740" s="128"/>
      <c r="J740" s="130"/>
      <c r="K740" s="128"/>
      <c r="L740" s="128"/>
      <c r="M740" s="130"/>
      <c r="N740" s="130"/>
      <c r="O740" s="130"/>
      <c r="P740" s="128"/>
      <c r="Q740" s="128"/>
      <c r="R740" s="128"/>
      <c r="S740" s="298"/>
      <c r="T740" s="4"/>
      <c r="U740" s="4"/>
      <c r="V740" s="4"/>
      <c r="W740" s="4"/>
      <c r="X740" s="4"/>
      <c r="Y740" s="128"/>
      <c r="Z740" s="128"/>
      <c r="AA740" s="128"/>
      <c r="AB740" s="4"/>
      <c r="AC740" s="4"/>
      <c r="AD740" s="4"/>
      <c r="AE740" s="4"/>
      <c r="AF740" s="4"/>
      <c r="AG740" s="4"/>
      <c r="AH740" s="4"/>
      <c r="AI740" s="4"/>
      <c r="AJ740" s="246"/>
      <c r="AK740" s="246"/>
      <c r="AL740" s="129"/>
      <c r="AM740" s="129"/>
      <c r="AN740" s="129"/>
      <c r="AO740" s="246"/>
      <c r="AP740" s="246"/>
      <c r="AQ740" s="249"/>
      <c r="AR740" s="4"/>
      <c r="AS740" s="4"/>
      <c r="AT740" s="4"/>
      <c r="AU740" s="4"/>
      <c r="AV740" s="4"/>
      <c r="AW740" s="4"/>
      <c r="AX740" s="4"/>
      <c r="AY740" s="128"/>
      <c r="AZ740" s="4"/>
      <c r="BA740" s="4"/>
      <c r="BB740" s="4"/>
      <c r="BC740" s="4"/>
      <c r="BD740" s="4"/>
      <c r="BE740" s="4"/>
      <c r="BF740" s="4"/>
      <c r="BG740" s="4"/>
      <c r="BH740" s="4"/>
      <c r="BI740" s="567"/>
    </row>
    <row r="741" spans="1:61" ht="12.75" customHeight="1" x14ac:dyDescent="0.25">
      <c r="A741" s="4"/>
      <c r="B741" s="4"/>
      <c r="C741" s="4"/>
      <c r="D741" s="4"/>
      <c r="E741" s="128"/>
      <c r="F741" s="128"/>
      <c r="G741" s="753"/>
      <c r="H741" s="128"/>
      <c r="I741" s="128"/>
      <c r="J741" s="130"/>
      <c r="K741" s="128"/>
      <c r="L741" s="128"/>
      <c r="M741" s="130"/>
      <c r="N741" s="130"/>
      <c r="O741" s="130"/>
      <c r="P741" s="128"/>
      <c r="Q741" s="128"/>
      <c r="R741" s="128"/>
      <c r="S741" s="298"/>
      <c r="T741" s="4"/>
      <c r="U741" s="4"/>
      <c r="V741" s="4"/>
      <c r="W741" s="4"/>
      <c r="X741" s="4"/>
      <c r="Y741" s="128"/>
      <c r="Z741" s="128"/>
      <c r="AA741" s="128"/>
      <c r="AB741" s="4"/>
      <c r="AC741" s="4"/>
      <c r="AD741" s="4"/>
      <c r="AE741" s="4"/>
      <c r="AF741" s="4"/>
      <c r="AG741" s="4"/>
      <c r="AH741" s="4"/>
      <c r="AI741" s="4"/>
      <c r="AJ741" s="246"/>
      <c r="AK741" s="246"/>
      <c r="AL741" s="129"/>
      <c r="AM741" s="129"/>
      <c r="AN741" s="129"/>
      <c r="AO741" s="246"/>
      <c r="AP741" s="246"/>
      <c r="AQ741" s="249"/>
      <c r="AR741" s="4"/>
      <c r="AS741" s="4"/>
      <c r="AT741" s="4"/>
      <c r="AU741" s="4"/>
      <c r="AV741" s="4"/>
      <c r="AW741" s="4"/>
      <c r="AX741" s="4"/>
      <c r="AY741" s="128"/>
      <c r="AZ741" s="4"/>
      <c r="BA741" s="4"/>
      <c r="BB741" s="4"/>
      <c r="BC741" s="4"/>
      <c r="BD741" s="4"/>
      <c r="BE741" s="4"/>
      <c r="BF741" s="4"/>
      <c r="BG741" s="4"/>
      <c r="BH741" s="4"/>
      <c r="BI741" s="567"/>
    </row>
    <row r="742" spans="1:61" ht="12.75" customHeight="1" x14ac:dyDescent="0.25">
      <c r="A742" s="4"/>
      <c r="B742" s="4"/>
      <c r="C742" s="4"/>
      <c r="D742" s="4"/>
      <c r="E742" s="128"/>
      <c r="F742" s="128"/>
      <c r="G742" s="753"/>
      <c r="H742" s="128"/>
      <c r="I742" s="128"/>
      <c r="J742" s="130"/>
      <c r="K742" s="128"/>
      <c r="L742" s="128"/>
      <c r="M742" s="130"/>
      <c r="N742" s="130"/>
      <c r="O742" s="130"/>
      <c r="P742" s="128"/>
      <c r="Q742" s="128"/>
      <c r="R742" s="128"/>
      <c r="S742" s="298"/>
      <c r="T742" s="4"/>
      <c r="U742" s="4"/>
      <c r="V742" s="4"/>
      <c r="W742" s="4"/>
      <c r="X742" s="4"/>
      <c r="Y742" s="128"/>
      <c r="Z742" s="128"/>
      <c r="AA742" s="128"/>
      <c r="AB742" s="4"/>
      <c r="AC742" s="4"/>
      <c r="AD742" s="4"/>
      <c r="AE742" s="4"/>
      <c r="AF742" s="4"/>
      <c r="AG742" s="4"/>
      <c r="AH742" s="4"/>
      <c r="AI742" s="4"/>
      <c r="AJ742" s="246"/>
      <c r="AK742" s="246"/>
      <c r="AL742" s="129"/>
      <c r="AM742" s="129"/>
      <c r="AN742" s="129"/>
      <c r="AO742" s="246"/>
      <c r="AP742" s="246"/>
      <c r="AQ742" s="249"/>
      <c r="AR742" s="4"/>
      <c r="AS742" s="4"/>
      <c r="AT742" s="4"/>
      <c r="AU742" s="4"/>
      <c r="AV742" s="4"/>
      <c r="AW742" s="4"/>
      <c r="AX742" s="4"/>
      <c r="AY742" s="128"/>
      <c r="AZ742" s="4"/>
      <c r="BA742" s="4"/>
      <c r="BB742" s="4"/>
      <c r="BC742" s="4"/>
      <c r="BD742" s="4"/>
      <c r="BE742" s="4"/>
      <c r="BF742" s="4"/>
      <c r="BG742" s="4"/>
      <c r="BH742" s="4"/>
      <c r="BI742" s="567"/>
    </row>
    <row r="743" spans="1:61" ht="12.75" customHeight="1" x14ac:dyDescent="0.25">
      <c r="A743" s="4"/>
      <c r="B743" s="4"/>
      <c r="C743" s="4"/>
      <c r="D743" s="4"/>
      <c r="E743" s="128"/>
      <c r="F743" s="128"/>
      <c r="G743" s="753"/>
      <c r="H743" s="128"/>
      <c r="I743" s="128"/>
      <c r="J743" s="130"/>
      <c r="K743" s="128"/>
      <c r="L743" s="128"/>
      <c r="M743" s="130"/>
      <c r="N743" s="130"/>
      <c r="O743" s="130"/>
      <c r="P743" s="128"/>
      <c r="Q743" s="128"/>
      <c r="R743" s="128"/>
      <c r="S743" s="298"/>
      <c r="T743" s="4"/>
      <c r="U743" s="4"/>
      <c r="V743" s="4"/>
      <c r="W743" s="4"/>
      <c r="X743" s="4"/>
      <c r="Y743" s="128"/>
      <c r="Z743" s="128"/>
      <c r="AA743" s="128"/>
      <c r="AB743" s="4"/>
      <c r="AC743" s="4"/>
      <c r="AD743" s="4"/>
      <c r="AE743" s="4"/>
      <c r="AF743" s="4"/>
      <c r="AG743" s="4"/>
      <c r="AH743" s="4"/>
      <c r="AI743" s="4"/>
      <c r="AJ743" s="246"/>
      <c r="AK743" s="246"/>
      <c r="AL743" s="129"/>
      <c r="AM743" s="129"/>
      <c r="AN743" s="129"/>
      <c r="AO743" s="246"/>
      <c r="AP743" s="246"/>
      <c r="AQ743" s="249"/>
      <c r="AR743" s="4"/>
      <c r="AS743" s="4"/>
      <c r="AT743" s="4"/>
      <c r="AU743" s="4"/>
      <c r="AV743" s="4"/>
      <c r="AW743" s="4"/>
      <c r="AX743" s="4"/>
      <c r="AY743" s="128"/>
      <c r="AZ743" s="4"/>
      <c r="BA743" s="4"/>
      <c r="BB743" s="4"/>
      <c r="BC743" s="4"/>
      <c r="BD743" s="4"/>
      <c r="BE743" s="4"/>
      <c r="BF743" s="4"/>
      <c r="BG743" s="4"/>
      <c r="BH743" s="4"/>
      <c r="BI743" s="567"/>
    </row>
    <row r="744" spans="1:61" ht="12.75" customHeight="1" x14ac:dyDescent="0.25">
      <c r="A744" s="4"/>
      <c r="B744" s="4"/>
      <c r="C744" s="4"/>
      <c r="D744" s="4"/>
      <c r="E744" s="128"/>
      <c r="F744" s="128"/>
      <c r="G744" s="753"/>
      <c r="H744" s="128"/>
      <c r="I744" s="128"/>
      <c r="J744" s="130"/>
      <c r="K744" s="128"/>
      <c r="L744" s="128"/>
      <c r="M744" s="130"/>
      <c r="N744" s="130"/>
      <c r="O744" s="130"/>
      <c r="P744" s="128"/>
      <c r="Q744" s="128"/>
      <c r="R744" s="128"/>
      <c r="S744" s="298"/>
      <c r="T744" s="4"/>
      <c r="U744" s="4"/>
      <c r="V744" s="4"/>
      <c r="W744" s="4"/>
      <c r="X744" s="4"/>
      <c r="Y744" s="128"/>
      <c r="Z744" s="128"/>
      <c r="AA744" s="128"/>
      <c r="AB744" s="4"/>
      <c r="AC744" s="4"/>
      <c r="AD744" s="4"/>
      <c r="AE744" s="4"/>
      <c r="AF744" s="4"/>
      <c r="AG744" s="4"/>
      <c r="AH744" s="4"/>
      <c r="AI744" s="4"/>
      <c r="AJ744" s="246"/>
      <c r="AK744" s="246"/>
      <c r="AL744" s="129"/>
      <c r="AM744" s="129"/>
      <c r="AN744" s="129"/>
      <c r="AO744" s="246"/>
      <c r="AP744" s="246"/>
      <c r="AQ744" s="249"/>
      <c r="AR744" s="4"/>
      <c r="AS744" s="4"/>
      <c r="AT744" s="4"/>
      <c r="AU744" s="4"/>
      <c r="AV744" s="4"/>
      <c r="AW744" s="4"/>
      <c r="AX744" s="4"/>
      <c r="AY744" s="128"/>
      <c r="AZ744" s="4"/>
      <c r="BA744" s="4"/>
      <c r="BB744" s="4"/>
      <c r="BC744" s="4"/>
      <c r="BD744" s="4"/>
      <c r="BE744" s="4"/>
      <c r="BF744" s="4"/>
      <c r="BG744" s="4"/>
      <c r="BH744" s="4"/>
      <c r="BI744" s="567"/>
    </row>
    <row r="745" spans="1:61" ht="12.75" customHeight="1" x14ac:dyDescent="0.25">
      <c r="A745" s="4"/>
      <c r="B745" s="4"/>
      <c r="C745" s="4"/>
      <c r="D745" s="4"/>
      <c r="E745" s="128"/>
      <c r="F745" s="128"/>
      <c r="G745" s="753"/>
      <c r="H745" s="128"/>
      <c r="I745" s="128"/>
      <c r="J745" s="130"/>
      <c r="K745" s="128"/>
      <c r="L745" s="128"/>
      <c r="M745" s="130"/>
      <c r="N745" s="130"/>
      <c r="O745" s="130"/>
      <c r="P745" s="128"/>
      <c r="Q745" s="128"/>
      <c r="R745" s="128"/>
      <c r="S745" s="298"/>
      <c r="T745" s="4"/>
      <c r="U745" s="4"/>
      <c r="V745" s="4"/>
      <c r="W745" s="4"/>
      <c r="X745" s="4"/>
      <c r="Y745" s="128"/>
      <c r="Z745" s="128"/>
      <c r="AA745" s="128"/>
      <c r="AB745" s="4"/>
      <c r="AC745" s="4"/>
      <c r="AD745" s="4"/>
      <c r="AE745" s="4"/>
      <c r="AF745" s="4"/>
      <c r="AG745" s="4"/>
      <c r="AH745" s="4"/>
      <c r="AI745" s="4"/>
      <c r="AJ745" s="246"/>
      <c r="AK745" s="246"/>
      <c r="AL745" s="129"/>
      <c r="AM745" s="129"/>
      <c r="AN745" s="129"/>
      <c r="AO745" s="246"/>
      <c r="AP745" s="246"/>
      <c r="AQ745" s="249"/>
      <c r="AR745" s="4"/>
      <c r="AS745" s="4"/>
      <c r="AT745" s="4"/>
      <c r="AU745" s="4"/>
      <c r="AV745" s="4"/>
      <c r="AW745" s="4"/>
      <c r="AX745" s="4"/>
      <c r="AY745" s="128"/>
      <c r="AZ745" s="4"/>
      <c r="BA745" s="4"/>
      <c r="BB745" s="4"/>
      <c r="BC745" s="4"/>
      <c r="BD745" s="4"/>
      <c r="BE745" s="4"/>
      <c r="BF745" s="4"/>
      <c r="BG745" s="4"/>
      <c r="BH745" s="4"/>
      <c r="BI745" s="567"/>
    </row>
    <row r="746" spans="1:61" ht="12.75" customHeight="1" x14ac:dyDescent="0.25">
      <c r="A746" s="4"/>
      <c r="B746" s="4"/>
      <c r="C746" s="4"/>
      <c r="D746" s="4"/>
      <c r="E746" s="128"/>
      <c r="F746" s="128"/>
      <c r="G746" s="753"/>
      <c r="H746" s="128"/>
      <c r="I746" s="128"/>
      <c r="J746" s="130"/>
      <c r="K746" s="128"/>
      <c r="L746" s="128"/>
      <c r="M746" s="130"/>
      <c r="N746" s="130"/>
      <c r="O746" s="130"/>
      <c r="P746" s="128"/>
      <c r="Q746" s="128"/>
      <c r="R746" s="128"/>
      <c r="S746" s="298"/>
      <c r="T746" s="4"/>
      <c r="U746" s="4"/>
      <c r="V746" s="4"/>
      <c r="W746" s="4"/>
      <c r="X746" s="4"/>
      <c r="Y746" s="128"/>
      <c r="Z746" s="128"/>
      <c r="AA746" s="128"/>
      <c r="AB746" s="4"/>
      <c r="AC746" s="4"/>
      <c r="AD746" s="4"/>
      <c r="AE746" s="4"/>
      <c r="AF746" s="4"/>
      <c r="AG746" s="4"/>
      <c r="AH746" s="4"/>
      <c r="AI746" s="4"/>
      <c r="AJ746" s="246"/>
      <c r="AK746" s="246"/>
      <c r="AL746" s="129"/>
      <c r="AM746" s="129"/>
      <c r="AN746" s="129"/>
      <c r="AO746" s="246"/>
      <c r="AP746" s="246"/>
      <c r="AQ746" s="249"/>
      <c r="AR746" s="4"/>
      <c r="AS746" s="4"/>
      <c r="AT746" s="4"/>
      <c r="AU746" s="4"/>
      <c r="AV746" s="4"/>
      <c r="AW746" s="4"/>
      <c r="AX746" s="4"/>
      <c r="AY746" s="128"/>
      <c r="AZ746" s="4"/>
      <c r="BA746" s="4"/>
      <c r="BB746" s="4"/>
      <c r="BC746" s="4"/>
      <c r="BD746" s="4"/>
      <c r="BE746" s="4"/>
      <c r="BF746" s="4"/>
      <c r="BG746" s="4"/>
      <c r="BH746" s="4"/>
      <c r="BI746" s="567"/>
    </row>
    <row r="747" spans="1:61" ht="12.75" customHeight="1" x14ac:dyDescent="0.25">
      <c r="A747" s="4"/>
      <c r="B747" s="4"/>
      <c r="C747" s="4"/>
      <c r="D747" s="4"/>
      <c r="E747" s="128"/>
      <c r="F747" s="128"/>
      <c r="G747" s="753"/>
      <c r="H747" s="128"/>
      <c r="I747" s="128"/>
      <c r="J747" s="130"/>
      <c r="K747" s="128"/>
      <c r="L747" s="128"/>
      <c r="M747" s="130"/>
      <c r="N747" s="130"/>
      <c r="O747" s="130"/>
      <c r="P747" s="128"/>
      <c r="Q747" s="128"/>
      <c r="R747" s="128"/>
      <c r="S747" s="298"/>
      <c r="T747" s="4"/>
      <c r="U747" s="4"/>
      <c r="V747" s="4"/>
      <c r="W747" s="4"/>
      <c r="X747" s="4"/>
      <c r="Y747" s="128"/>
      <c r="Z747" s="128"/>
      <c r="AA747" s="128"/>
      <c r="AB747" s="4"/>
      <c r="AC747" s="4"/>
      <c r="AD747" s="4"/>
      <c r="AE747" s="4"/>
      <c r="AF747" s="4"/>
      <c r="AG747" s="4"/>
      <c r="AH747" s="4"/>
      <c r="AI747" s="4"/>
      <c r="AJ747" s="246"/>
      <c r="AK747" s="246"/>
      <c r="AL747" s="129"/>
      <c r="AM747" s="129"/>
      <c r="AN747" s="129"/>
      <c r="AO747" s="246"/>
      <c r="AP747" s="246"/>
      <c r="AQ747" s="249"/>
      <c r="AR747" s="4"/>
      <c r="AS747" s="4"/>
      <c r="AT747" s="4"/>
      <c r="AU747" s="4"/>
      <c r="AV747" s="4"/>
      <c r="AW747" s="4"/>
      <c r="AX747" s="4"/>
      <c r="AY747" s="128"/>
      <c r="AZ747" s="4"/>
      <c r="BA747" s="4"/>
      <c r="BB747" s="4"/>
      <c r="BC747" s="4"/>
      <c r="BD747" s="4"/>
      <c r="BE747" s="4"/>
      <c r="BF747" s="4"/>
      <c r="BG747" s="4"/>
      <c r="BH747" s="4"/>
      <c r="BI747" s="567"/>
    </row>
    <row r="748" spans="1:61" ht="12.75" customHeight="1" x14ac:dyDescent="0.25">
      <c r="A748" s="4"/>
      <c r="B748" s="4"/>
      <c r="C748" s="4"/>
      <c r="D748" s="4"/>
      <c r="E748" s="128"/>
      <c r="F748" s="128"/>
      <c r="G748" s="753"/>
      <c r="H748" s="128"/>
      <c r="I748" s="128"/>
      <c r="J748" s="130"/>
      <c r="K748" s="128"/>
      <c r="L748" s="128"/>
      <c r="M748" s="130"/>
      <c r="N748" s="130"/>
      <c r="O748" s="130"/>
      <c r="P748" s="128"/>
      <c r="Q748" s="128"/>
      <c r="R748" s="128"/>
      <c r="S748" s="298"/>
      <c r="T748" s="4"/>
      <c r="U748" s="4"/>
      <c r="V748" s="4"/>
      <c r="W748" s="4"/>
      <c r="X748" s="4"/>
      <c r="Y748" s="128"/>
      <c r="Z748" s="128"/>
      <c r="AA748" s="128"/>
      <c r="AB748" s="4"/>
      <c r="AC748" s="4"/>
      <c r="AD748" s="4"/>
      <c r="AE748" s="4"/>
      <c r="AF748" s="4"/>
      <c r="AG748" s="4"/>
      <c r="AH748" s="4"/>
      <c r="AI748" s="4"/>
      <c r="AJ748" s="246"/>
      <c r="AK748" s="246"/>
      <c r="AL748" s="129"/>
      <c r="AM748" s="129"/>
      <c r="AN748" s="129"/>
      <c r="AO748" s="246"/>
      <c r="AP748" s="246"/>
      <c r="AQ748" s="249"/>
      <c r="AR748" s="4"/>
      <c r="AS748" s="4"/>
      <c r="AT748" s="4"/>
      <c r="AU748" s="4"/>
      <c r="AV748" s="4"/>
      <c r="AW748" s="4"/>
      <c r="AX748" s="4"/>
      <c r="AY748" s="128"/>
      <c r="AZ748" s="4"/>
      <c r="BA748" s="4"/>
      <c r="BB748" s="4"/>
      <c r="BC748" s="4"/>
      <c r="BD748" s="4"/>
      <c r="BE748" s="4"/>
      <c r="BF748" s="4"/>
      <c r="BG748" s="4"/>
      <c r="BH748" s="4"/>
      <c r="BI748" s="567"/>
    </row>
    <row r="749" spans="1:61" ht="12.75" customHeight="1" x14ac:dyDescent="0.25">
      <c r="A749" s="4"/>
      <c r="B749" s="4"/>
      <c r="C749" s="4"/>
      <c r="D749" s="4"/>
      <c r="E749" s="128"/>
      <c r="F749" s="128"/>
      <c r="G749" s="753"/>
      <c r="H749" s="128"/>
      <c r="I749" s="128"/>
      <c r="J749" s="130"/>
      <c r="K749" s="128"/>
      <c r="L749" s="128"/>
      <c r="M749" s="130"/>
      <c r="N749" s="130"/>
      <c r="O749" s="130"/>
      <c r="P749" s="128"/>
      <c r="Q749" s="128"/>
      <c r="R749" s="128"/>
      <c r="S749" s="298"/>
      <c r="T749" s="4"/>
      <c r="U749" s="4"/>
      <c r="V749" s="4"/>
      <c r="W749" s="4"/>
      <c r="X749" s="4"/>
      <c r="Y749" s="128"/>
      <c r="Z749" s="128"/>
      <c r="AA749" s="128"/>
      <c r="AB749" s="4"/>
      <c r="AC749" s="4"/>
      <c r="AD749" s="4"/>
      <c r="AE749" s="4"/>
      <c r="AF749" s="4"/>
      <c r="AG749" s="4"/>
      <c r="AH749" s="4"/>
      <c r="AI749" s="4"/>
      <c r="AJ749" s="246"/>
      <c r="AK749" s="246"/>
      <c r="AL749" s="129"/>
      <c r="AM749" s="129"/>
      <c r="AN749" s="129"/>
      <c r="AO749" s="246"/>
      <c r="AP749" s="246"/>
      <c r="AQ749" s="249"/>
      <c r="AR749" s="4"/>
      <c r="AS749" s="4"/>
      <c r="AT749" s="4"/>
      <c r="AU749" s="4"/>
      <c r="AV749" s="4"/>
      <c r="AW749" s="4"/>
      <c r="AX749" s="4"/>
      <c r="AY749" s="128"/>
      <c r="AZ749" s="4"/>
      <c r="BA749" s="4"/>
      <c r="BB749" s="4"/>
      <c r="BC749" s="4"/>
      <c r="BD749" s="4"/>
      <c r="BE749" s="4"/>
      <c r="BF749" s="4"/>
      <c r="BG749" s="4"/>
      <c r="BH749" s="4"/>
      <c r="BI749" s="567"/>
    </row>
    <row r="750" spans="1:61" ht="12.75" customHeight="1" x14ac:dyDescent="0.25">
      <c r="A750" s="4"/>
      <c r="B750" s="4"/>
      <c r="C750" s="4"/>
      <c r="D750" s="4"/>
      <c r="E750" s="128"/>
      <c r="F750" s="128"/>
      <c r="G750" s="753"/>
      <c r="H750" s="128"/>
      <c r="I750" s="128"/>
      <c r="J750" s="130"/>
      <c r="K750" s="128"/>
      <c r="L750" s="128"/>
      <c r="M750" s="130"/>
      <c r="N750" s="130"/>
      <c r="O750" s="130"/>
      <c r="P750" s="128"/>
      <c r="Q750" s="128"/>
      <c r="R750" s="128"/>
      <c r="S750" s="298"/>
      <c r="T750" s="4"/>
      <c r="U750" s="4"/>
      <c r="V750" s="4"/>
      <c r="W750" s="4"/>
      <c r="X750" s="4"/>
      <c r="Y750" s="128"/>
      <c r="Z750" s="128"/>
      <c r="AA750" s="128"/>
      <c r="AB750" s="4"/>
      <c r="AC750" s="4"/>
      <c r="AD750" s="4"/>
      <c r="AE750" s="4"/>
      <c r="AF750" s="4"/>
      <c r="AG750" s="4"/>
      <c r="AH750" s="4"/>
      <c r="AI750" s="4"/>
      <c r="AJ750" s="246"/>
      <c r="AK750" s="246"/>
      <c r="AL750" s="129"/>
      <c r="AM750" s="129"/>
      <c r="AN750" s="129"/>
      <c r="AO750" s="246"/>
      <c r="AP750" s="246"/>
      <c r="AQ750" s="249"/>
      <c r="AR750" s="4"/>
      <c r="AS750" s="4"/>
      <c r="AT750" s="4"/>
      <c r="AU750" s="4"/>
      <c r="AV750" s="4"/>
      <c r="AW750" s="4"/>
      <c r="AX750" s="4"/>
      <c r="AY750" s="128"/>
      <c r="AZ750" s="4"/>
      <c r="BA750" s="4"/>
      <c r="BB750" s="4"/>
      <c r="BC750" s="4"/>
      <c r="BD750" s="4"/>
      <c r="BE750" s="4"/>
      <c r="BF750" s="4"/>
      <c r="BG750" s="4"/>
      <c r="BH750" s="4"/>
      <c r="BI750" s="567"/>
    </row>
    <row r="751" spans="1:61" ht="12.75" customHeight="1" x14ac:dyDescent="0.25">
      <c r="A751" s="4"/>
      <c r="B751" s="4"/>
      <c r="C751" s="4"/>
      <c r="D751" s="4"/>
      <c r="E751" s="128"/>
      <c r="F751" s="128"/>
      <c r="G751" s="753"/>
      <c r="H751" s="128"/>
      <c r="I751" s="128"/>
      <c r="J751" s="130"/>
      <c r="K751" s="128"/>
      <c r="L751" s="128"/>
      <c r="M751" s="130"/>
      <c r="N751" s="130"/>
      <c r="O751" s="130"/>
      <c r="P751" s="128"/>
      <c r="Q751" s="128"/>
      <c r="R751" s="128"/>
      <c r="S751" s="298"/>
      <c r="T751" s="4"/>
      <c r="U751" s="4"/>
      <c r="V751" s="4"/>
      <c r="W751" s="4"/>
      <c r="X751" s="4"/>
      <c r="Y751" s="128"/>
      <c r="Z751" s="128"/>
      <c r="AA751" s="128"/>
      <c r="AB751" s="4"/>
      <c r="AC751" s="4"/>
      <c r="AD751" s="4"/>
      <c r="AE751" s="4"/>
      <c r="AF751" s="4"/>
      <c r="AG751" s="4"/>
      <c r="AH751" s="4"/>
      <c r="AI751" s="4"/>
      <c r="AJ751" s="246"/>
      <c r="AK751" s="246"/>
      <c r="AL751" s="129"/>
      <c r="AM751" s="129"/>
      <c r="AN751" s="129"/>
      <c r="AO751" s="246"/>
      <c r="AP751" s="246"/>
      <c r="AQ751" s="249"/>
      <c r="AR751" s="4"/>
      <c r="AS751" s="4"/>
      <c r="AT751" s="4"/>
      <c r="AU751" s="4"/>
      <c r="AV751" s="4"/>
      <c r="AW751" s="4"/>
      <c r="AX751" s="4"/>
      <c r="AY751" s="128"/>
      <c r="AZ751" s="4"/>
      <c r="BA751" s="4"/>
      <c r="BB751" s="4"/>
      <c r="BC751" s="4"/>
      <c r="BD751" s="4"/>
      <c r="BE751" s="4"/>
      <c r="BF751" s="4"/>
      <c r="BG751" s="4"/>
      <c r="BH751" s="4"/>
      <c r="BI751" s="567"/>
    </row>
    <row r="752" spans="1:61" ht="12.75" customHeight="1" x14ac:dyDescent="0.25">
      <c r="A752" s="4"/>
      <c r="B752" s="4"/>
      <c r="C752" s="4"/>
      <c r="D752" s="4"/>
      <c r="E752" s="128"/>
      <c r="F752" s="128"/>
      <c r="G752" s="753"/>
      <c r="H752" s="128"/>
      <c r="I752" s="128"/>
      <c r="J752" s="130"/>
      <c r="K752" s="128"/>
      <c r="L752" s="128"/>
      <c r="M752" s="130"/>
      <c r="N752" s="130"/>
      <c r="O752" s="130"/>
      <c r="P752" s="128"/>
      <c r="Q752" s="128"/>
      <c r="R752" s="128"/>
      <c r="S752" s="298"/>
      <c r="T752" s="4"/>
      <c r="U752" s="4"/>
      <c r="V752" s="4"/>
      <c r="W752" s="4"/>
      <c r="X752" s="4"/>
      <c r="Y752" s="128"/>
      <c r="Z752" s="128"/>
      <c r="AA752" s="128"/>
      <c r="AB752" s="4"/>
      <c r="AC752" s="4"/>
      <c r="AD752" s="4"/>
      <c r="AE752" s="4"/>
      <c r="AF752" s="4"/>
      <c r="AG752" s="4"/>
      <c r="AH752" s="4"/>
      <c r="AI752" s="4"/>
      <c r="AJ752" s="246"/>
      <c r="AK752" s="246"/>
      <c r="AL752" s="129"/>
      <c r="AM752" s="129"/>
      <c r="AN752" s="129"/>
      <c r="AO752" s="246"/>
      <c r="AP752" s="246"/>
      <c r="AQ752" s="249"/>
      <c r="AR752" s="4"/>
      <c r="AS752" s="4"/>
      <c r="AT752" s="4"/>
      <c r="AU752" s="4"/>
      <c r="AV752" s="4"/>
      <c r="AW752" s="4"/>
      <c r="AX752" s="4"/>
      <c r="AY752" s="128"/>
      <c r="AZ752" s="4"/>
      <c r="BA752" s="4"/>
      <c r="BB752" s="4"/>
      <c r="BC752" s="4"/>
      <c r="BD752" s="4"/>
      <c r="BE752" s="4"/>
      <c r="BF752" s="4"/>
      <c r="BG752" s="4"/>
      <c r="BH752" s="4"/>
      <c r="BI752" s="567"/>
    </row>
    <row r="753" spans="1:61" ht="12.75" customHeight="1" x14ac:dyDescent="0.25">
      <c r="A753" s="4"/>
      <c r="B753" s="4"/>
      <c r="C753" s="4"/>
      <c r="D753" s="4"/>
      <c r="E753" s="128"/>
      <c r="F753" s="128"/>
      <c r="G753" s="753"/>
      <c r="H753" s="128"/>
      <c r="I753" s="128"/>
      <c r="J753" s="130"/>
      <c r="K753" s="128"/>
      <c r="L753" s="128"/>
      <c r="M753" s="130"/>
      <c r="N753" s="130"/>
      <c r="O753" s="130"/>
      <c r="P753" s="128"/>
      <c r="Q753" s="128"/>
      <c r="R753" s="128"/>
      <c r="S753" s="298"/>
      <c r="T753" s="4"/>
      <c r="U753" s="4"/>
      <c r="V753" s="4"/>
      <c r="W753" s="4"/>
      <c r="X753" s="4"/>
      <c r="Y753" s="128"/>
      <c r="Z753" s="128"/>
      <c r="AA753" s="128"/>
      <c r="AB753" s="4"/>
      <c r="AC753" s="4"/>
      <c r="AD753" s="4"/>
      <c r="AE753" s="4"/>
      <c r="AF753" s="4"/>
      <c r="AG753" s="4"/>
      <c r="AH753" s="4"/>
      <c r="AI753" s="4"/>
      <c r="AJ753" s="246"/>
      <c r="AK753" s="246"/>
      <c r="AL753" s="129"/>
      <c r="AM753" s="129"/>
      <c r="AN753" s="129"/>
      <c r="AO753" s="246"/>
      <c r="AP753" s="246"/>
      <c r="AQ753" s="249"/>
      <c r="AR753" s="4"/>
      <c r="AS753" s="4"/>
      <c r="AT753" s="4"/>
      <c r="AU753" s="4"/>
      <c r="AV753" s="4"/>
      <c r="AW753" s="4"/>
      <c r="AX753" s="4"/>
      <c r="AY753" s="128"/>
      <c r="AZ753" s="4"/>
      <c r="BA753" s="4"/>
      <c r="BB753" s="4"/>
      <c r="BC753" s="4"/>
      <c r="BD753" s="4"/>
      <c r="BE753" s="4"/>
      <c r="BF753" s="4"/>
      <c r="BG753" s="4"/>
      <c r="BH753" s="4"/>
      <c r="BI753" s="567"/>
    </row>
    <row r="754" spans="1:61" ht="12.75" customHeight="1" x14ac:dyDescent="0.25">
      <c r="A754" s="4"/>
      <c r="B754" s="4"/>
      <c r="C754" s="4"/>
      <c r="D754" s="4"/>
      <c r="E754" s="128"/>
      <c r="F754" s="128"/>
      <c r="G754" s="753"/>
      <c r="H754" s="128"/>
      <c r="I754" s="128"/>
      <c r="J754" s="130"/>
      <c r="K754" s="128"/>
      <c r="L754" s="128"/>
      <c r="M754" s="130"/>
      <c r="N754" s="130"/>
      <c r="O754" s="130"/>
      <c r="P754" s="128"/>
      <c r="Q754" s="128"/>
      <c r="R754" s="128"/>
      <c r="S754" s="298"/>
      <c r="T754" s="4"/>
      <c r="U754" s="4"/>
      <c r="V754" s="4"/>
      <c r="W754" s="4"/>
      <c r="X754" s="4"/>
      <c r="Y754" s="128"/>
      <c r="Z754" s="128"/>
      <c r="AA754" s="128"/>
      <c r="AB754" s="4"/>
      <c r="AC754" s="4"/>
      <c r="AD754" s="4"/>
      <c r="AE754" s="4"/>
      <c r="AF754" s="4"/>
      <c r="AG754" s="4"/>
      <c r="AH754" s="4"/>
      <c r="AI754" s="4"/>
      <c r="AJ754" s="246"/>
      <c r="AK754" s="246"/>
      <c r="AL754" s="129"/>
      <c r="AM754" s="129"/>
      <c r="AN754" s="129"/>
      <c r="AO754" s="246"/>
      <c r="AP754" s="246"/>
      <c r="AQ754" s="249"/>
      <c r="AR754" s="4"/>
      <c r="AS754" s="4"/>
      <c r="AT754" s="4"/>
      <c r="AU754" s="4"/>
      <c r="AV754" s="4"/>
      <c r="AW754" s="4"/>
      <c r="AX754" s="4"/>
      <c r="AY754" s="128"/>
      <c r="AZ754" s="4"/>
      <c r="BA754" s="4"/>
      <c r="BB754" s="4"/>
      <c r="BC754" s="4"/>
      <c r="BD754" s="4"/>
      <c r="BE754" s="4"/>
      <c r="BF754" s="4"/>
      <c r="BG754" s="4"/>
      <c r="BH754" s="4"/>
      <c r="BI754" s="567"/>
    </row>
    <row r="755" spans="1:61" ht="12.75" customHeight="1" x14ac:dyDescent="0.25">
      <c r="A755" s="4"/>
      <c r="B755" s="4"/>
      <c r="C755" s="4"/>
      <c r="D755" s="4"/>
      <c r="E755" s="128"/>
      <c r="F755" s="128"/>
      <c r="G755" s="753"/>
      <c r="H755" s="128"/>
      <c r="I755" s="128"/>
      <c r="J755" s="130"/>
      <c r="K755" s="128"/>
      <c r="L755" s="128"/>
      <c r="M755" s="130"/>
      <c r="N755" s="130"/>
      <c r="O755" s="130"/>
      <c r="P755" s="128"/>
      <c r="Q755" s="128"/>
      <c r="R755" s="128"/>
      <c r="S755" s="298"/>
      <c r="T755" s="4"/>
      <c r="U755" s="4"/>
      <c r="V755" s="4"/>
      <c r="W755" s="4"/>
      <c r="X755" s="4"/>
      <c r="Y755" s="128"/>
      <c r="Z755" s="128"/>
      <c r="AA755" s="128"/>
      <c r="AB755" s="4"/>
      <c r="AC755" s="4"/>
      <c r="AD755" s="4"/>
      <c r="AE755" s="4"/>
      <c r="AF755" s="4"/>
      <c r="AG755" s="4"/>
      <c r="AH755" s="4"/>
      <c r="AI755" s="4"/>
      <c r="AJ755" s="246"/>
      <c r="AK755" s="246"/>
      <c r="AL755" s="129"/>
      <c r="AM755" s="129"/>
      <c r="AN755" s="129"/>
      <c r="AO755" s="246"/>
      <c r="AP755" s="246"/>
      <c r="AQ755" s="249"/>
      <c r="AR755" s="4"/>
      <c r="AS755" s="4"/>
      <c r="AT755" s="4"/>
      <c r="AU755" s="4"/>
      <c r="AV755" s="4"/>
      <c r="AW755" s="4"/>
      <c r="AX755" s="4"/>
      <c r="AY755" s="128"/>
      <c r="AZ755" s="4"/>
      <c r="BA755" s="4"/>
      <c r="BB755" s="4"/>
      <c r="BC755" s="4"/>
      <c r="BD755" s="4"/>
      <c r="BE755" s="4"/>
      <c r="BF755" s="4"/>
      <c r="BG755" s="4"/>
      <c r="BH755" s="4"/>
      <c r="BI755" s="567"/>
    </row>
    <row r="756" spans="1:61" ht="12.75" customHeight="1" x14ac:dyDescent="0.25">
      <c r="A756" s="4"/>
      <c r="B756" s="4"/>
      <c r="C756" s="4"/>
      <c r="D756" s="4"/>
      <c r="E756" s="128"/>
      <c r="F756" s="128"/>
      <c r="G756" s="753"/>
      <c r="H756" s="128"/>
      <c r="I756" s="128"/>
      <c r="J756" s="130"/>
      <c r="K756" s="128"/>
      <c r="L756" s="128"/>
      <c r="M756" s="130"/>
      <c r="N756" s="130"/>
      <c r="O756" s="130"/>
      <c r="P756" s="128"/>
      <c r="Q756" s="128"/>
      <c r="R756" s="128"/>
      <c r="S756" s="298"/>
      <c r="T756" s="4"/>
      <c r="U756" s="4"/>
      <c r="V756" s="4"/>
      <c r="W756" s="4"/>
      <c r="X756" s="4"/>
      <c r="Y756" s="128"/>
      <c r="Z756" s="128"/>
      <c r="AA756" s="128"/>
      <c r="AB756" s="4"/>
      <c r="AC756" s="4"/>
      <c r="AD756" s="4"/>
      <c r="AE756" s="4"/>
      <c r="AF756" s="4"/>
      <c r="AG756" s="4"/>
      <c r="AH756" s="4"/>
      <c r="AI756" s="4"/>
      <c r="AJ756" s="246"/>
      <c r="AK756" s="246"/>
      <c r="AL756" s="129"/>
      <c r="AM756" s="129"/>
      <c r="AN756" s="129"/>
      <c r="AO756" s="246"/>
      <c r="AP756" s="246"/>
      <c r="AQ756" s="249"/>
      <c r="AR756" s="4"/>
      <c r="AS756" s="4"/>
      <c r="AT756" s="4"/>
      <c r="AU756" s="4"/>
      <c r="AV756" s="4"/>
      <c r="AW756" s="4"/>
      <c r="AX756" s="4"/>
      <c r="AY756" s="128"/>
      <c r="AZ756" s="4"/>
      <c r="BA756" s="4"/>
      <c r="BB756" s="4"/>
      <c r="BC756" s="4"/>
      <c r="BD756" s="4"/>
      <c r="BE756" s="4"/>
      <c r="BF756" s="4"/>
      <c r="BG756" s="4"/>
      <c r="BH756" s="4"/>
      <c r="BI756" s="567"/>
    </row>
    <row r="757" spans="1:61" ht="12.75" customHeight="1" x14ac:dyDescent="0.25">
      <c r="A757" s="4"/>
      <c r="B757" s="4"/>
      <c r="C757" s="4"/>
      <c r="D757" s="4"/>
      <c r="E757" s="128"/>
      <c r="F757" s="128"/>
      <c r="G757" s="753"/>
      <c r="H757" s="128"/>
      <c r="I757" s="128"/>
      <c r="J757" s="130"/>
      <c r="K757" s="128"/>
      <c r="L757" s="128"/>
      <c r="M757" s="130"/>
      <c r="N757" s="130"/>
      <c r="O757" s="130"/>
      <c r="P757" s="128"/>
      <c r="Q757" s="128"/>
      <c r="R757" s="128"/>
      <c r="S757" s="298"/>
      <c r="T757" s="4"/>
      <c r="U757" s="4"/>
      <c r="V757" s="4"/>
      <c r="W757" s="4"/>
      <c r="X757" s="4"/>
      <c r="Y757" s="128"/>
      <c r="Z757" s="128"/>
      <c r="AA757" s="128"/>
      <c r="AB757" s="4"/>
      <c r="AC757" s="4"/>
      <c r="AD757" s="4"/>
      <c r="AE757" s="4"/>
      <c r="AF757" s="4"/>
      <c r="AG757" s="4"/>
      <c r="AH757" s="4"/>
      <c r="AI757" s="4"/>
      <c r="AJ757" s="246"/>
      <c r="AK757" s="246"/>
      <c r="AL757" s="129"/>
      <c r="AM757" s="129"/>
      <c r="AN757" s="129"/>
      <c r="AO757" s="246"/>
      <c r="AP757" s="246"/>
      <c r="AQ757" s="249"/>
      <c r="AR757" s="4"/>
      <c r="AS757" s="4"/>
      <c r="AT757" s="4"/>
      <c r="AU757" s="4"/>
      <c r="AV757" s="4"/>
      <c r="AW757" s="4"/>
      <c r="AX757" s="4"/>
      <c r="AY757" s="128"/>
      <c r="AZ757" s="4"/>
      <c r="BA757" s="4"/>
      <c r="BB757" s="4"/>
      <c r="BC757" s="4"/>
      <c r="BD757" s="4"/>
      <c r="BE757" s="4"/>
      <c r="BF757" s="4"/>
      <c r="BG757" s="4"/>
      <c r="BH757" s="4"/>
      <c r="BI757" s="567"/>
    </row>
    <row r="758" spans="1:61" ht="12.75" customHeight="1" x14ac:dyDescent="0.25">
      <c r="A758" s="4"/>
      <c r="B758" s="4"/>
      <c r="C758" s="4"/>
      <c r="D758" s="4"/>
      <c r="E758" s="128"/>
      <c r="F758" s="128"/>
      <c r="G758" s="753"/>
      <c r="H758" s="128"/>
      <c r="I758" s="128"/>
      <c r="J758" s="130"/>
      <c r="K758" s="128"/>
      <c r="L758" s="128"/>
      <c r="M758" s="130"/>
      <c r="N758" s="130"/>
      <c r="O758" s="130"/>
      <c r="P758" s="128"/>
      <c r="Q758" s="128"/>
      <c r="R758" s="128"/>
      <c r="S758" s="298"/>
      <c r="T758" s="4"/>
      <c r="U758" s="4"/>
      <c r="V758" s="4"/>
      <c r="W758" s="4"/>
      <c r="X758" s="4"/>
      <c r="Y758" s="128"/>
      <c r="Z758" s="128"/>
      <c r="AA758" s="128"/>
      <c r="AB758" s="4"/>
      <c r="AC758" s="4"/>
      <c r="AD758" s="4"/>
      <c r="AE758" s="4"/>
      <c r="AF758" s="4"/>
      <c r="AG758" s="4"/>
      <c r="AH758" s="4"/>
      <c r="AI758" s="4"/>
      <c r="AJ758" s="246"/>
      <c r="AK758" s="246"/>
      <c r="AL758" s="129"/>
      <c r="AM758" s="129"/>
      <c r="AN758" s="129"/>
      <c r="AO758" s="246"/>
      <c r="AP758" s="246"/>
      <c r="AQ758" s="249"/>
      <c r="AR758" s="4"/>
      <c r="AS758" s="4"/>
      <c r="AT758" s="4"/>
      <c r="AU758" s="4"/>
      <c r="AV758" s="4"/>
      <c r="AW758" s="4"/>
      <c r="AX758" s="4"/>
      <c r="AY758" s="128"/>
      <c r="AZ758" s="4"/>
      <c r="BA758" s="4"/>
      <c r="BB758" s="4"/>
      <c r="BC758" s="4"/>
      <c r="BD758" s="4"/>
      <c r="BE758" s="4"/>
      <c r="BF758" s="4"/>
      <c r="BG758" s="4"/>
      <c r="BH758" s="4"/>
      <c r="BI758" s="567"/>
    </row>
    <row r="759" spans="1:61" ht="12.75" customHeight="1" x14ac:dyDescent="0.25">
      <c r="A759" s="4"/>
      <c r="B759" s="4"/>
      <c r="C759" s="4"/>
      <c r="D759" s="4"/>
      <c r="E759" s="128"/>
      <c r="F759" s="128"/>
      <c r="G759" s="753"/>
      <c r="H759" s="128"/>
      <c r="I759" s="128"/>
      <c r="J759" s="130"/>
      <c r="K759" s="128"/>
      <c r="L759" s="128"/>
      <c r="M759" s="130"/>
      <c r="N759" s="130"/>
      <c r="O759" s="130"/>
      <c r="P759" s="128"/>
      <c r="Q759" s="128"/>
      <c r="R759" s="128"/>
      <c r="S759" s="298"/>
      <c r="T759" s="4"/>
      <c r="U759" s="4"/>
      <c r="V759" s="4"/>
      <c r="W759" s="4"/>
      <c r="X759" s="4"/>
      <c r="Y759" s="128"/>
      <c r="Z759" s="128"/>
      <c r="AA759" s="128"/>
      <c r="AB759" s="4"/>
      <c r="AC759" s="4"/>
      <c r="AD759" s="4"/>
      <c r="AE759" s="4"/>
      <c r="AF759" s="4"/>
      <c r="AG759" s="4"/>
      <c r="AH759" s="4"/>
      <c r="AI759" s="4"/>
      <c r="AJ759" s="246"/>
      <c r="AK759" s="246"/>
      <c r="AL759" s="129"/>
      <c r="AM759" s="129"/>
      <c r="AN759" s="129"/>
      <c r="AO759" s="246"/>
      <c r="AP759" s="246"/>
      <c r="AQ759" s="249"/>
      <c r="AR759" s="4"/>
      <c r="AS759" s="4"/>
      <c r="AT759" s="4"/>
      <c r="AU759" s="4"/>
      <c r="AV759" s="4"/>
      <c r="AW759" s="4"/>
      <c r="AX759" s="4"/>
      <c r="AY759" s="128"/>
      <c r="AZ759" s="4"/>
      <c r="BA759" s="4"/>
      <c r="BB759" s="4"/>
      <c r="BC759" s="4"/>
      <c r="BD759" s="4"/>
      <c r="BE759" s="4"/>
      <c r="BF759" s="4"/>
      <c r="BG759" s="4"/>
      <c r="BH759" s="4"/>
      <c r="BI759" s="567"/>
    </row>
    <row r="760" spans="1:61" ht="12.75" customHeight="1" x14ac:dyDescent="0.25">
      <c r="A760" s="4"/>
      <c r="B760" s="4"/>
      <c r="C760" s="4"/>
      <c r="D760" s="4"/>
      <c r="E760" s="128"/>
      <c r="F760" s="128"/>
      <c r="G760" s="753"/>
      <c r="H760" s="128"/>
      <c r="I760" s="128"/>
      <c r="J760" s="130"/>
      <c r="K760" s="128"/>
      <c r="L760" s="128"/>
      <c r="M760" s="130"/>
      <c r="N760" s="130"/>
      <c r="O760" s="130"/>
      <c r="P760" s="128"/>
      <c r="Q760" s="128"/>
      <c r="R760" s="128"/>
      <c r="S760" s="298"/>
      <c r="T760" s="4"/>
      <c r="U760" s="4"/>
      <c r="V760" s="4"/>
      <c r="W760" s="4"/>
      <c r="X760" s="4"/>
      <c r="Y760" s="128"/>
      <c r="Z760" s="128"/>
      <c r="AA760" s="128"/>
      <c r="AB760" s="4"/>
      <c r="AC760" s="4"/>
      <c r="AD760" s="4"/>
      <c r="AE760" s="4"/>
      <c r="AF760" s="4"/>
      <c r="AG760" s="4"/>
      <c r="AH760" s="4"/>
      <c r="AI760" s="4"/>
      <c r="AJ760" s="246"/>
      <c r="AK760" s="246"/>
      <c r="AL760" s="129"/>
      <c r="AM760" s="129"/>
      <c r="AN760" s="129"/>
      <c r="AO760" s="246"/>
      <c r="AP760" s="246"/>
      <c r="AQ760" s="249"/>
      <c r="AR760" s="4"/>
      <c r="AS760" s="4"/>
      <c r="AT760" s="4"/>
      <c r="AU760" s="4"/>
      <c r="AV760" s="4"/>
      <c r="AW760" s="4"/>
      <c r="AX760" s="4"/>
      <c r="AY760" s="128"/>
      <c r="AZ760" s="4"/>
      <c r="BA760" s="4"/>
      <c r="BB760" s="4"/>
      <c r="BC760" s="4"/>
      <c r="BD760" s="4"/>
      <c r="BE760" s="4"/>
      <c r="BF760" s="4"/>
      <c r="BG760" s="4"/>
      <c r="BH760" s="4"/>
      <c r="BI760" s="567"/>
    </row>
    <row r="761" spans="1:61" ht="12.75" customHeight="1" x14ac:dyDescent="0.25">
      <c r="A761" s="4"/>
      <c r="B761" s="4"/>
      <c r="C761" s="4"/>
      <c r="D761" s="4"/>
      <c r="E761" s="128"/>
      <c r="F761" s="128"/>
      <c r="G761" s="753"/>
      <c r="H761" s="128"/>
      <c r="I761" s="128"/>
      <c r="J761" s="130"/>
      <c r="K761" s="128"/>
      <c r="L761" s="128"/>
      <c r="M761" s="130"/>
      <c r="N761" s="130"/>
      <c r="O761" s="130"/>
      <c r="P761" s="128"/>
      <c r="Q761" s="128"/>
      <c r="R761" s="128"/>
      <c r="S761" s="298"/>
      <c r="T761" s="4"/>
      <c r="U761" s="4"/>
      <c r="V761" s="4"/>
      <c r="W761" s="4"/>
      <c r="X761" s="4"/>
      <c r="Y761" s="128"/>
      <c r="Z761" s="128"/>
      <c r="AA761" s="128"/>
      <c r="AB761" s="4"/>
      <c r="AC761" s="4"/>
      <c r="AD761" s="4"/>
      <c r="AE761" s="4"/>
      <c r="AF761" s="4"/>
      <c r="AG761" s="4"/>
      <c r="AH761" s="4"/>
      <c r="AI761" s="4"/>
      <c r="AJ761" s="246"/>
      <c r="AK761" s="246"/>
      <c r="AL761" s="129"/>
      <c r="AM761" s="129"/>
      <c r="AN761" s="129"/>
      <c r="AO761" s="246"/>
      <c r="AP761" s="246"/>
      <c r="AQ761" s="249"/>
      <c r="AR761" s="4"/>
      <c r="AS761" s="4"/>
      <c r="AT761" s="4"/>
      <c r="AU761" s="4"/>
      <c r="AV761" s="4"/>
      <c r="AW761" s="4"/>
      <c r="AX761" s="4"/>
      <c r="AY761" s="128"/>
      <c r="AZ761" s="4"/>
      <c r="BA761" s="4"/>
      <c r="BB761" s="4"/>
      <c r="BC761" s="4"/>
      <c r="BD761" s="4"/>
      <c r="BE761" s="4"/>
      <c r="BF761" s="4"/>
      <c r="BG761" s="4"/>
      <c r="BH761" s="4"/>
      <c r="BI761" s="567"/>
    </row>
    <row r="762" spans="1:61" ht="12.75" customHeight="1" x14ac:dyDescent="0.25">
      <c r="A762" s="4"/>
      <c r="B762" s="4"/>
      <c r="C762" s="4"/>
      <c r="D762" s="4"/>
      <c r="E762" s="128"/>
      <c r="F762" s="128"/>
      <c r="G762" s="753"/>
      <c r="H762" s="128"/>
      <c r="I762" s="128"/>
      <c r="J762" s="130"/>
      <c r="K762" s="128"/>
      <c r="L762" s="128"/>
      <c r="M762" s="130"/>
      <c r="N762" s="130"/>
      <c r="O762" s="130"/>
      <c r="P762" s="128"/>
      <c r="Q762" s="128"/>
      <c r="R762" s="128"/>
      <c r="S762" s="298"/>
      <c r="T762" s="4"/>
      <c r="U762" s="4"/>
      <c r="V762" s="4"/>
      <c r="W762" s="4"/>
      <c r="X762" s="4"/>
      <c r="Y762" s="128"/>
      <c r="Z762" s="128"/>
      <c r="AA762" s="128"/>
      <c r="AB762" s="4"/>
      <c r="AC762" s="4"/>
      <c r="AD762" s="4"/>
      <c r="AE762" s="4"/>
      <c r="AF762" s="4"/>
      <c r="AG762" s="4"/>
      <c r="AH762" s="4"/>
      <c r="AI762" s="4"/>
      <c r="AJ762" s="246"/>
      <c r="AK762" s="246"/>
      <c r="AL762" s="129"/>
      <c r="AM762" s="129"/>
      <c r="AN762" s="129"/>
      <c r="AO762" s="246"/>
      <c r="AP762" s="246"/>
      <c r="AQ762" s="249"/>
      <c r="AR762" s="4"/>
      <c r="AS762" s="4"/>
      <c r="AT762" s="4"/>
      <c r="AU762" s="4"/>
      <c r="AV762" s="4"/>
      <c r="AW762" s="4"/>
      <c r="AX762" s="4"/>
      <c r="AY762" s="128"/>
      <c r="AZ762" s="4"/>
      <c r="BA762" s="4"/>
      <c r="BB762" s="4"/>
      <c r="BC762" s="4"/>
      <c r="BD762" s="4"/>
      <c r="BE762" s="4"/>
      <c r="BF762" s="4"/>
      <c r="BG762" s="4"/>
      <c r="BH762" s="4"/>
      <c r="BI762" s="567"/>
    </row>
    <row r="763" spans="1:61" ht="12.75" customHeight="1" x14ac:dyDescent="0.25">
      <c r="A763" s="4"/>
      <c r="B763" s="4"/>
      <c r="C763" s="4"/>
      <c r="D763" s="4"/>
      <c r="E763" s="128"/>
      <c r="F763" s="128"/>
      <c r="G763" s="753"/>
      <c r="H763" s="128"/>
      <c r="I763" s="128"/>
      <c r="J763" s="130"/>
      <c r="K763" s="128"/>
      <c r="L763" s="128"/>
      <c r="M763" s="130"/>
      <c r="N763" s="130"/>
      <c r="O763" s="130"/>
      <c r="P763" s="128"/>
      <c r="Q763" s="128"/>
      <c r="R763" s="128"/>
      <c r="S763" s="298"/>
      <c r="T763" s="4"/>
      <c r="U763" s="4"/>
      <c r="V763" s="4"/>
      <c r="W763" s="4"/>
      <c r="X763" s="4"/>
      <c r="Y763" s="128"/>
      <c r="Z763" s="128"/>
      <c r="AA763" s="128"/>
      <c r="AB763" s="4"/>
      <c r="AC763" s="4"/>
      <c r="AD763" s="4"/>
      <c r="AE763" s="4"/>
      <c r="AF763" s="4"/>
      <c r="AG763" s="4"/>
      <c r="AH763" s="4"/>
      <c r="AI763" s="4"/>
      <c r="AJ763" s="246"/>
      <c r="AK763" s="246"/>
      <c r="AL763" s="129"/>
      <c r="AM763" s="129"/>
      <c r="AN763" s="129"/>
      <c r="AO763" s="246"/>
      <c r="AP763" s="246"/>
      <c r="AQ763" s="249"/>
      <c r="AR763" s="4"/>
      <c r="AS763" s="4"/>
      <c r="AT763" s="4"/>
      <c r="AU763" s="4"/>
      <c r="AV763" s="4"/>
      <c r="AW763" s="4"/>
      <c r="AX763" s="4"/>
      <c r="AY763" s="128"/>
      <c r="AZ763" s="4"/>
      <c r="BA763" s="4"/>
      <c r="BB763" s="4"/>
      <c r="BC763" s="4"/>
      <c r="BD763" s="4"/>
      <c r="BE763" s="4"/>
      <c r="BF763" s="4"/>
      <c r="BG763" s="4"/>
      <c r="BH763" s="4"/>
      <c r="BI763" s="567"/>
    </row>
    <row r="764" spans="1:61" ht="12.75" customHeight="1" x14ac:dyDescent="0.25">
      <c r="A764" s="4"/>
      <c r="B764" s="4"/>
      <c r="C764" s="4"/>
      <c r="D764" s="4"/>
      <c r="E764" s="128"/>
      <c r="F764" s="128"/>
      <c r="G764" s="753"/>
      <c r="H764" s="128"/>
      <c r="I764" s="128"/>
      <c r="J764" s="130"/>
      <c r="K764" s="128"/>
      <c r="L764" s="128"/>
      <c r="M764" s="130"/>
      <c r="N764" s="130"/>
      <c r="O764" s="130"/>
      <c r="P764" s="128"/>
      <c r="Q764" s="128"/>
      <c r="R764" s="128"/>
      <c r="S764" s="298"/>
      <c r="T764" s="4"/>
      <c r="U764" s="4"/>
      <c r="V764" s="4"/>
      <c r="W764" s="4"/>
      <c r="X764" s="4"/>
      <c r="Y764" s="128"/>
      <c r="Z764" s="128"/>
      <c r="AA764" s="128"/>
      <c r="AB764" s="4"/>
      <c r="AC764" s="4"/>
      <c r="AD764" s="4"/>
      <c r="AE764" s="4"/>
      <c r="AF764" s="4"/>
      <c r="AG764" s="4"/>
      <c r="AH764" s="4"/>
      <c r="AI764" s="4"/>
      <c r="AJ764" s="246"/>
      <c r="AK764" s="246"/>
      <c r="AL764" s="129"/>
      <c r="AM764" s="129"/>
      <c r="AN764" s="129"/>
      <c r="AO764" s="246"/>
      <c r="AP764" s="246"/>
      <c r="AQ764" s="249"/>
      <c r="AR764" s="4"/>
      <c r="AS764" s="4"/>
      <c r="AT764" s="4"/>
      <c r="AU764" s="4"/>
      <c r="AV764" s="4"/>
      <c r="AW764" s="4"/>
      <c r="AX764" s="4"/>
      <c r="AY764" s="128"/>
      <c r="AZ764" s="4"/>
      <c r="BA764" s="4"/>
      <c r="BB764" s="4"/>
      <c r="BC764" s="4"/>
      <c r="BD764" s="4"/>
      <c r="BE764" s="4"/>
      <c r="BF764" s="4"/>
      <c r="BG764" s="4"/>
      <c r="BH764" s="4"/>
      <c r="BI764" s="567"/>
    </row>
    <row r="765" spans="1:61" ht="12.75" customHeight="1" x14ac:dyDescent="0.25">
      <c r="A765" s="4"/>
      <c r="B765" s="4"/>
      <c r="C765" s="4"/>
      <c r="D765" s="4"/>
      <c r="E765" s="128"/>
      <c r="F765" s="128"/>
      <c r="G765" s="753"/>
      <c r="H765" s="128"/>
      <c r="I765" s="128"/>
      <c r="J765" s="130"/>
      <c r="K765" s="128"/>
      <c r="L765" s="128"/>
      <c r="M765" s="130"/>
      <c r="N765" s="130"/>
      <c r="O765" s="130"/>
      <c r="P765" s="128"/>
      <c r="Q765" s="128"/>
      <c r="R765" s="128"/>
      <c r="S765" s="298"/>
      <c r="T765" s="4"/>
      <c r="U765" s="4"/>
      <c r="V765" s="4"/>
      <c r="W765" s="4"/>
      <c r="X765" s="4"/>
      <c r="Y765" s="128"/>
      <c r="Z765" s="128"/>
      <c r="AA765" s="128"/>
      <c r="AB765" s="4"/>
      <c r="AC765" s="4"/>
      <c r="AD765" s="4"/>
      <c r="AE765" s="4"/>
      <c r="AF765" s="4"/>
      <c r="AG765" s="4"/>
      <c r="AH765" s="4"/>
      <c r="AI765" s="4"/>
      <c r="AJ765" s="246"/>
      <c r="AK765" s="246"/>
      <c r="AL765" s="129"/>
      <c r="AM765" s="129"/>
      <c r="AN765" s="129"/>
      <c r="AO765" s="246"/>
      <c r="AP765" s="246"/>
      <c r="AQ765" s="249"/>
      <c r="AR765" s="4"/>
      <c r="AS765" s="4"/>
      <c r="AT765" s="4"/>
      <c r="AU765" s="4"/>
      <c r="AV765" s="4"/>
      <c r="AW765" s="4"/>
      <c r="AX765" s="4"/>
      <c r="AY765" s="128"/>
      <c r="AZ765" s="4"/>
      <c r="BA765" s="4"/>
      <c r="BB765" s="4"/>
      <c r="BC765" s="4"/>
      <c r="BD765" s="4"/>
      <c r="BE765" s="4"/>
      <c r="BF765" s="4"/>
      <c r="BG765" s="4"/>
      <c r="BH765" s="4"/>
      <c r="BI765" s="567"/>
    </row>
    <row r="766" spans="1:61" ht="12.75" customHeight="1" x14ac:dyDescent="0.25">
      <c r="A766" s="4"/>
      <c r="B766" s="4"/>
      <c r="C766" s="4"/>
      <c r="D766" s="4"/>
      <c r="E766" s="128"/>
      <c r="F766" s="128"/>
      <c r="G766" s="753"/>
      <c r="H766" s="128"/>
      <c r="I766" s="128"/>
      <c r="J766" s="130"/>
      <c r="K766" s="128"/>
      <c r="L766" s="128"/>
      <c r="M766" s="130"/>
      <c r="N766" s="130"/>
      <c r="O766" s="130"/>
      <c r="P766" s="128"/>
      <c r="Q766" s="128"/>
      <c r="R766" s="128"/>
      <c r="S766" s="298"/>
      <c r="T766" s="4"/>
      <c r="U766" s="4"/>
      <c r="V766" s="4"/>
      <c r="W766" s="4"/>
      <c r="X766" s="4"/>
      <c r="Y766" s="128"/>
      <c r="Z766" s="128"/>
      <c r="AA766" s="128"/>
      <c r="AB766" s="4"/>
      <c r="AC766" s="4"/>
      <c r="AD766" s="4"/>
      <c r="AE766" s="4"/>
      <c r="AF766" s="4"/>
      <c r="AG766" s="4"/>
      <c r="AH766" s="4"/>
      <c r="AI766" s="4"/>
      <c r="AJ766" s="246"/>
      <c r="AK766" s="246"/>
      <c r="AL766" s="129"/>
      <c r="AM766" s="129"/>
      <c r="AN766" s="129"/>
      <c r="AO766" s="246"/>
      <c r="AP766" s="246"/>
      <c r="AQ766" s="249"/>
      <c r="AR766" s="4"/>
      <c r="AS766" s="4"/>
      <c r="AT766" s="4"/>
      <c r="AU766" s="4"/>
      <c r="AV766" s="4"/>
      <c r="AW766" s="4"/>
      <c r="AX766" s="4"/>
      <c r="AY766" s="128"/>
      <c r="AZ766" s="4"/>
      <c r="BA766" s="4"/>
      <c r="BB766" s="4"/>
      <c r="BC766" s="4"/>
      <c r="BD766" s="4"/>
      <c r="BE766" s="4"/>
      <c r="BF766" s="4"/>
      <c r="BG766" s="4"/>
      <c r="BH766" s="4"/>
      <c r="BI766" s="567"/>
    </row>
    <row r="767" spans="1:61" ht="12.75" customHeight="1" x14ac:dyDescent="0.25">
      <c r="A767" s="4"/>
      <c r="B767" s="4"/>
      <c r="C767" s="4"/>
      <c r="D767" s="4"/>
      <c r="E767" s="128"/>
      <c r="F767" s="128"/>
      <c r="G767" s="753"/>
      <c r="H767" s="128"/>
      <c r="I767" s="128"/>
      <c r="J767" s="130"/>
      <c r="K767" s="128"/>
      <c r="L767" s="128"/>
      <c r="M767" s="130"/>
      <c r="N767" s="130"/>
      <c r="O767" s="130"/>
      <c r="P767" s="128"/>
      <c r="Q767" s="128"/>
      <c r="R767" s="128"/>
      <c r="S767" s="298"/>
      <c r="T767" s="4"/>
      <c r="U767" s="4"/>
      <c r="V767" s="4"/>
      <c r="W767" s="4"/>
      <c r="X767" s="4"/>
      <c r="Y767" s="128"/>
      <c r="Z767" s="128"/>
      <c r="AA767" s="128"/>
      <c r="AB767" s="4"/>
      <c r="AC767" s="4"/>
      <c r="AD767" s="4"/>
      <c r="AE767" s="4"/>
      <c r="AF767" s="4"/>
      <c r="AG767" s="4"/>
      <c r="AH767" s="4"/>
      <c r="AI767" s="4"/>
      <c r="AJ767" s="246"/>
      <c r="AK767" s="246"/>
      <c r="AL767" s="129"/>
      <c r="AM767" s="129"/>
      <c r="AN767" s="129"/>
      <c r="AO767" s="246"/>
      <c r="AP767" s="246"/>
      <c r="AQ767" s="249"/>
      <c r="AR767" s="4"/>
      <c r="AS767" s="4"/>
      <c r="AT767" s="4"/>
      <c r="AU767" s="4"/>
      <c r="AV767" s="4"/>
      <c r="AW767" s="4"/>
      <c r="AX767" s="4"/>
      <c r="AY767" s="128"/>
      <c r="AZ767" s="4"/>
      <c r="BA767" s="4"/>
      <c r="BB767" s="4"/>
      <c r="BC767" s="4"/>
      <c r="BD767" s="4"/>
      <c r="BE767" s="4"/>
      <c r="BF767" s="4"/>
      <c r="BG767" s="4"/>
      <c r="BH767" s="4"/>
      <c r="BI767" s="567"/>
    </row>
    <row r="768" spans="1:61" ht="12.75" customHeight="1" x14ac:dyDescent="0.25">
      <c r="A768" s="4"/>
      <c r="B768" s="4"/>
      <c r="C768" s="4"/>
      <c r="D768" s="4"/>
      <c r="E768" s="128"/>
      <c r="F768" s="128"/>
      <c r="G768" s="753"/>
      <c r="H768" s="128"/>
      <c r="I768" s="128"/>
      <c r="J768" s="130"/>
      <c r="K768" s="128"/>
      <c r="L768" s="128"/>
      <c r="M768" s="130"/>
      <c r="N768" s="130"/>
      <c r="O768" s="130"/>
      <c r="P768" s="128"/>
      <c r="Q768" s="128"/>
      <c r="R768" s="128"/>
      <c r="S768" s="298"/>
      <c r="T768" s="4"/>
      <c r="U768" s="4"/>
      <c r="V768" s="4"/>
      <c r="W768" s="4"/>
      <c r="X768" s="4"/>
      <c r="Y768" s="128"/>
      <c r="Z768" s="128"/>
      <c r="AA768" s="128"/>
      <c r="AB768" s="4"/>
      <c r="AC768" s="4"/>
      <c r="AD768" s="4"/>
      <c r="AE768" s="4"/>
      <c r="AF768" s="4"/>
      <c r="AG768" s="4"/>
      <c r="AH768" s="4"/>
      <c r="AI768" s="4"/>
      <c r="AJ768" s="246"/>
      <c r="AK768" s="246"/>
      <c r="AL768" s="129"/>
      <c r="AM768" s="129"/>
      <c r="AN768" s="129"/>
      <c r="AO768" s="246"/>
      <c r="AP768" s="246"/>
      <c r="AQ768" s="249"/>
      <c r="AR768" s="4"/>
      <c r="AS768" s="4"/>
      <c r="AT768" s="4"/>
      <c r="AU768" s="4"/>
      <c r="AV768" s="4"/>
      <c r="AW768" s="4"/>
      <c r="AX768" s="4"/>
      <c r="AY768" s="128"/>
      <c r="AZ768" s="4"/>
      <c r="BA768" s="4"/>
      <c r="BB768" s="4"/>
      <c r="BC768" s="4"/>
      <c r="BD768" s="4"/>
      <c r="BE768" s="4"/>
      <c r="BF768" s="4"/>
      <c r="BG768" s="4"/>
      <c r="BH768" s="4"/>
      <c r="BI768" s="567"/>
    </row>
    <row r="769" spans="1:61" ht="12.75" customHeight="1" x14ac:dyDescent="0.25">
      <c r="A769" s="4"/>
      <c r="B769" s="4"/>
      <c r="C769" s="4"/>
      <c r="D769" s="4"/>
      <c r="E769" s="128"/>
      <c r="F769" s="128"/>
      <c r="G769" s="753"/>
      <c r="H769" s="128"/>
      <c r="I769" s="128"/>
      <c r="J769" s="130"/>
      <c r="K769" s="128"/>
      <c r="L769" s="128"/>
      <c r="M769" s="130"/>
      <c r="N769" s="130"/>
      <c r="O769" s="130"/>
      <c r="P769" s="128"/>
      <c r="Q769" s="128"/>
      <c r="R769" s="128"/>
      <c r="S769" s="298"/>
      <c r="T769" s="4"/>
      <c r="U769" s="4"/>
      <c r="V769" s="4"/>
      <c r="W769" s="4"/>
      <c r="X769" s="4"/>
      <c r="Y769" s="128"/>
      <c r="Z769" s="128"/>
      <c r="AA769" s="128"/>
      <c r="AB769" s="4"/>
      <c r="AC769" s="4"/>
      <c r="AD769" s="4"/>
      <c r="AE769" s="4"/>
      <c r="AF769" s="4"/>
      <c r="AG769" s="4"/>
      <c r="AH769" s="4"/>
      <c r="AI769" s="4"/>
      <c r="AJ769" s="246"/>
      <c r="AK769" s="246"/>
      <c r="AL769" s="129"/>
      <c r="AM769" s="129"/>
      <c r="AN769" s="129"/>
      <c r="AO769" s="246"/>
      <c r="AP769" s="246"/>
      <c r="AQ769" s="249"/>
      <c r="AR769" s="4"/>
      <c r="AS769" s="4"/>
      <c r="AT769" s="4"/>
      <c r="AU769" s="4"/>
      <c r="AV769" s="4"/>
      <c r="AW769" s="4"/>
      <c r="AX769" s="4"/>
      <c r="AY769" s="128"/>
      <c r="AZ769" s="4"/>
      <c r="BA769" s="4"/>
      <c r="BB769" s="4"/>
      <c r="BC769" s="4"/>
      <c r="BD769" s="4"/>
      <c r="BE769" s="4"/>
      <c r="BF769" s="4"/>
      <c r="BG769" s="4"/>
      <c r="BH769" s="4"/>
      <c r="BI769" s="567"/>
    </row>
    <row r="770" spans="1:61" ht="12.75" customHeight="1" x14ac:dyDescent="0.25">
      <c r="A770" s="4"/>
      <c r="B770" s="4"/>
      <c r="C770" s="4"/>
      <c r="D770" s="4"/>
      <c r="E770" s="128"/>
      <c r="F770" s="128"/>
      <c r="G770" s="753"/>
      <c r="H770" s="128"/>
      <c r="I770" s="128"/>
      <c r="J770" s="130"/>
      <c r="K770" s="128"/>
      <c r="L770" s="128"/>
      <c r="M770" s="130"/>
      <c r="N770" s="130"/>
      <c r="O770" s="130"/>
      <c r="P770" s="128"/>
      <c r="Q770" s="128"/>
      <c r="R770" s="128"/>
      <c r="S770" s="298"/>
      <c r="T770" s="4"/>
      <c r="U770" s="4"/>
      <c r="V770" s="4"/>
      <c r="W770" s="4"/>
      <c r="X770" s="4"/>
      <c r="Y770" s="128"/>
      <c r="Z770" s="128"/>
      <c r="AA770" s="128"/>
      <c r="AB770" s="4"/>
      <c r="AC770" s="4"/>
      <c r="AD770" s="4"/>
      <c r="AE770" s="4"/>
      <c r="AF770" s="4"/>
      <c r="AG770" s="4"/>
      <c r="AH770" s="4"/>
      <c r="AI770" s="4"/>
      <c r="AJ770" s="246"/>
      <c r="AK770" s="246"/>
      <c r="AL770" s="129"/>
      <c r="AM770" s="129"/>
      <c r="AN770" s="129"/>
      <c r="AO770" s="246"/>
      <c r="AP770" s="246"/>
      <c r="AQ770" s="249"/>
      <c r="AR770" s="4"/>
      <c r="AS770" s="4"/>
      <c r="AT770" s="4"/>
      <c r="AU770" s="4"/>
      <c r="AV770" s="4"/>
      <c r="AW770" s="4"/>
      <c r="AX770" s="4"/>
      <c r="AY770" s="128"/>
      <c r="AZ770" s="4"/>
      <c r="BA770" s="4"/>
      <c r="BB770" s="4"/>
      <c r="BC770" s="4"/>
      <c r="BD770" s="4"/>
      <c r="BE770" s="4"/>
      <c r="BF770" s="4"/>
      <c r="BG770" s="4"/>
      <c r="BH770" s="4"/>
      <c r="BI770" s="567"/>
    </row>
    <row r="771" spans="1:61" ht="12.75" customHeight="1" x14ac:dyDescent="0.25">
      <c r="A771" s="4"/>
      <c r="B771" s="4"/>
      <c r="C771" s="4"/>
      <c r="D771" s="4"/>
      <c r="E771" s="128"/>
      <c r="F771" s="128"/>
      <c r="G771" s="753"/>
      <c r="H771" s="128"/>
      <c r="I771" s="128"/>
      <c r="J771" s="130"/>
      <c r="K771" s="128"/>
      <c r="L771" s="128"/>
      <c r="M771" s="130"/>
      <c r="N771" s="130"/>
      <c r="O771" s="130"/>
      <c r="P771" s="128"/>
      <c r="Q771" s="128"/>
      <c r="R771" s="128"/>
      <c r="S771" s="298"/>
      <c r="T771" s="4"/>
      <c r="U771" s="4"/>
      <c r="V771" s="4"/>
      <c r="W771" s="4"/>
      <c r="X771" s="4"/>
      <c r="Y771" s="128"/>
      <c r="Z771" s="128"/>
      <c r="AA771" s="128"/>
      <c r="AB771" s="4"/>
      <c r="AC771" s="4"/>
      <c r="AD771" s="4"/>
      <c r="AE771" s="4"/>
      <c r="AF771" s="4"/>
      <c r="AG771" s="4"/>
      <c r="AH771" s="4"/>
      <c r="AI771" s="4"/>
      <c r="AJ771" s="246"/>
      <c r="AK771" s="246"/>
      <c r="AL771" s="129"/>
      <c r="AM771" s="129"/>
      <c r="AN771" s="129"/>
      <c r="AO771" s="246"/>
      <c r="AP771" s="246"/>
      <c r="AQ771" s="249"/>
      <c r="AR771" s="4"/>
      <c r="AS771" s="4"/>
      <c r="AT771" s="4"/>
      <c r="AU771" s="4"/>
      <c r="AV771" s="4"/>
      <c r="AW771" s="4"/>
      <c r="AX771" s="4"/>
      <c r="AY771" s="128"/>
      <c r="AZ771" s="4"/>
      <c r="BA771" s="4"/>
      <c r="BB771" s="4"/>
      <c r="BC771" s="4"/>
      <c r="BD771" s="4"/>
      <c r="BE771" s="4"/>
      <c r="BF771" s="4"/>
      <c r="BG771" s="4"/>
      <c r="BH771" s="4"/>
      <c r="BI771" s="567"/>
    </row>
    <row r="772" spans="1:61" ht="12.75" customHeight="1" x14ac:dyDescent="0.25">
      <c r="A772" s="4"/>
      <c r="B772" s="4"/>
      <c r="C772" s="4"/>
      <c r="D772" s="4"/>
      <c r="E772" s="128"/>
      <c r="F772" s="128"/>
      <c r="G772" s="753"/>
      <c r="H772" s="128"/>
      <c r="I772" s="128"/>
      <c r="J772" s="130"/>
      <c r="K772" s="128"/>
      <c r="L772" s="128"/>
      <c r="M772" s="130"/>
      <c r="N772" s="130"/>
      <c r="O772" s="130"/>
      <c r="P772" s="128"/>
      <c r="Q772" s="128"/>
      <c r="R772" s="128"/>
      <c r="S772" s="298"/>
      <c r="T772" s="4"/>
      <c r="U772" s="4"/>
      <c r="V772" s="4"/>
      <c r="W772" s="4"/>
      <c r="X772" s="4"/>
      <c r="Y772" s="128"/>
      <c r="Z772" s="128"/>
      <c r="AA772" s="128"/>
      <c r="AB772" s="4"/>
      <c r="AC772" s="4"/>
      <c r="AD772" s="4"/>
      <c r="AE772" s="4"/>
      <c r="AF772" s="4"/>
      <c r="AG772" s="4"/>
      <c r="AH772" s="4"/>
      <c r="AI772" s="4"/>
      <c r="AJ772" s="246"/>
      <c r="AK772" s="246"/>
      <c r="AL772" s="129"/>
      <c r="AM772" s="129"/>
      <c r="AN772" s="129"/>
      <c r="AO772" s="246"/>
      <c r="AP772" s="246"/>
      <c r="AQ772" s="249"/>
      <c r="AR772" s="4"/>
      <c r="AS772" s="4"/>
      <c r="AT772" s="4"/>
      <c r="AU772" s="4"/>
      <c r="AV772" s="4"/>
      <c r="AW772" s="4"/>
      <c r="AX772" s="4"/>
      <c r="AY772" s="128"/>
      <c r="AZ772" s="4"/>
      <c r="BA772" s="4"/>
      <c r="BB772" s="4"/>
      <c r="BC772" s="4"/>
      <c r="BD772" s="4"/>
      <c r="BE772" s="4"/>
      <c r="BF772" s="4"/>
      <c r="BG772" s="4"/>
      <c r="BH772" s="4"/>
      <c r="BI772" s="567"/>
    </row>
    <row r="773" spans="1:61" ht="12.75" customHeight="1" x14ac:dyDescent="0.25">
      <c r="A773" s="4"/>
      <c r="B773" s="4"/>
      <c r="C773" s="4"/>
      <c r="D773" s="4"/>
      <c r="E773" s="128"/>
      <c r="F773" s="128"/>
      <c r="G773" s="753"/>
      <c r="H773" s="128"/>
      <c r="I773" s="128"/>
      <c r="J773" s="130"/>
      <c r="K773" s="128"/>
      <c r="L773" s="128"/>
      <c r="M773" s="130"/>
      <c r="N773" s="130"/>
      <c r="O773" s="130"/>
      <c r="P773" s="128"/>
      <c r="Q773" s="128"/>
      <c r="R773" s="128"/>
      <c r="S773" s="298"/>
      <c r="T773" s="4"/>
      <c r="U773" s="4"/>
      <c r="V773" s="4"/>
      <c r="W773" s="4"/>
      <c r="X773" s="4"/>
      <c r="Y773" s="128"/>
      <c r="Z773" s="128"/>
      <c r="AA773" s="128"/>
      <c r="AB773" s="4"/>
      <c r="AC773" s="4"/>
      <c r="AD773" s="4"/>
      <c r="AE773" s="4"/>
      <c r="AF773" s="4"/>
      <c r="AG773" s="4"/>
      <c r="AH773" s="4"/>
      <c r="AI773" s="4"/>
      <c r="AJ773" s="246"/>
      <c r="AK773" s="246"/>
      <c r="AL773" s="129"/>
      <c r="AM773" s="129"/>
      <c r="AN773" s="129"/>
      <c r="AO773" s="246"/>
      <c r="AP773" s="246"/>
      <c r="AQ773" s="249"/>
      <c r="AR773" s="4"/>
      <c r="AS773" s="4"/>
      <c r="AT773" s="4"/>
      <c r="AU773" s="4"/>
      <c r="AV773" s="4"/>
      <c r="AW773" s="4"/>
      <c r="AX773" s="4"/>
      <c r="AY773" s="128"/>
      <c r="AZ773" s="4"/>
      <c r="BA773" s="4"/>
      <c r="BB773" s="4"/>
      <c r="BC773" s="4"/>
      <c r="BD773" s="4"/>
      <c r="BE773" s="4"/>
      <c r="BF773" s="4"/>
      <c r="BG773" s="4"/>
      <c r="BH773" s="4"/>
      <c r="BI773" s="567"/>
    </row>
    <row r="774" spans="1:61" ht="12.75" customHeight="1" x14ac:dyDescent="0.25">
      <c r="A774" s="4"/>
      <c r="B774" s="4"/>
      <c r="C774" s="4"/>
      <c r="D774" s="4"/>
      <c r="E774" s="128"/>
      <c r="F774" s="128"/>
      <c r="G774" s="753"/>
      <c r="H774" s="128"/>
      <c r="I774" s="128"/>
      <c r="J774" s="130"/>
      <c r="K774" s="128"/>
      <c r="L774" s="128"/>
      <c r="M774" s="130"/>
      <c r="N774" s="130"/>
      <c r="O774" s="130"/>
      <c r="P774" s="128"/>
      <c r="Q774" s="128"/>
      <c r="R774" s="128"/>
      <c r="S774" s="298"/>
      <c r="T774" s="4"/>
      <c r="U774" s="4"/>
      <c r="V774" s="4"/>
      <c r="W774" s="4"/>
      <c r="X774" s="4"/>
      <c r="Y774" s="128"/>
      <c r="Z774" s="128"/>
      <c r="AA774" s="128"/>
      <c r="AB774" s="4"/>
      <c r="AC774" s="4"/>
      <c r="AD774" s="4"/>
      <c r="AE774" s="4"/>
      <c r="AF774" s="4"/>
      <c r="AG774" s="4"/>
      <c r="AH774" s="4"/>
      <c r="AI774" s="4"/>
      <c r="AJ774" s="246"/>
      <c r="AK774" s="246"/>
      <c r="AL774" s="129"/>
      <c r="AM774" s="129"/>
      <c r="AN774" s="129"/>
      <c r="AO774" s="246"/>
      <c r="AP774" s="246"/>
      <c r="AQ774" s="249"/>
      <c r="AR774" s="4"/>
      <c r="AS774" s="4"/>
      <c r="AT774" s="4"/>
      <c r="AU774" s="4"/>
      <c r="AV774" s="4"/>
      <c r="AW774" s="4"/>
      <c r="AX774" s="4"/>
      <c r="AY774" s="128"/>
      <c r="AZ774" s="4"/>
      <c r="BA774" s="4"/>
      <c r="BB774" s="4"/>
      <c r="BC774" s="4"/>
      <c r="BD774" s="4"/>
      <c r="BE774" s="4"/>
      <c r="BF774" s="4"/>
      <c r="BG774" s="4"/>
      <c r="BH774" s="4"/>
      <c r="BI774" s="567"/>
    </row>
    <row r="775" spans="1:61" ht="12.75" customHeight="1" x14ac:dyDescent="0.25">
      <c r="A775" s="4"/>
      <c r="B775" s="4"/>
      <c r="C775" s="4"/>
      <c r="D775" s="4"/>
      <c r="E775" s="128"/>
      <c r="F775" s="128"/>
      <c r="G775" s="753"/>
      <c r="H775" s="128"/>
      <c r="I775" s="128"/>
      <c r="J775" s="130"/>
      <c r="K775" s="128"/>
      <c r="L775" s="128"/>
      <c r="M775" s="130"/>
      <c r="N775" s="130"/>
      <c r="O775" s="130"/>
      <c r="P775" s="128"/>
      <c r="Q775" s="128"/>
      <c r="R775" s="128"/>
      <c r="S775" s="298"/>
      <c r="T775" s="4"/>
      <c r="U775" s="4"/>
      <c r="V775" s="4"/>
      <c r="W775" s="4"/>
      <c r="X775" s="4"/>
      <c r="Y775" s="128"/>
      <c r="Z775" s="128"/>
      <c r="AA775" s="128"/>
      <c r="AB775" s="4"/>
      <c r="AC775" s="4"/>
      <c r="AD775" s="4"/>
      <c r="AE775" s="4"/>
      <c r="AF775" s="4"/>
      <c r="AG775" s="4"/>
      <c r="AH775" s="4"/>
      <c r="AI775" s="4"/>
      <c r="AJ775" s="246"/>
      <c r="AK775" s="246"/>
      <c r="AL775" s="129"/>
      <c r="AM775" s="129"/>
      <c r="AN775" s="129"/>
      <c r="AO775" s="246"/>
      <c r="AP775" s="246"/>
      <c r="AQ775" s="249"/>
      <c r="AR775" s="4"/>
      <c r="AS775" s="4"/>
      <c r="AT775" s="4"/>
      <c r="AU775" s="4"/>
      <c r="AV775" s="4"/>
      <c r="AW775" s="4"/>
      <c r="AX775" s="4"/>
      <c r="AY775" s="128"/>
      <c r="AZ775" s="4"/>
      <c r="BA775" s="4"/>
      <c r="BB775" s="4"/>
      <c r="BC775" s="4"/>
      <c r="BD775" s="4"/>
      <c r="BE775" s="4"/>
      <c r="BF775" s="4"/>
      <c r="BG775" s="4"/>
      <c r="BH775" s="4"/>
      <c r="BI775" s="567"/>
    </row>
    <row r="776" spans="1:61" ht="12.75" customHeight="1" x14ac:dyDescent="0.25">
      <c r="A776" s="4"/>
      <c r="B776" s="4"/>
      <c r="C776" s="4"/>
      <c r="D776" s="4"/>
      <c r="E776" s="128"/>
      <c r="F776" s="128"/>
      <c r="G776" s="753"/>
      <c r="H776" s="128"/>
      <c r="I776" s="128"/>
      <c r="J776" s="130"/>
      <c r="K776" s="128"/>
      <c r="L776" s="128"/>
      <c r="M776" s="130"/>
      <c r="N776" s="130"/>
      <c r="O776" s="130"/>
      <c r="P776" s="128"/>
      <c r="Q776" s="128"/>
      <c r="R776" s="128"/>
      <c r="S776" s="298"/>
      <c r="T776" s="4"/>
      <c r="U776" s="4"/>
      <c r="V776" s="4"/>
      <c r="W776" s="4"/>
      <c r="X776" s="4"/>
      <c r="Y776" s="128"/>
      <c r="Z776" s="128"/>
      <c r="AA776" s="128"/>
      <c r="AB776" s="4"/>
      <c r="AC776" s="4"/>
      <c r="AD776" s="4"/>
      <c r="AE776" s="4"/>
      <c r="AF776" s="4"/>
      <c r="AG776" s="4"/>
      <c r="AH776" s="4"/>
      <c r="AI776" s="4"/>
      <c r="AJ776" s="246"/>
      <c r="AK776" s="246"/>
      <c r="AL776" s="129"/>
      <c r="AM776" s="129"/>
      <c r="AN776" s="129"/>
      <c r="AO776" s="246"/>
      <c r="AP776" s="246"/>
      <c r="AQ776" s="249"/>
      <c r="AR776" s="4"/>
      <c r="AS776" s="4"/>
      <c r="AT776" s="4"/>
      <c r="AU776" s="4"/>
      <c r="AV776" s="4"/>
      <c r="AW776" s="4"/>
      <c r="AX776" s="4"/>
      <c r="AY776" s="128"/>
      <c r="AZ776" s="4"/>
      <c r="BA776" s="4"/>
      <c r="BB776" s="4"/>
      <c r="BC776" s="4"/>
      <c r="BD776" s="4"/>
      <c r="BE776" s="4"/>
      <c r="BF776" s="4"/>
      <c r="BG776" s="4"/>
      <c r="BH776" s="4"/>
      <c r="BI776" s="567"/>
    </row>
    <row r="777" spans="1:61" ht="12.75" customHeight="1" x14ac:dyDescent="0.25">
      <c r="A777" s="4"/>
      <c r="B777" s="4"/>
      <c r="C777" s="4"/>
      <c r="D777" s="4"/>
      <c r="E777" s="128"/>
      <c r="F777" s="128"/>
      <c r="G777" s="753"/>
      <c r="H777" s="128"/>
      <c r="I777" s="128"/>
      <c r="J777" s="130"/>
      <c r="K777" s="128"/>
      <c r="L777" s="128"/>
      <c r="M777" s="130"/>
      <c r="N777" s="130"/>
      <c r="O777" s="130"/>
      <c r="P777" s="128"/>
      <c r="Q777" s="128"/>
      <c r="R777" s="128"/>
      <c r="S777" s="298"/>
      <c r="T777" s="4"/>
      <c r="U777" s="4"/>
      <c r="V777" s="4"/>
      <c r="W777" s="4"/>
      <c r="X777" s="4"/>
      <c r="Y777" s="128"/>
      <c r="Z777" s="128"/>
      <c r="AA777" s="128"/>
      <c r="AB777" s="4"/>
      <c r="AC777" s="4"/>
      <c r="AD777" s="4"/>
      <c r="AE777" s="4"/>
      <c r="AF777" s="4"/>
      <c r="AG777" s="4"/>
      <c r="AH777" s="4"/>
      <c r="AI777" s="4"/>
      <c r="AJ777" s="246"/>
      <c r="AK777" s="246"/>
      <c r="AL777" s="129"/>
      <c r="AM777" s="129"/>
      <c r="AN777" s="129"/>
      <c r="AO777" s="246"/>
      <c r="AP777" s="246"/>
      <c r="AQ777" s="249"/>
      <c r="AR777" s="4"/>
      <c r="AS777" s="4"/>
      <c r="AT777" s="4"/>
      <c r="AU777" s="4"/>
      <c r="AV777" s="4"/>
      <c r="AW777" s="4"/>
      <c r="AX777" s="4"/>
      <c r="AY777" s="128"/>
      <c r="AZ777" s="4"/>
      <c r="BA777" s="4"/>
      <c r="BB777" s="4"/>
      <c r="BC777" s="4"/>
      <c r="BD777" s="4"/>
      <c r="BE777" s="4"/>
      <c r="BF777" s="4"/>
      <c r="BG777" s="4"/>
      <c r="BH777" s="4"/>
      <c r="BI777" s="567"/>
    </row>
    <row r="778" spans="1:61" ht="12.75" customHeight="1" x14ac:dyDescent="0.25">
      <c r="A778" s="4"/>
      <c r="B778" s="4"/>
      <c r="C778" s="4"/>
      <c r="D778" s="4"/>
      <c r="E778" s="128"/>
      <c r="F778" s="128"/>
      <c r="G778" s="753"/>
      <c r="H778" s="128"/>
      <c r="I778" s="128"/>
      <c r="J778" s="130"/>
      <c r="K778" s="128"/>
      <c r="L778" s="128"/>
      <c r="M778" s="130"/>
      <c r="N778" s="130"/>
      <c r="O778" s="130"/>
      <c r="P778" s="128"/>
      <c r="Q778" s="128"/>
      <c r="R778" s="128"/>
      <c r="S778" s="298"/>
      <c r="T778" s="4"/>
      <c r="U778" s="4"/>
      <c r="V778" s="4"/>
      <c r="W778" s="4"/>
      <c r="X778" s="4"/>
      <c r="Y778" s="128"/>
      <c r="Z778" s="128"/>
      <c r="AA778" s="128"/>
      <c r="AB778" s="4"/>
      <c r="AC778" s="4"/>
      <c r="AD778" s="4"/>
      <c r="AE778" s="4"/>
      <c r="AF778" s="4"/>
      <c r="AG778" s="4"/>
      <c r="AH778" s="4"/>
      <c r="AI778" s="4"/>
      <c r="AJ778" s="246"/>
      <c r="AK778" s="246"/>
      <c r="AL778" s="129"/>
      <c r="AM778" s="129"/>
      <c r="AN778" s="129"/>
      <c r="AO778" s="246"/>
      <c r="AP778" s="246"/>
      <c r="AQ778" s="249"/>
      <c r="AR778" s="4"/>
      <c r="AS778" s="4"/>
      <c r="AT778" s="4"/>
      <c r="AU778" s="4"/>
      <c r="AV778" s="4"/>
      <c r="AW778" s="4"/>
      <c r="AX778" s="4"/>
      <c r="AY778" s="128"/>
      <c r="AZ778" s="4"/>
      <c r="BA778" s="4"/>
      <c r="BB778" s="4"/>
      <c r="BC778" s="4"/>
      <c r="BD778" s="4"/>
      <c r="BE778" s="4"/>
      <c r="BF778" s="4"/>
      <c r="BG778" s="4"/>
      <c r="BH778" s="4"/>
      <c r="BI778" s="567"/>
    </row>
    <row r="779" spans="1:61" ht="12.75" customHeight="1" x14ac:dyDescent="0.25">
      <c r="A779" s="4"/>
      <c r="B779" s="4"/>
      <c r="C779" s="4"/>
      <c r="D779" s="4"/>
      <c r="E779" s="128"/>
      <c r="F779" s="128"/>
      <c r="G779" s="753"/>
      <c r="H779" s="128"/>
      <c r="I779" s="128"/>
      <c r="J779" s="130"/>
      <c r="K779" s="128"/>
      <c r="L779" s="128"/>
      <c r="M779" s="130"/>
      <c r="N779" s="130"/>
      <c r="O779" s="130"/>
      <c r="P779" s="128"/>
      <c r="Q779" s="128"/>
      <c r="R779" s="128"/>
      <c r="S779" s="298"/>
      <c r="T779" s="4"/>
      <c r="U779" s="4"/>
      <c r="V779" s="4"/>
      <c r="W779" s="4"/>
      <c r="X779" s="4"/>
      <c r="Y779" s="128"/>
      <c r="Z779" s="128"/>
      <c r="AA779" s="128"/>
      <c r="AB779" s="4"/>
      <c r="AC779" s="4"/>
      <c r="AD779" s="4"/>
      <c r="AE779" s="4"/>
      <c r="AF779" s="4"/>
      <c r="AG779" s="4"/>
      <c r="AH779" s="4"/>
      <c r="AI779" s="4"/>
      <c r="AJ779" s="246"/>
      <c r="AK779" s="246"/>
      <c r="AL779" s="129"/>
      <c r="AM779" s="129"/>
      <c r="AN779" s="129"/>
      <c r="AO779" s="246"/>
      <c r="AP779" s="246"/>
      <c r="AQ779" s="249"/>
      <c r="AR779" s="4"/>
      <c r="AS779" s="4"/>
      <c r="AT779" s="4"/>
      <c r="AU779" s="4"/>
      <c r="AV779" s="4"/>
      <c r="AW779" s="4"/>
      <c r="AX779" s="4"/>
      <c r="AY779" s="128"/>
      <c r="AZ779" s="4"/>
      <c r="BA779" s="4"/>
      <c r="BB779" s="4"/>
      <c r="BC779" s="4"/>
      <c r="BD779" s="4"/>
      <c r="BE779" s="4"/>
      <c r="BF779" s="4"/>
      <c r="BG779" s="4"/>
      <c r="BH779" s="4"/>
      <c r="BI779" s="567"/>
    </row>
    <row r="780" spans="1:61" ht="12.75" customHeight="1" x14ac:dyDescent="0.25">
      <c r="A780" s="4"/>
      <c r="B780" s="4"/>
      <c r="C780" s="4"/>
      <c r="D780" s="4"/>
      <c r="E780" s="128"/>
      <c r="F780" s="128"/>
      <c r="G780" s="753"/>
      <c r="H780" s="128"/>
      <c r="I780" s="128"/>
      <c r="J780" s="130"/>
      <c r="K780" s="128"/>
      <c r="L780" s="128"/>
      <c r="M780" s="130"/>
      <c r="N780" s="130"/>
      <c r="O780" s="130"/>
      <c r="P780" s="128"/>
      <c r="Q780" s="128"/>
      <c r="R780" s="128"/>
      <c r="S780" s="298"/>
      <c r="T780" s="4"/>
      <c r="U780" s="4"/>
      <c r="V780" s="4"/>
      <c r="W780" s="4"/>
      <c r="X780" s="4"/>
      <c r="Y780" s="128"/>
      <c r="Z780" s="128"/>
      <c r="AA780" s="128"/>
      <c r="AB780" s="4"/>
      <c r="AC780" s="4"/>
      <c r="AD780" s="4"/>
      <c r="AE780" s="4"/>
      <c r="AF780" s="4"/>
      <c r="AG780" s="4"/>
      <c r="AH780" s="4"/>
      <c r="AI780" s="4"/>
      <c r="AJ780" s="246"/>
      <c r="AK780" s="246"/>
      <c r="AL780" s="129"/>
      <c r="AM780" s="129"/>
      <c r="AN780" s="129"/>
      <c r="AO780" s="246"/>
      <c r="AP780" s="246"/>
      <c r="AQ780" s="249"/>
      <c r="AR780" s="4"/>
      <c r="AS780" s="4"/>
      <c r="AT780" s="4"/>
      <c r="AU780" s="4"/>
      <c r="AV780" s="4"/>
      <c r="AW780" s="4"/>
      <c r="AX780" s="4"/>
      <c r="AY780" s="128"/>
      <c r="AZ780" s="4"/>
      <c r="BA780" s="4"/>
      <c r="BB780" s="4"/>
      <c r="BC780" s="4"/>
      <c r="BD780" s="4"/>
      <c r="BE780" s="4"/>
      <c r="BF780" s="4"/>
      <c r="BG780" s="4"/>
      <c r="BH780" s="4"/>
      <c r="BI780" s="567"/>
    </row>
    <row r="781" spans="1:61" ht="12.75" customHeight="1" x14ac:dyDescent="0.25">
      <c r="A781" s="4"/>
      <c r="B781" s="4"/>
      <c r="C781" s="4"/>
      <c r="D781" s="4"/>
      <c r="E781" s="128"/>
      <c r="F781" s="128"/>
      <c r="G781" s="753"/>
      <c r="H781" s="128"/>
      <c r="I781" s="128"/>
      <c r="J781" s="130"/>
      <c r="K781" s="128"/>
      <c r="L781" s="128"/>
      <c r="M781" s="130"/>
      <c r="N781" s="130"/>
      <c r="O781" s="130"/>
      <c r="P781" s="128"/>
      <c r="Q781" s="128"/>
      <c r="R781" s="128"/>
      <c r="S781" s="298"/>
      <c r="T781" s="4"/>
      <c r="U781" s="4"/>
      <c r="V781" s="4"/>
      <c r="W781" s="4"/>
      <c r="X781" s="4"/>
      <c r="Y781" s="128"/>
      <c r="Z781" s="128"/>
      <c r="AA781" s="128"/>
      <c r="AB781" s="4"/>
      <c r="AC781" s="4"/>
      <c r="AD781" s="4"/>
      <c r="AE781" s="4"/>
      <c r="AF781" s="4"/>
      <c r="AG781" s="4"/>
      <c r="AH781" s="4"/>
      <c r="AI781" s="4"/>
      <c r="AJ781" s="246"/>
      <c r="AK781" s="246"/>
      <c r="AL781" s="129"/>
      <c r="AM781" s="129"/>
      <c r="AN781" s="129"/>
      <c r="AO781" s="246"/>
      <c r="AP781" s="246"/>
      <c r="AQ781" s="249"/>
      <c r="AR781" s="4"/>
      <c r="AS781" s="4"/>
      <c r="AT781" s="4"/>
      <c r="AU781" s="4"/>
      <c r="AV781" s="4"/>
      <c r="AW781" s="4"/>
      <c r="AX781" s="4"/>
      <c r="AY781" s="128"/>
      <c r="AZ781" s="4"/>
      <c r="BA781" s="4"/>
      <c r="BB781" s="4"/>
      <c r="BC781" s="4"/>
      <c r="BD781" s="4"/>
      <c r="BE781" s="4"/>
      <c r="BF781" s="4"/>
      <c r="BG781" s="4"/>
      <c r="BH781" s="4"/>
      <c r="BI781" s="567"/>
    </row>
    <row r="782" spans="1:61" ht="12.75" customHeight="1" x14ac:dyDescent="0.25">
      <c r="A782" s="4"/>
      <c r="B782" s="4"/>
      <c r="C782" s="4"/>
      <c r="D782" s="4"/>
      <c r="E782" s="128"/>
      <c r="F782" s="128"/>
      <c r="G782" s="753"/>
      <c r="H782" s="128"/>
      <c r="I782" s="128"/>
      <c r="J782" s="130"/>
      <c r="K782" s="128"/>
      <c r="L782" s="128"/>
      <c r="M782" s="130"/>
      <c r="N782" s="130"/>
      <c r="O782" s="130"/>
      <c r="P782" s="128"/>
      <c r="Q782" s="128"/>
      <c r="R782" s="128"/>
      <c r="S782" s="298"/>
      <c r="T782" s="4"/>
      <c r="U782" s="4"/>
      <c r="V782" s="4"/>
      <c r="W782" s="4"/>
      <c r="X782" s="4"/>
      <c r="Y782" s="128"/>
      <c r="Z782" s="128"/>
      <c r="AA782" s="128"/>
      <c r="AB782" s="4"/>
      <c r="AC782" s="4"/>
      <c r="AD782" s="4"/>
      <c r="AE782" s="4"/>
      <c r="AF782" s="4"/>
      <c r="AG782" s="4"/>
      <c r="AH782" s="4"/>
      <c r="AI782" s="4"/>
      <c r="AJ782" s="246"/>
      <c r="AK782" s="246"/>
      <c r="AL782" s="129"/>
      <c r="AM782" s="129"/>
      <c r="AN782" s="129"/>
      <c r="AO782" s="246"/>
      <c r="AP782" s="246"/>
      <c r="AQ782" s="249"/>
      <c r="AR782" s="4"/>
      <c r="AS782" s="4"/>
      <c r="AT782" s="4"/>
      <c r="AU782" s="4"/>
      <c r="AV782" s="4"/>
      <c r="AW782" s="4"/>
      <c r="AX782" s="4"/>
      <c r="AY782" s="128"/>
      <c r="AZ782" s="4"/>
      <c r="BA782" s="4"/>
      <c r="BB782" s="4"/>
      <c r="BC782" s="4"/>
      <c r="BD782" s="4"/>
      <c r="BE782" s="4"/>
      <c r="BF782" s="4"/>
      <c r="BG782" s="4"/>
      <c r="BH782" s="4"/>
      <c r="BI782" s="567"/>
    </row>
    <row r="783" spans="1:61" ht="12.75" customHeight="1" x14ac:dyDescent="0.25">
      <c r="A783" s="4"/>
      <c r="B783" s="4"/>
      <c r="C783" s="4"/>
      <c r="D783" s="4"/>
      <c r="E783" s="128"/>
      <c r="F783" s="128"/>
      <c r="G783" s="753"/>
      <c r="H783" s="128"/>
      <c r="I783" s="128"/>
      <c r="J783" s="130"/>
      <c r="K783" s="128"/>
      <c r="L783" s="128"/>
      <c r="M783" s="130"/>
      <c r="N783" s="130"/>
      <c r="O783" s="130"/>
      <c r="P783" s="128"/>
      <c r="Q783" s="128"/>
      <c r="R783" s="128"/>
      <c r="S783" s="298"/>
      <c r="T783" s="4"/>
      <c r="U783" s="4"/>
      <c r="V783" s="4"/>
      <c r="W783" s="4"/>
      <c r="X783" s="4"/>
      <c r="Y783" s="128"/>
      <c r="Z783" s="128"/>
      <c r="AA783" s="128"/>
      <c r="AB783" s="4"/>
      <c r="AC783" s="4"/>
      <c r="AD783" s="4"/>
      <c r="AE783" s="4"/>
      <c r="AF783" s="4"/>
      <c r="AG783" s="4"/>
      <c r="AH783" s="4"/>
      <c r="AI783" s="4"/>
      <c r="AJ783" s="246"/>
      <c r="AK783" s="246"/>
      <c r="AL783" s="129"/>
      <c r="AM783" s="129"/>
      <c r="AN783" s="129"/>
      <c r="AO783" s="246"/>
      <c r="AP783" s="246"/>
      <c r="AQ783" s="249"/>
      <c r="AR783" s="4"/>
      <c r="AS783" s="4"/>
      <c r="AT783" s="4"/>
      <c r="AU783" s="4"/>
      <c r="AV783" s="4"/>
      <c r="AW783" s="4"/>
      <c r="AX783" s="4"/>
      <c r="AY783" s="128"/>
      <c r="AZ783" s="4"/>
      <c r="BA783" s="4"/>
      <c r="BB783" s="4"/>
      <c r="BC783" s="4"/>
      <c r="BD783" s="4"/>
      <c r="BE783" s="4"/>
      <c r="BF783" s="4"/>
      <c r="BG783" s="4"/>
      <c r="BH783" s="4"/>
      <c r="BI783" s="567"/>
    </row>
    <row r="784" spans="1:61" ht="12.75" customHeight="1" x14ac:dyDescent="0.25">
      <c r="A784" s="4"/>
      <c r="B784" s="4"/>
      <c r="C784" s="4"/>
      <c r="D784" s="4"/>
      <c r="E784" s="128"/>
      <c r="F784" s="128"/>
      <c r="G784" s="753"/>
      <c r="H784" s="128"/>
      <c r="I784" s="128"/>
      <c r="J784" s="130"/>
      <c r="K784" s="128"/>
      <c r="L784" s="128"/>
      <c r="M784" s="130"/>
      <c r="N784" s="130"/>
      <c r="O784" s="130"/>
      <c r="P784" s="128"/>
      <c r="Q784" s="128"/>
      <c r="R784" s="128"/>
      <c r="S784" s="298"/>
      <c r="T784" s="4"/>
      <c r="U784" s="4"/>
      <c r="V784" s="4"/>
      <c r="W784" s="4"/>
      <c r="X784" s="4"/>
      <c r="Y784" s="128"/>
      <c r="Z784" s="128"/>
      <c r="AA784" s="128"/>
      <c r="AB784" s="4"/>
      <c r="AC784" s="4"/>
      <c r="AD784" s="4"/>
      <c r="AE784" s="4"/>
      <c r="AF784" s="4"/>
      <c r="AG784" s="4"/>
      <c r="AH784" s="4"/>
      <c r="AI784" s="4"/>
      <c r="AJ784" s="246"/>
      <c r="AK784" s="246"/>
      <c r="AL784" s="129"/>
      <c r="AM784" s="129"/>
      <c r="AN784" s="129"/>
      <c r="AO784" s="246"/>
      <c r="AP784" s="246"/>
      <c r="AQ784" s="249"/>
      <c r="AR784" s="4"/>
      <c r="AS784" s="4"/>
      <c r="AT784" s="4"/>
      <c r="AU784" s="4"/>
      <c r="AV784" s="4"/>
      <c r="AW784" s="4"/>
      <c r="AX784" s="4"/>
      <c r="AY784" s="128"/>
      <c r="AZ784" s="4"/>
      <c r="BA784" s="4"/>
      <c r="BB784" s="4"/>
      <c r="BC784" s="4"/>
      <c r="BD784" s="4"/>
      <c r="BE784" s="4"/>
      <c r="BF784" s="4"/>
      <c r="BG784" s="4"/>
      <c r="BH784" s="4"/>
      <c r="BI784" s="567"/>
    </row>
    <row r="785" spans="1:61" ht="12.75" customHeight="1" x14ac:dyDescent="0.25">
      <c r="A785" s="4"/>
      <c r="B785" s="4"/>
      <c r="C785" s="4"/>
      <c r="D785" s="4"/>
      <c r="E785" s="128"/>
      <c r="F785" s="128"/>
      <c r="G785" s="753"/>
      <c r="H785" s="128"/>
      <c r="I785" s="128"/>
      <c r="J785" s="130"/>
      <c r="K785" s="128"/>
      <c r="L785" s="128"/>
      <c r="M785" s="130"/>
      <c r="N785" s="130"/>
      <c r="O785" s="130"/>
      <c r="P785" s="128"/>
      <c r="Q785" s="128"/>
      <c r="R785" s="128"/>
      <c r="S785" s="298"/>
      <c r="T785" s="4"/>
      <c r="U785" s="4"/>
      <c r="V785" s="4"/>
      <c r="W785" s="4"/>
      <c r="X785" s="4"/>
      <c r="Y785" s="128"/>
      <c r="Z785" s="128"/>
      <c r="AA785" s="128"/>
      <c r="AB785" s="4"/>
      <c r="AC785" s="4"/>
      <c r="AD785" s="4"/>
      <c r="AE785" s="4"/>
      <c r="AF785" s="4"/>
      <c r="AG785" s="4"/>
      <c r="AH785" s="4"/>
      <c r="AI785" s="4"/>
      <c r="AJ785" s="246"/>
      <c r="AK785" s="246"/>
      <c r="AL785" s="129"/>
      <c r="AM785" s="129"/>
      <c r="AN785" s="129"/>
      <c r="AO785" s="246"/>
      <c r="AP785" s="246"/>
      <c r="AQ785" s="249"/>
      <c r="AR785" s="4"/>
      <c r="AS785" s="4"/>
      <c r="AT785" s="4"/>
      <c r="AU785" s="4"/>
      <c r="AV785" s="4"/>
      <c r="AW785" s="4"/>
      <c r="AX785" s="4"/>
      <c r="AY785" s="128"/>
      <c r="AZ785" s="4"/>
      <c r="BA785" s="4"/>
      <c r="BB785" s="4"/>
      <c r="BC785" s="4"/>
      <c r="BD785" s="4"/>
      <c r="BE785" s="4"/>
      <c r="BF785" s="4"/>
      <c r="BG785" s="4"/>
      <c r="BH785" s="4"/>
      <c r="BI785" s="567"/>
    </row>
    <row r="786" spans="1:61" ht="12.75" customHeight="1" x14ac:dyDescent="0.25">
      <c r="A786" s="4"/>
      <c r="B786" s="4"/>
      <c r="C786" s="4"/>
      <c r="D786" s="4"/>
      <c r="E786" s="128"/>
      <c r="F786" s="128"/>
      <c r="G786" s="753"/>
      <c r="H786" s="128"/>
      <c r="I786" s="128"/>
      <c r="J786" s="130"/>
      <c r="K786" s="128"/>
      <c r="L786" s="128"/>
      <c r="M786" s="130"/>
      <c r="N786" s="130"/>
      <c r="O786" s="130"/>
      <c r="P786" s="128"/>
      <c r="Q786" s="128"/>
      <c r="R786" s="128"/>
      <c r="S786" s="298"/>
      <c r="T786" s="4"/>
      <c r="U786" s="4"/>
      <c r="V786" s="4"/>
      <c r="W786" s="4"/>
      <c r="X786" s="4"/>
      <c r="Y786" s="128"/>
      <c r="Z786" s="128"/>
      <c r="AA786" s="128"/>
      <c r="AB786" s="4"/>
      <c r="AC786" s="4"/>
      <c r="AD786" s="4"/>
      <c r="AE786" s="4"/>
      <c r="AF786" s="4"/>
      <c r="AG786" s="4"/>
      <c r="AH786" s="4"/>
      <c r="AI786" s="4"/>
      <c r="AJ786" s="246"/>
      <c r="AK786" s="246"/>
      <c r="AL786" s="129"/>
      <c r="AM786" s="129"/>
      <c r="AN786" s="129"/>
      <c r="AO786" s="246"/>
      <c r="AP786" s="246"/>
      <c r="AQ786" s="249"/>
      <c r="AR786" s="4"/>
      <c r="AS786" s="4"/>
      <c r="AT786" s="4"/>
      <c r="AU786" s="4"/>
      <c r="AV786" s="4"/>
      <c r="AW786" s="4"/>
      <c r="AX786" s="4"/>
      <c r="AY786" s="128"/>
      <c r="AZ786" s="4"/>
      <c r="BA786" s="4"/>
      <c r="BB786" s="4"/>
      <c r="BC786" s="4"/>
      <c r="BD786" s="4"/>
      <c r="BE786" s="4"/>
      <c r="BF786" s="4"/>
      <c r="BG786" s="4"/>
      <c r="BH786" s="4"/>
      <c r="BI786" s="567"/>
    </row>
    <row r="787" spans="1:61" ht="12.75" customHeight="1" x14ac:dyDescent="0.25">
      <c r="A787" s="4"/>
      <c r="B787" s="4"/>
      <c r="C787" s="4"/>
      <c r="D787" s="4"/>
      <c r="E787" s="128"/>
      <c r="F787" s="128"/>
      <c r="G787" s="753"/>
      <c r="H787" s="128"/>
      <c r="I787" s="128"/>
      <c r="J787" s="130"/>
      <c r="K787" s="128"/>
      <c r="L787" s="128"/>
      <c r="M787" s="130"/>
      <c r="N787" s="130"/>
      <c r="O787" s="130"/>
      <c r="P787" s="128"/>
      <c r="Q787" s="128"/>
      <c r="R787" s="128"/>
      <c r="S787" s="298"/>
      <c r="T787" s="4"/>
      <c r="U787" s="4"/>
      <c r="V787" s="4"/>
      <c r="W787" s="4"/>
      <c r="X787" s="4"/>
      <c r="Y787" s="128"/>
      <c r="Z787" s="128"/>
      <c r="AA787" s="128"/>
      <c r="AB787" s="4"/>
      <c r="AC787" s="4"/>
      <c r="AD787" s="4"/>
      <c r="AE787" s="4"/>
      <c r="AF787" s="4"/>
      <c r="AG787" s="4"/>
      <c r="AH787" s="4"/>
      <c r="AI787" s="4"/>
      <c r="AJ787" s="246"/>
      <c r="AK787" s="246"/>
      <c r="AL787" s="129"/>
      <c r="AM787" s="129"/>
      <c r="AN787" s="129"/>
      <c r="AO787" s="246"/>
      <c r="AP787" s="246"/>
      <c r="AQ787" s="249"/>
      <c r="AR787" s="4"/>
      <c r="AS787" s="4"/>
      <c r="AT787" s="4"/>
      <c r="AU787" s="4"/>
      <c r="AV787" s="4"/>
      <c r="AW787" s="4"/>
      <c r="AX787" s="4"/>
      <c r="AY787" s="128"/>
      <c r="AZ787" s="4"/>
      <c r="BA787" s="4"/>
      <c r="BB787" s="4"/>
      <c r="BC787" s="4"/>
      <c r="BD787" s="4"/>
      <c r="BE787" s="4"/>
      <c r="BF787" s="4"/>
      <c r="BG787" s="4"/>
      <c r="BH787" s="4"/>
      <c r="BI787" s="567"/>
    </row>
    <row r="788" spans="1:61" ht="12.75" customHeight="1" x14ac:dyDescent="0.25">
      <c r="A788" s="4"/>
      <c r="B788" s="4"/>
      <c r="C788" s="4"/>
      <c r="D788" s="4"/>
      <c r="E788" s="128"/>
      <c r="F788" s="128"/>
      <c r="G788" s="753"/>
      <c r="H788" s="128"/>
      <c r="I788" s="128"/>
      <c r="J788" s="130"/>
      <c r="K788" s="128"/>
      <c r="L788" s="128"/>
      <c r="M788" s="130"/>
      <c r="N788" s="130"/>
      <c r="O788" s="130"/>
      <c r="P788" s="128"/>
      <c r="Q788" s="128"/>
      <c r="R788" s="128"/>
      <c r="S788" s="298"/>
      <c r="T788" s="4"/>
      <c r="U788" s="4"/>
      <c r="V788" s="4"/>
      <c r="W788" s="4"/>
      <c r="X788" s="4"/>
      <c r="Y788" s="128"/>
      <c r="Z788" s="128"/>
      <c r="AA788" s="128"/>
      <c r="AB788" s="4"/>
      <c r="AC788" s="4"/>
      <c r="AD788" s="4"/>
      <c r="AE788" s="4"/>
      <c r="AF788" s="4"/>
      <c r="AG788" s="4"/>
      <c r="AH788" s="4"/>
      <c r="AI788" s="4"/>
      <c r="AJ788" s="246"/>
      <c r="AK788" s="246"/>
      <c r="AL788" s="129"/>
      <c r="AM788" s="129"/>
      <c r="AN788" s="129"/>
      <c r="AO788" s="246"/>
      <c r="AP788" s="246"/>
      <c r="AQ788" s="249"/>
      <c r="AR788" s="4"/>
      <c r="AS788" s="4"/>
      <c r="AT788" s="4"/>
      <c r="AU788" s="4"/>
      <c r="AV788" s="4"/>
      <c r="AW788" s="4"/>
      <c r="AX788" s="4"/>
      <c r="AY788" s="128"/>
      <c r="AZ788" s="4"/>
      <c r="BA788" s="4"/>
      <c r="BB788" s="4"/>
      <c r="BC788" s="4"/>
      <c r="BD788" s="4"/>
      <c r="BE788" s="4"/>
      <c r="BF788" s="4"/>
      <c r="BG788" s="4"/>
      <c r="BH788" s="4"/>
      <c r="BI788" s="567"/>
    </row>
    <row r="789" spans="1:61" ht="12.75" customHeight="1" x14ac:dyDescent="0.25">
      <c r="A789" s="4"/>
      <c r="B789" s="4"/>
      <c r="C789" s="4"/>
      <c r="D789" s="4"/>
      <c r="E789" s="128"/>
      <c r="F789" s="128"/>
      <c r="G789" s="753"/>
      <c r="H789" s="128"/>
      <c r="I789" s="128"/>
      <c r="J789" s="130"/>
      <c r="K789" s="128"/>
      <c r="L789" s="128"/>
      <c r="M789" s="130"/>
      <c r="N789" s="130"/>
      <c r="O789" s="130"/>
      <c r="P789" s="128"/>
      <c r="Q789" s="128"/>
      <c r="R789" s="128"/>
      <c r="S789" s="298"/>
      <c r="T789" s="4"/>
      <c r="U789" s="4"/>
      <c r="V789" s="4"/>
      <c r="W789" s="4"/>
      <c r="X789" s="4"/>
      <c r="Y789" s="128"/>
      <c r="Z789" s="128"/>
      <c r="AA789" s="128"/>
      <c r="AB789" s="4"/>
      <c r="AC789" s="4"/>
      <c r="AD789" s="4"/>
      <c r="AE789" s="4"/>
      <c r="AF789" s="4"/>
      <c r="AG789" s="4"/>
      <c r="AH789" s="4"/>
      <c r="AI789" s="4"/>
      <c r="AJ789" s="246"/>
      <c r="AK789" s="246"/>
      <c r="AL789" s="129"/>
      <c r="AM789" s="129"/>
      <c r="AN789" s="129"/>
      <c r="AO789" s="246"/>
      <c r="AP789" s="246"/>
      <c r="AQ789" s="249"/>
      <c r="AR789" s="4"/>
      <c r="AS789" s="4"/>
      <c r="AT789" s="4"/>
      <c r="AU789" s="4"/>
      <c r="AV789" s="4"/>
      <c r="AW789" s="4"/>
      <c r="AX789" s="4"/>
      <c r="AY789" s="128"/>
      <c r="AZ789" s="4"/>
      <c r="BA789" s="4"/>
      <c r="BB789" s="4"/>
      <c r="BC789" s="4"/>
      <c r="BD789" s="4"/>
      <c r="BE789" s="4"/>
      <c r="BF789" s="4"/>
      <c r="BG789" s="4"/>
      <c r="BH789" s="4"/>
      <c r="BI789" s="567"/>
    </row>
    <row r="790" spans="1:61" ht="12.75" customHeight="1" x14ac:dyDescent="0.25">
      <c r="A790" s="4"/>
      <c r="B790" s="4"/>
      <c r="C790" s="4"/>
      <c r="D790" s="4"/>
      <c r="E790" s="128"/>
      <c r="F790" s="128"/>
      <c r="G790" s="753"/>
      <c r="H790" s="128"/>
      <c r="I790" s="128"/>
      <c r="J790" s="130"/>
      <c r="K790" s="128"/>
      <c r="L790" s="128"/>
      <c r="M790" s="130"/>
      <c r="N790" s="130"/>
      <c r="O790" s="130"/>
      <c r="P790" s="128"/>
      <c r="Q790" s="128"/>
      <c r="R790" s="128"/>
      <c r="S790" s="298"/>
      <c r="T790" s="4"/>
      <c r="U790" s="4"/>
      <c r="V790" s="4"/>
      <c r="W790" s="4"/>
      <c r="X790" s="4"/>
      <c r="Y790" s="128"/>
      <c r="Z790" s="128"/>
      <c r="AA790" s="128"/>
      <c r="AB790" s="4"/>
      <c r="AC790" s="4"/>
      <c r="AD790" s="4"/>
      <c r="AE790" s="4"/>
      <c r="AF790" s="4"/>
      <c r="AG790" s="4"/>
      <c r="AH790" s="4"/>
      <c r="AI790" s="4"/>
      <c r="AJ790" s="246"/>
      <c r="AK790" s="246"/>
      <c r="AL790" s="129"/>
      <c r="AM790" s="129"/>
      <c r="AN790" s="129"/>
      <c r="AO790" s="246"/>
      <c r="AP790" s="246"/>
      <c r="AQ790" s="249"/>
      <c r="AR790" s="4"/>
      <c r="AS790" s="4"/>
      <c r="AT790" s="4"/>
      <c r="AU790" s="4"/>
      <c r="AV790" s="4"/>
      <c r="AW790" s="4"/>
      <c r="AX790" s="4"/>
      <c r="AY790" s="128"/>
      <c r="AZ790" s="4"/>
      <c r="BA790" s="4"/>
      <c r="BB790" s="4"/>
      <c r="BC790" s="4"/>
      <c r="BD790" s="4"/>
      <c r="BE790" s="4"/>
      <c r="BF790" s="4"/>
      <c r="BG790" s="4"/>
      <c r="BH790" s="4"/>
      <c r="BI790" s="567"/>
    </row>
    <row r="791" spans="1:61" ht="12.75" customHeight="1" x14ac:dyDescent="0.25">
      <c r="A791" s="4"/>
      <c r="B791" s="4"/>
      <c r="C791" s="4"/>
      <c r="D791" s="4"/>
      <c r="E791" s="128"/>
      <c r="F791" s="128"/>
      <c r="G791" s="753"/>
      <c r="H791" s="128"/>
      <c r="I791" s="128"/>
      <c r="J791" s="130"/>
      <c r="K791" s="128"/>
      <c r="L791" s="128"/>
      <c r="M791" s="130"/>
      <c r="N791" s="130"/>
      <c r="O791" s="130"/>
      <c r="P791" s="128"/>
      <c r="Q791" s="128"/>
      <c r="R791" s="128"/>
      <c r="S791" s="298"/>
      <c r="T791" s="4"/>
      <c r="U791" s="4"/>
      <c r="V791" s="4"/>
      <c r="W791" s="4"/>
      <c r="X791" s="4"/>
      <c r="Y791" s="128"/>
      <c r="Z791" s="128"/>
      <c r="AA791" s="128"/>
      <c r="AB791" s="4"/>
      <c r="AC791" s="4"/>
      <c r="AD791" s="4"/>
      <c r="AE791" s="4"/>
      <c r="AF791" s="4"/>
      <c r="AG791" s="4"/>
      <c r="AH791" s="4"/>
      <c r="AI791" s="4"/>
      <c r="AJ791" s="246"/>
      <c r="AK791" s="246"/>
      <c r="AL791" s="129"/>
      <c r="AM791" s="129"/>
      <c r="AN791" s="129"/>
      <c r="AO791" s="246"/>
      <c r="AP791" s="246"/>
      <c r="AQ791" s="249"/>
      <c r="AR791" s="4"/>
      <c r="AS791" s="4"/>
      <c r="AT791" s="4"/>
      <c r="AU791" s="4"/>
      <c r="AV791" s="4"/>
      <c r="AW791" s="4"/>
      <c r="AX791" s="4"/>
      <c r="AY791" s="128"/>
      <c r="AZ791" s="4"/>
      <c r="BA791" s="4"/>
      <c r="BB791" s="4"/>
      <c r="BC791" s="4"/>
      <c r="BD791" s="4"/>
      <c r="BE791" s="4"/>
      <c r="BF791" s="4"/>
      <c r="BG791" s="4"/>
      <c r="BH791" s="4"/>
      <c r="BI791" s="567"/>
    </row>
    <row r="792" spans="1:61" ht="12.75" customHeight="1" x14ac:dyDescent="0.25">
      <c r="A792" s="4"/>
      <c r="B792" s="4"/>
      <c r="C792" s="4"/>
      <c r="D792" s="4"/>
      <c r="E792" s="128"/>
      <c r="F792" s="128"/>
      <c r="G792" s="753"/>
      <c r="H792" s="128"/>
      <c r="I792" s="128"/>
      <c r="J792" s="130"/>
      <c r="K792" s="128"/>
      <c r="L792" s="128"/>
      <c r="M792" s="130"/>
      <c r="N792" s="130"/>
      <c r="O792" s="130"/>
      <c r="P792" s="128"/>
      <c r="Q792" s="128"/>
      <c r="R792" s="128"/>
      <c r="S792" s="298"/>
      <c r="T792" s="4"/>
      <c r="U792" s="4"/>
      <c r="V792" s="4"/>
      <c r="W792" s="4"/>
      <c r="X792" s="4"/>
      <c r="Y792" s="128"/>
      <c r="Z792" s="128"/>
      <c r="AA792" s="128"/>
      <c r="AB792" s="4"/>
      <c r="AC792" s="4"/>
      <c r="AD792" s="4"/>
      <c r="AE792" s="4"/>
      <c r="AF792" s="4"/>
      <c r="AG792" s="4"/>
      <c r="AH792" s="4"/>
      <c r="AI792" s="4"/>
      <c r="AJ792" s="246"/>
      <c r="AK792" s="246"/>
      <c r="AL792" s="129"/>
      <c r="AM792" s="129"/>
      <c r="AN792" s="129"/>
      <c r="AO792" s="246"/>
      <c r="AP792" s="246"/>
      <c r="AQ792" s="249"/>
      <c r="AR792" s="4"/>
      <c r="AS792" s="4"/>
      <c r="AT792" s="4"/>
      <c r="AU792" s="4"/>
      <c r="AV792" s="4"/>
      <c r="AW792" s="4"/>
      <c r="AX792" s="4"/>
      <c r="AY792" s="128"/>
      <c r="AZ792" s="4"/>
      <c r="BA792" s="4"/>
      <c r="BB792" s="4"/>
      <c r="BC792" s="4"/>
      <c r="BD792" s="4"/>
      <c r="BE792" s="4"/>
      <c r="BF792" s="4"/>
      <c r="BG792" s="4"/>
      <c r="BH792" s="4"/>
      <c r="BI792" s="567"/>
    </row>
    <row r="793" spans="1:61" ht="12.75" customHeight="1" x14ac:dyDescent="0.25">
      <c r="A793" s="4"/>
      <c r="B793" s="4"/>
      <c r="C793" s="4"/>
      <c r="D793" s="4"/>
      <c r="E793" s="128"/>
      <c r="F793" s="128"/>
      <c r="G793" s="753"/>
      <c r="H793" s="128"/>
      <c r="I793" s="128"/>
      <c r="J793" s="130"/>
      <c r="K793" s="128"/>
      <c r="L793" s="128"/>
      <c r="M793" s="130"/>
      <c r="N793" s="130"/>
      <c r="O793" s="130"/>
      <c r="P793" s="128"/>
      <c r="Q793" s="128"/>
      <c r="R793" s="128"/>
      <c r="S793" s="298"/>
      <c r="T793" s="4"/>
      <c r="U793" s="4"/>
      <c r="V793" s="4"/>
      <c r="W793" s="4"/>
      <c r="X793" s="4"/>
      <c r="Y793" s="128"/>
      <c r="Z793" s="128"/>
      <c r="AA793" s="128"/>
      <c r="AB793" s="4"/>
      <c r="AC793" s="4"/>
      <c r="AD793" s="4"/>
      <c r="AE793" s="4"/>
      <c r="AF793" s="4"/>
      <c r="AG793" s="4"/>
      <c r="AH793" s="4"/>
      <c r="AI793" s="4"/>
      <c r="AJ793" s="246"/>
      <c r="AK793" s="246"/>
      <c r="AL793" s="129"/>
      <c r="AM793" s="129"/>
      <c r="AN793" s="129"/>
      <c r="AO793" s="246"/>
      <c r="AP793" s="246"/>
      <c r="AQ793" s="249"/>
      <c r="AR793" s="4"/>
      <c r="AS793" s="4"/>
      <c r="AT793" s="4"/>
      <c r="AU793" s="4"/>
      <c r="AV793" s="4"/>
      <c r="AW793" s="4"/>
      <c r="AX793" s="4"/>
      <c r="AY793" s="128"/>
      <c r="AZ793" s="4"/>
      <c r="BA793" s="4"/>
      <c r="BB793" s="4"/>
      <c r="BC793" s="4"/>
      <c r="BD793" s="4"/>
      <c r="BE793" s="4"/>
      <c r="BF793" s="4"/>
      <c r="BG793" s="4"/>
      <c r="BH793" s="4"/>
      <c r="BI793" s="567"/>
    </row>
    <row r="794" spans="1:61" ht="12.75" customHeight="1" x14ac:dyDescent="0.25">
      <c r="A794" s="4"/>
      <c r="B794" s="4"/>
      <c r="C794" s="4"/>
      <c r="D794" s="4"/>
      <c r="E794" s="128"/>
      <c r="F794" s="128"/>
      <c r="G794" s="753"/>
      <c r="H794" s="128"/>
      <c r="I794" s="128"/>
      <c r="J794" s="130"/>
      <c r="K794" s="128"/>
      <c r="L794" s="128"/>
      <c r="M794" s="130"/>
      <c r="N794" s="130"/>
      <c r="O794" s="130"/>
      <c r="P794" s="128"/>
      <c r="Q794" s="128"/>
      <c r="R794" s="128"/>
      <c r="S794" s="298"/>
      <c r="T794" s="4"/>
      <c r="U794" s="4"/>
      <c r="V794" s="4"/>
      <c r="W794" s="4"/>
      <c r="X794" s="4"/>
      <c r="Y794" s="128"/>
      <c r="Z794" s="128"/>
      <c r="AA794" s="128"/>
      <c r="AB794" s="4"/>
      <c r="AC794" s="4"/>
      <c r="AD794" s="4"/>
      <c r="AE794" s="4"/>
      <c r="AF794" s="4"/>
      <c r="AG794" s="4"/>
      <c r="AH794" s="4"/>
      <c r="AI794" s="4"/>
      <c r="AJ794" s="246"/>
      <c r="AK794" s="246"/>
      <c r="AL794" s="129"/>
      <c r="AM794" s="129"/>
      <c r="AN794" s="129"/>
      <c r="AO794" s="246"/>
      <c r="AP794" s="246"/>
      <c r="AQ794" s="249"/>
      <c r="AR794" s="4"/>
      <c r="AS794" s="4"/>
      <c r="AT794" s="4"/>
      <c r="AU794" s="4"/>
      <c r="AV794" s="4"/>
      <c r="AW794" s="4"/>
      <c r="AX794" s="4"/>
      <c r="AY794" s="128"/>
      <c r="AZ794" s="4"/>
      <c r="BA794" s="4"/>
      <c r="BB794" s="4"/>
      <c r="BC794" s="4"/>
      <c r="BD794" s="4"/>
      <c r="BE794" s="4"/>
      <c r="BF794" s="4"/>
      <c r="BG794" s="4"/>
      <c r="BH794" s="4"/>
      <c r="BI794" s="567"/>
    </row>
    <row r="795" spans="1:61" ht="12.75" customHeight="1" x14ac:dyDescent="0.25">
      <c r="A795" s="4"/>
      <c r="B795" s="4"/>
      <c r="C795" s="4"/>
      <c r="D795" s="4"/>
      <c r="E795" s="128"/>
      <c r="F795" s="128"/>
      <c r="G795" s="753"/>
      <c r="H795" s="128"/>
      <c r="I795" s="128"/>
      <c r="J795" s="130"/>
      <c r="K795" s="128"/>
      <c r="L795" s="128"/>
      <c r="M795" s="130"/>
      <c r="N795" s="130"/>
      <c r="O795" s="130"/>
      <c r="P795" s="128"/>
      <c r="Q795" s="128"/>
      <c r="R795" s="128"/>
      <c r="S795" s="298"/>
      <c r="T795" s="4"/>
      <c r="U795" s="4"/>
      <c r="V795" s="4"/>
      <c r="W795" s="4"/>
      <c r="X795" s="4"/>
      <c r="Y795" s="128"/>
      <c r="Z795" s="128"/>
      <c r="AA795" s="128"/>
      <c r="AB795" s="4"/>
      <c r="AC795" s="4"/>
      <c r="AD795" s="4"/>
      <c r="AE795" s="4"/>
      <c r="AF795" s="4"/>
      <c r="AG795" s="4"/>
      <c r="AH795" s="4"/>
      <c r="AI795" s="4"/>
      <c r="AJ795" s="246"/>
      <c r="AK795" s="246"/>
      <c r="AL795" s="129"/>
      <c r="AM795" s="129"/>
      <c r="AN795" s="129"/>
      <c r="AO795" s="246"/>
      <c r="AP795" s="246"/>
      <c r="AQ795" s="249"/>
      <c r="AR795" s="4"/>
      <c r="AS795" s="4"/>
      <c r="AT795" s="4"/>
      <c r="AU795" s="4"/>
      <c r="AV795" s="4"/>
      <c r="AW795" s="4"/>
      <c r="AX795" s="4"/>
      <c r="AY795" s="128"/>
      <c r="AZ795" s="4"/>
      <c r="BA795" s="4"/>
      <c r="BB795" s="4"/>
      <c r="BC795" s="4"/>
      <c r="BD795" s="4"/>
      <c r="BE795" s="4"/>
      <c r="BF795" s="4"/>
      <c r="BG795" s="4"/>
      <c r="BH795" s="4"/>
      <c r="BI795" s="567"/>
    </row>
    <row r="796" spans="1:61" ht="12.75" customHeight="1" x14ac:dyDescent="0.25">
      <c r="A796" s="4"/>
      <c r="B796" s="4"/>
      <c r="C796" s="4"/>
      <c r="D796" s="4"/>
      <c r="E796" s="128"/>
      <c r="F796" s="128"/>
      <c r="G796" s="753"/>
      <c r="H796" s="128"/>
      <c r="I796" s="128"/>
      <c r="J796" s="130"/>
      <c r="K796" s="128"/>
      <c r="L796" s="128"/>
      <c r="M796" s="130"/>
      <c r="N796" s="130"/>
      <c r="O796" s="130"/>
      <c r="P796" s="128"/>
      <c r="Q796" s="128"/>
      <c r="R796" s="128"/>
      <c r="S796" s="298"/>
      <c r="T796" s="4"/>
      <c r="U796" s="4"/>
      <c r="V796" s="4"/>
      <c r="W796" s="4"/>
      <c r="X796" s="4"/>
      <c r="Y796" s="128"/>
      <c r="Z796" s="128"/>
      <c r="AA796" s="128"/>
      <c r="AB796" s="4"/>
      <c r="AC796" s="4"/>
      <c r="AD796" s="4"/>
      <c r="AE796" s="4"/>
      <c r="AF796" s="4"/>
      <c r="AG796" s="4"/>
      <c r="AH796" s="4"/>
      <c r="AI796" s="4"/>
      <c r="AJ796" s="246"/>
      <c r="AK796" s="246"/>
      <c r="AL796" s="129"/>
      <c r="AM796" s="129"/>
      <c r="AN796" s="129"/>
      <c r="AO796" s="246"/>
      <c r="AP796" s="246"/>
      <c r="AQ796" s="249"/>
      <c r="AR796" s="4"/>
      <c r="AS796" s="4"/>
      <c r="AT796" s="4"/>
      <c r="AU796" s="4"/>
      <c r="AV796" s="4"/>
      <c r="AW796" s="4"/>
      <c r="AX796" s="4"/>
      <c r="AY796" s="128"/>
      <c r="AZ796" s="4"/>
      <c r="BA796" s="4"/>
      <c r="BB796" s="4"/>
      <c r="BC796" s="4"/>
      <c r="BD796" s="4"/>
      <c r="BE796" s="4"/>
      <c r="BF796" s="4"/>
      <c r="BG796" s="4"/>
      <c r="BH796" s="4"/>
      <c r="BI796" s="567"/>
    </row>
    <row r="797" spans="1:61" ht="12.75" customHeight="1" x14ac:dyDescent="0.25">
      <c r="A797" s="4"/>
      <c r="B797" s="4"/>
      <c r="C797" s="4"/>
      <c r="D797" s="4"/>
      <c r="E797" s="128"/>
      <c r="F797" s="128"/>
      <c r="G797" s="753"/>
      <c r="H797" s="128"/>
      <c r="I797" s="128"/>
      <c r="J797" s="130"/>
      <c r="K797" s="128"/>
      <c r="L797" s="128"/>
      <c r="M797" s="130"/>
      <c r="N797" s="130"/>
      <c r="O797" s="130"/>
      <c r="P797" s="128"/>
      <c r="Q797" s="128"/>
      <c r="R797" s="128"/>
      <c r="S797" s="298"/>
      <c r="T797" s="4"/>
      <c r="U797" s="4"/>
      <c r="V797" s="4"/>
      <c r="W797" s="4"/>
      <c r="X797" s="4"/>
      <c r="Y797" s="128"/>
      <c r="Z797" s="128"/>
      <c r="AA797" s="128"/>
      <c r="AB797" s="4"/>
      <c r="AC797" s="4"/>
      <c r="AD797" s="4"/>
      <c r="AE797" s="4"/>
      <c r="AF797" s="4"/>
      <c r="AG797" s="4"/>
      <c r="AH797" s="4"/>
      <c r="AI797" s="4"/>
      <c r="AJ797" s="246"/>
      <c r="AK797" s="246"/>
      <c r="AL797" s="129"/>
      <c r="AM797" s="129"/>
      <c r="AN797" s="129"/>
      <c r="AO797" s="246"/>
      <c r="AP797" s="246"/>
      <c r="AQ797" s="249"/>
      <c r="AR797" s="4"/>
      <c r="AS797" s="4"/>
      <c r="AT797" s="4"/>
      <c r="AU797" s="4"/>
      <c r="AV797" s="4"/>
      <c r="AW797" s="4"/>
      <c r="AX797" s="4"/>
      <c r="AY797" s="128"/>
      <c r="AZ797" s="4"/>
      <c r="BA797" s="4"/>
      <c r="BB797" s="4"/>
      <c r="BC797" s="4"/>
      <c r="BD797" s="4"/>
      <c r="BE797" s="4"/>
      <c r="BF797" s="4"/>
      <c r="BG797" s="4"/>
      <c r="BH797" s="4"/>
      <c r="BI797" s="567"/>
    </row>
    <row r="798" spans="1:61" ht="12.75" customHeight="1" x14ac:dyDescent="0.25">
      <c r="A798" s="4"/>
      <c r="B798" s="4"/>
      <c r="C798" s="4"/>
      <c r="D798" s="4"/>
      <c r="E798" s="128"/>
      <c r="F798" s="128"/>
      <c r="G798" s="753"/>
      <c r="H798" s="128"/>
      <c r="I798" s="128"/>
      <c r="J798" s="130"/>
      <c r="K798" s="128"/>
      <c r="L798" s="128"/>
      <c r="M798" s="130"/>
      <c r="N798" s="130"/>
      <c r="O798" s="130"/>
      <c r="P798" s="128"/>
      <c r="Q798" s="128"/>
      <c r="R798" s="128"/>
      <c r="S798" s="298"/>
      <c r="T798" s="4"/>
      <c r="U798" s="4"/>
      <c r="V798" s="4"/>
      <c r="W798" s="4"/>
      <c r="X798" s="4"/>
      <c r="Y798" s="128"/>
      <c r="Z798" s="128"/>
      <c r="AA798" s="128"/>
      <c r="AB798" s="4"/>
      <c r="AC798" s="4"/>
      <c r="AD798" s="4"/>
      <c r="AE798" s="4"/>
      <c r="AF798" s="4"/>
      <c r="AG798" s="4"/>
      <c r="AH798" s="4"/>
      <c r="AI798" s="4"/>
      <c r="AJ798" s="246"/>
      <c r="AK798" s="246"/>
      <c r="AL798" s="129"/>
      <c r="AM798" s="129"/>
      <c r="AN798" s="129"/>
      <c r="AO798" s="246"/>
      <c r="AP798" s="246"/>
      <c r="AQ798" s="249"/>
      <c r="AR798" s="4"/>
      <c r="AS798" s="4"/>
      <c r="AT798" s="4"/>
      <c r="AU798" s="4"/>
      <c r="AV798" s="4"/>
      <c r="AW798" s="4"/>
      <c r="AX798" s="4"/>
      <c r="AY798" s="128"/>
      <c r="AZ798" s="4"/>
      <c r="BA798" s="4"/>
      <c r="BB798" s="4"/>
      <c r="BC798" s="4"/>
      <c r="BD798" s="4"/>
      <c r="BE798" s="4"/>
      <c r="BF798" s="4"/>
      <c r="BG798" s="4"/>
      <c r="BH798" s="4"/>
      <c r="BI798" s="567"/>
    </row>
    <row r="799" spans="1:61" ht="12.75" customHeight="1" x14ac:dyDescent="0.25">
      <c r="A799" s="4"/>
      <c r="B799" s="4"/>
      <c r="C799" s="4"/>
      <c r="D799" s="4"/>
      <c r="E799" s="128"/>
      <c r="F799" s="128"/>
      <c r="G799" s="753"/>
      <c r="H799" s="128"/>
      <c r="I799" s="128"/>
      <c r="J799" s="130"/>
      <c r="K799" s="128"/>
      <c r="L799" s="128"/>
      <c r="M799" s="130"/>
      <c r="N799" s="130"/>
      <c r="O799" s="130"/>
      <c r="P799" s="128"/>
      <c r="Q799" s="128"/>
      <c r="R799" s="128"/>
      <c r="S799" s="298"/>
      <c r="T799" s="4"/>
      <c r="U799" s="4"/>
      <c r="V799" s="4"/>
      <c r="W799" s="4"/>
      <c r="X799" s="4"/>
      <c r="Y799" s="128"/>
      <c r="Z799" s="128"/>
      <c r="AA799" s="128"/>
      <c r="AB799" s="4"/>
      <c r="AC799" s="4"/>
      <c r="AD799" s="4"/>
      <c r="AE799" s="4"/>
      <c r="AF799" s="4"/>
      <c r="AG799" s="4"/>
      <c r="AH799" s="4"/>
      <c r="AI799" s="4"/>
      <c r="AJ799" s="246"/>
      <c r="AK799" s="246"/>
      <c r="AL799" s="129"/>
      <c r="AM799" s="129"/>
      <c r="AN799" s="129"/>
      <c r="AO799" s="246"/>
      <c r="AP799" s="246"/>
      <c r="AQ799" s="249"/>
      <c r="AR799" s="4"/>
      <c r="AS799" s="4"/>
      <c r="AT799" s="4"/>
      <c r="AU799" s="4"/>
      <c r="AV799" s="4"/>
      <c r="AW799" s="4"/>
      <c r="AX799" s="4"/>
      <c r="AY799" s="128"/>
      <c r="AZ799" s="4"/>
      <c r="BA799" s="4"/>
      <c r="BB799" s="4"/>
      <c r="BC799" s="4"/>
      <c r="BD799" s="4"/>
      <c r="BE799" s="4"/>
      <c r="BF799" s="4"/>
      <c r="BG799" s="4"/>
      <c r="BH799" s="4"/>
      <c r="BI799" s="567"/>
    </row>
    <row r="800" spans="1:61" ht="12.75" customHeight="1" x14ac:dyDescent="0.25">
      <c r="A800" s="4"/>
      <c r="B800" s="4"/>
      <c r="C800" s="4"/>
      <c r="D800" s="4"/>
      <c r="E800" s="128"/>
      <c r="F800" s="128"/>
      <c r="G800" s="753"/>
      <c r="H800" s="128"/>
      <c r="I800" s="128"/>
      <c r="J800" s="130"/>
      <c r="K800" s="128"/>
      <c r="L800" s="128"/>
      <c r="M800" s="130"/>
      <c r="N800" s="130"/>
      <c r="O800" s="130"/>
      <c r="P800" s="128"/>
      <c r="Q800" s="128"/>
      <c r="R800" s="128"/>
      <c r="S800" s="298"/>
      <c r="T800" s="4"/>
      <c r="U800" s="4"/>
      <c r="V800" s="4"/>
      <c r="W800" s="4"/>
      <c r="X800" s="4"/>
      <c r="Y800" s="128"/>
      <c r="Z800" s="128"/>
      <c r="AA800" s="128"/>
      <c r="AB800" s="4"/>
      <c r="AC800" s="4"/>
      <c r="AD800" s="4"/>
      <c r="AE800" s="4"/>
      <c r="AF800" s="4"/>
      <c r="AG800" s="4"/>
      <c r="AH800" s="4"/>
      <c r="AI800" s="4"/>
      <c r="AJ800" s="246"/>
      <c r="AK800" s="246"/>
      <c r="AL800" s="129"/>
      <c r="AM800" s="129"/>
      <c r="AN800" s="129"/>
      <c r="AO800" s="246"/>
      <c r="AP800" s="246"/>
      <c r="AQ800" s="249"/>
      <c r="AR800" s="4"/>
      <c r="AS800" s="4"/>
      <c r="AT800" s="4"/>
      <c r="AU800" s="4"/>
      <c r="AV800" s="4"/>
      <c r="AW800" s="4"/>
      <c r="AX800" s="4"/>
      <c r="AY800" s="128"/>
      <c r="AZ800" s="4"/>
      <c r="BA800" s="4"/>
      <c r="BB800" s="4"/>
      <c r="BC800" s="4"/>
      <c r="BD800" s="4"/>
      <c r="BE800" s="4"/>
      <c r="BF800" s="4"/>
      <c r="BG800" s="4"/>
      <c r="BH800" s="4"/>
      <c r="BI800" s="567"/>
    </row>
    <row r="801" spans="1:61" ht="12.75" customHeight="1" x14ac:dyDescent="0.25">
      <c r="A801" s="4"/>
      <c r="B801" s="4"/>
      <c r="C801" s="4"/>
      <c r="D801" s="4"/>
      <c r="E801" s="128"/>
      <c r="F801" s="128"/>
      <c r="G801" s="753"/>
      <c r="H801" s="128"/>
      <c r="I801" s="128"/>
      <c r="J801" s="130"/>
      <c r="K801" s="128"/>
      <c r="L801" s="128"/>
      <c r="M801" s="130"/>
      <c r="N801" s="130"/>
      <c r="O801" s="130"/>
      <c r="P801" s="128"/>
      <c r="Q801" s="128"/>
      <c r="R801" s="128"/>
      <c r="S801" s="298"/>
      <c r="T801" s="4"/>
      <c r="U801" s="4"/>
      <c r="V801" s="4"/>
      <c r="W801" s="4"/>
      <c r="X801" s="4"/>
      <c r="Y801" s="128"/>
      <c r="Z801" s="128"/>
      <c r="AA801" s="128"/>
      <c r="AB801" s="4"/>
      <c r="AC801" s="4"/>
      <c r="AD801" s="4"/>
      <c r="AE801" s="4"/>
      <c r="AF801" s="4"/>
      <c r="AG801" s="4"/>
      <c r="AH801" s="4"/>
      <c r="AI801" s="4"/>
      <c r="AJ801" s="246"/>
      <c r="AK801" s="246"/>
      <c r="AL801" s="129"/>
      <c r="AM801" s="129"/>
      <c r="AN801" s="129"/>
      <c r="AO801" s="246"/>
      <c r="AP801" s="246"/>
      <c r="AQ801" s="249"/>
      <c r="AR801" s="4"/>
      <c r="AS801" s="4"/>
      <c r="AT801" s="4"/>
      <c r="AU801" s="4"/>
      <c r="AV801" s="4"/>
      <c r="AW801" s="4"/>
      <c r="AX801" s="4"/>
      <c r="AY801" s="128"/>
      <c r="AZ801" s="4"/>
      <c r="BA801" s="4"/>
      <c r="BB801" s="4"/>
      <c r="BC801" s="4"/>
      <c r="BD801" s="4"/>
      <c r="BE801" s="4"/>
      <c r="BF801" s="4"/>
      <c r="BG801" s="4"/>
      <c r="BH801" s="4"/>
      <c r="BI801" s="567"/>
    </row>
    <row r="802" spans="1:61" ht="12.75" customHeight="1" x14ac:dyDescent="0.25">
      <c r="A802" s="4"/>
      <c r="B802" s="4"/>
      <c r="C802" s="4"/>
      <c r="D802" s="4"/>
      <c r="E802" s="128"/>
      <c r="F802" s="128"/>
      <c r="G802" s="753"/>
      <c r="H802" s="128"/>
      <c r="I802" s="128"/>
      <c r="J802" s="130"/>
      <c r="K802" s="128"/>
      <c r="L802" s="128"/>
      <c r="M802" s="130"/>
      <c r="N802" s="130"/>
      <c r="O802" s="130"/>
      <c r="P802" s="128"/>
      <c r="Q802" s="128"/>
      <c r="R802" s="128"/>
      <c r="S802" s="298"/>
      <c r="T802" s="4"/>
      <c r="U802" s="4"/>
      <c r="V802" s="4"/>
      <c r="W802" s="4"/>
      <c r="X802" s="4"/>
      <c r="Y802" s="128"/>
      <c r="Z802" s="128"/>
      <c r="AA802" s="128"/>
      <c r="AB802" s="4"/>
      <c r="AC802" s="4"/>
      <c r="AD802" s="4"/>
      <c r="AE802" s="4"/>
      <c r="AF802" s="4"/>
      <c r="AG802" s="4"/>
      <c r="AH802" s="4"/>
      <c r="AI802" s="4"/>
      <c r="AJ802" s="246"/>
      <c r="AK802" s="246"/>
      <c r="AL802" s="129"/>
      <c r="AM802" s="129"/>
      <c r="AN802" s="129"/>
      <c r="AO802" s="246"/>
      <c r="AP802" s="246"/>
      <c r="AQ802" s="249"/>
      <c r="AR802" s="4"/>
      <c r="AS802" s="4"/>
      <c r="AT802" s="4"/>
      <c r="AU802" s="4"/>
      <c r="AV802" s="4"/>
      <c r="AW802" s="4"/>
      <c r="AX802" s="4"/>
      <c r="AY802" s="128"/>
      <c r="AZ802" s="4"/>
      <c r="BA802" s="4"/>
      <c r="BB802" s="4"/>
      <c r="BC802" s="4"/>
      <c r="BD802" s="4"/>
      <c r="BE802" s="4"/>
      <c r="BF802" s="4"/>
      <c r="BG802" s="4"/>
      <c r="BH802" s="4"/>
      <c r="BI802" s="567"/>
    </row>
    <row r="803" spans="1:61" ht="12.75" customHeight="1" x14ac:dyDescent="0.25">
      <c r="A803" s="4"/>
      <c r="B803" s="4"/>
      <c r="C803" s="4"/>
      <c r="D803" s="4"/>
      <c r="E803" s="128"/>
      <c r="F803" s="128"/>
      <c r="G803" s="753"/>
      <c r="H803" s="128"/>
      <c r="I803" s="128"/>
      <c r="J803" s="130"/>
      <c r="K803" s="128"/>
      <c r="L803" s="128"/>
      <c r="M803" s="130"/>
      <c r="N803" s="130"/>
      <c r="O803" s="130"/>
      <c r="P803" s="128"/>
      <c r="Q803" s="128"/>
      <c r="R803" s="128"/>
      <c r="S803" s="298"/>
      <c r="T803" s="4"/>
      <c r="U803" s="4"/>
      <c r="V803" s="4"/>
      <c r="W803" s="4"/>
      <c r="X803" s="4"/>
      <c r="Y803" s="128"/>
      <c r="Z803" s="128"/>
      <c r="AA803" s="128"/>
      <c r="AB803" s="4"/>
      <c r="AC803" s="4"/>
      <c r="AD803" s="4"/>
      <c r="AE803" s="4"/>
      <c r="AF803" s="4"/>
      <c r="AG803" s="4"/>
      <c r="AH803" s="4"/>
      <c r="AI803" s="4"/>
      <c r="AJ803" s="246"/>
      <c r="AK803" s="246"/>
      <c r="AL803" s="129"/>
      <c r="AM803" s="129"/>
      <c r="AN803" s="129"/>
      <c r="AO803" s="246"/>
      <c r="AP803" s="246"/>
      <c r="AQ803" s="249"/>
      <c r="AR803" s="4"/>
      <c r="AS803" s="4"/>
      <c r="AT803" s="4"/>
      <c r="AU803" s="4"/>
      <c r="AV803" s="4"/>
      <c r="AW803" s="4"/>
      <c r="AX803" s="4"/>
      <c r="AY803" s="128"/>
      <c r="AZ803" s="4"/>
      <c r="BA803" s="4"/>
      <c r="BB803" s="4"/>
      <c r="BC803" s="4"/>
      <c r="BD803" s="4"/>
      <c r="BE803" s="4"/>
      <c r="BF803" s="4"/>
      <c r="BG803" s="4"/>
      <c r="BH803" s="4"/>
      <c r="BI803" s="567"/>
    </row>
    <row r="804" spans="1:61" ht="12.75" customHeight="1" x14ac:dyDescent="0.25">
      <c r="A804" s="4"/>
      <c r="B804" s="4"/>
      <c r="C804" s="4"/>
      <c r="D804" s="4"/>
      <c r="E804" s="128"/>
      <c r="F804" s="128"/>
      <c r="G804" s="753"/>
      <c r="H804" s="128"/>
      <c r="I804" s="128"/>
      <c r="J804" s="130"/>
      <c r="K804" s="128"/>
      <c r="L804" s="128"/>
      <c r="M804" s="130"/>
      <c r="N804" s="130"/>
      <c r="O804" s="130"/>
      <c r="P804" s="128"/>
      <c r="Q804" s="128"/>
      <c r="R804" s="128"/>
      <c r="S804" s="298"/>
      <c r="T804" s="4"/>
      <c r="U804" s="4"/>
      <c r="V804" s="4"/>
      <c r="W804" s="4"/>
      <c r="X804" s="4"/>
      <c r="Y804" s="128"/>
      <c r="Z804" s="128"/>
      <c r="AA804" s="128"/>
      <c r="AB804" s="4"/>
      <c r="AC804" s="4"/>
      <c r="AD804" s="4"/>
      <c r="AE804" s="4"/>
      <c r="AF804" s="4"/>
      <c r="AG804" s="4"/>
      <c r="AH804" s="4"/>
      <c r="AI804" s="4"/>
      <c r="AJ804" s="246"/>
      <c r="AK804" s="246"/>
      <c r="AL804" s="129"/>
      <c r="AM804" s="129"/>
      <c r="AN804" s="129"/>
      <c r="AO804" s="246"/>
      <c r="AP804" s="246"/>
      <c r="AQ804" s="249"/>
      <c r="AR804" s="4"/>
      <c r="AS804" s="4"/>
      <c r="AT804" s="4"/>
      <c r="AU804" s="4"/>
      <c r="AV804" s="4"/>
      <c r="AW804" s="4"/>
      <c r="AX804" s="4"/>
      <c r="AY804" s="128"/>
      <c r="AZ804" s="4"/>
      <c r="BA804" s="4"/>
      <c r="BB804" s="4"/>
      <c r="BC804" s="4"/>
      <c r="BD804" s="4"/>
      <c r="BE804" s="4"/>
      <c r="BF804" s="4"/>
      <c r="BG804" s="4"/>
      <c r="BH804" s="4"/>
      <c r="BI804" s="567"/>
    </row>
    <row r="805" spans="1:61" ht="12.75" customHeight="1" x14ac:dyDescent="0.25">
      <c r="A805" s="4"/>
      <c r="B805" s="4"/>
      <c r="C805" s="4"/>
      <c r="D805" s="4"/>
      <c r="E805" s="128"/>
      <c r="F805" s="128"/>
      <c r="G805" s="753"/>
      <c r="H805" s="128"/>
      <c r="I805" s="128"/>
      <c r="J805" s="130"/>
      <c r="K805" s="128"/>
      <c r="L805" s="128"/>
      <c r="M805" s="130"/>
      <c r="N805" s="130"/>
      <c r="O805" s="130"/>
      <c r="P805" s="128"/>
      <c r="Q805" s="128"/>
      <c r="R805" s="128"/>
      <c r="S805" s="298"/>
      <c r="T805" s="4"/>
      <c r="U805" s="4"/>
      <c r="V805" s="4"/>
      <c r="W805" s="4"/>
      <c r="X805" s="4"/>
      <c r="Y805" s="128"/>
      <c r="Z805" s="128"/>
      <c r="AA805" s="128"/>
      <c r="AB805" s="4"/>
      <c r="AC805" s="4"/>
      <c r="AD805" s="4"/>
      <c r="AE805" s="4"/>
      <c r="AF805" s="4"/>
      <c r="AG805" s="4"/>
      <c r="AH805" s="4"/>
      <c r="AI805" s="4"/>
      <c r="AJ805" s="246"/>
      <c r="AK805" s="246"/>
      <c r="AL805" s="129"/>
      <c r="AM805" s="129"/>
      <c r="AN805" s="129"/>
      <c r="AO805" s="246"/>
      <c r="AP805" s="246"/>
      <c r="AQ805" s="249"/>
      <c r="AR805" s="4"/>
      <c r="AS805" s="4"/>
      <c r="AT805" s="4"/>
      <c r="AU805" s="4"/>
      <c r="AV805" s="4"/>
      <c r="AW805" s="4"/>
      <c r="AX805" s="4"/>
      <c r="AY805" s="128"/>
      <c r="AZ805" s="4"/>
      <c r="BA805" s="4"/>
      <c r="BB805" s="4"/>
      <c r="BC805" s="4"/>
      <c r="BD805" s="4"/>
      <c r="BE805" s="4"/>
      <c r="BF805" s="4"/>
      <c r="BG805" s="4"/>
      <c r="BH805" s="4"/>
      <c r="BI805" s="567"/>
    </row>
    <row r="806" spans="1:61" ht="12.75" customHeight="1" x14ac:dyDescent="0.25">
      <c r="A806" s="4"/>
      <c r="B806" s="4"/>
      <c r="C806" s="4"/>
      <c r="D806" s="4"/>
      <c r="E806" s="128"/>
      <c r="F806" s="128"/>
      <c r="G806" s="753"/>
      <c r="H806" s="128"/>
      <c r="I806" s="128"/>
      <c r="J806" s="130"/>
      <c r="K806" s="128"/>
      <c r="L806" s="128"/>
      <c r="M806" s="130"/>
      <c r="N806" s="130"/>
      <c r="O806" s="130"/>
      <c r="P806" s="128"/>
      <c r="Q806" s="128"/>
      <c r="R806" s="128"/>
      <c r="S806" s="298"/>
      <c r="T806" s="4"/>
      <c r="U806" s="4"/>
      <c r="V806" s="4"/>
      <c r="W806" s="4"/>
      <c r="X806" s="4"/>
      <c r="Y806" s="128"/>
      <c r="Z806" s="128"/>
      <c r="AA806" s="128"/>
      <c r="AB806" s="4"/>
      <c r="AC806" s="4"/>
      <c r="AD806" s="4"/>
      <c r="AE806" s="4"/>
      <c r="AF806" s="4"/>
      <c r="AG806" s="4"/>
      <c r="AH806" s="4"/>
      <c r="AI806" s="4"/>
      <c r="AJ806" s="246"/>
      <c r="AK806" s="246"/>
      <c r="AL806" s="129"/>
      <c r="AM806" s="129"/>
      <c r="AN806" s="129"/>
      <c r="AO806" s="246"/>
      <c r="AP806" s="246"/>
      <c r="AQ806" s="249"/>
      <c r="AR806" s="4"/>
      <c r="AS806" s="4"/>
      <c r="AT806" s="4"/>
      <c r="AU806" s="4"/>
      <c r="AV806" s="4"/>
      <c r="AW806" s="4"/>
      <c r="AX806" s="4"/>
      <c r="AY806" s="128"/>
      <c r="AZ806" s="4"/>
      <c r="BA806" s="4"/>
      <c r="BB806" s="4"/>
      <c r="BC806" s="4"/>
      <c r="BD806" s="4"/>
      <c r="BE806" s="4"/>
      <c r="BF806" s="4"/>
      <c r="BG806" s="4"/>
      <c r="BH806" s="4"/>
      <c r="BI806" s="567"/>
    </row>
    <row r="807" spans="1:61" ht="12.75" customHeight="1" x14ac:dyDescent="0.25">
      <c r="A807" s="4"/>
      <c r="B807" s="4"/>
      <c r="C807" s="4"/>
      <c r="D807" s="4"/>
      <c r="E807" s="128"/>
      <c r="F807" s="128"/>
      <c r="G807" s="753"/>
      <c r="H807" s="128"/>
      <c r="I807" s="128"/>
      <c r="J807" s="130"/>
      <c r="K807" s="128"/>
      <c r="L807" s="128"/>
      <c r="M807" s="130"/>
      <c r="N807" s="130"/>
      <c r="O807" s="130"/>
      <c r="P807" s="128"/>
      <c r="Q807" s="128"/>
      <c r="R807" s="128"/>
      <c r="S807" s="298"/>
      <c r="T807" s="4"/>
      <c r="U807" s="4"/>
      <c r="V807" s="4"/>
      <c r="W807" s="4"/>
      <c r="X807" s="4"/>
      <c r="Y807" s="128"/>
      <c r="Z807" s="128"/>
      <c r="AA807" s="128"/>
      <c r="AB807" s="4"/>
      <c r="AC807" s="4"/>
      <c r="AD807" s="4"/>
      <c r="AE807" s="4"/>
      <c r="AF807" s="4"/>
      <c r="AG807" s="4"/>
      <c r="AH807" s="4"/>
      <c r="AI807" s="4"/>
      <c r="AJ807" s="246"/>
      <c r="AK807" s="246"/>
      <c r="AL807" s="129"/>
      <c r="AM807" s="129"/>
      <c r="AN807" s="129"/>
      <c r="AO807" s="246"/>
      <c r="AP807" s="246"/>
      <c r="AQ807" s="249"/>
      <c r="AR807" s="4"/>
      <c r="AS807" s="4"/>
      <c r="AT807" s="4"/>
      <c r="AU807" s="4"/>
      <c r="AV807" s="4"/>
      <c r="AW807" s="4"/>
      <c r="AX807" s="4"/>
      <c r="AY807" s="128"/>
      <c r="AZ807" s="4"/>
      <c r="BA807" s="4"/>
      <c r="BB807" s="4"/>
      <c r="BC807" s="4"/>
      <c r="BD807" s="4"/>
      <c r="BE807" s="4"/>
      <c r="BF807" s="4"/>
      <c r="BG807" s="4"/>
      <c r="BH807" s="4"/>
      <c r="BI807" s="567"/>
    </row>
    <row r="808" spans="1:61" ht="12.75" customHeight="1" x14ac:dyDescent="0.25">
      <c r="A808" s="4"/>
      <c r="B808" s="4"/>
      <c r="C808" s="4"/>
      <c r="D808" s="4"/>
      <c r="E808" s="128"/>
      <c r="F808" s="128"/>
      <c r="G808" s="753"/>
      <c r="H808" s="128"/>
      <c r="I808" s="128"/>
      <c r="J808" s="130"/>
      <c r="K808" s="128"/>
      <c r="L808" s="128"/>
      <c r="M808" s="130"/>
      <c r="N808" s="130"/>
      <c r="O808" s="130"/>
      <c r="P808" s="128"/>
      <c r="Q808" s="128"/>
      <c r="R808" s="128"/>
      <c r="S808" s="298"/>
      <c r="T808" s="4"/>
      <c r="U808" s="4"/>
      <c r="V808" s="4"/>
      <c r="W808" s="4"/>
      <c r="X808" s="4"/>
      <c r="Y808" s="128"/>
      <c r="Z808" s="128"/>
      <c r="AA808" s="128"/>
      <c r="AB808" s="4"/>
      <c r="AC808" s="4"/>
      <c r="AD808" s="4"/>
      <c r="AE808" s="4"/>
      <c r="AF808" s="4"/>
      <c r="AG808" s="4"/>
      <c r="AH808" s="4"/>
      <c r="AI808" s="4"/>
      <c r="AJ808" s="246"/>
      <c r="AK808" s="246"/>
      <c r="AL808" s="129"/>
      <c r="AM808" s="129"/>
      <c r="AN808" s="129"/>
      <c r="AO808" s="246"/>
      <c r="AP808" s="246"/>
      <c r="AQ808" s="249"/>
      <c r="AR808" s="4"/>
      <c r="AS808" s="4"/>
      <c r="AT808" s="4"/>
      <c r="AU808" s="4"/>
      <c r="AV808" s="4"/>
      <c r="AW808" s="4"/>
      <c r="AX808" s="4"/>
      <c r="AY808" s="128"/>
      <c r="AZ808" s="4"/>
      <c r="BA808" s="4"/>
      <c r="BB808" s="4"/>
      <c r="BC808" s="4"/>
      <c r="BD808" s="4"/>
      <c r="BE808" s="4"/>
      <c r="BF808" s="4"/>
      <c r="BG808" s="4"/>
      <c r="BH808" s="4"/>
      <c r="BI808" s="567"/>
    </row>
    <row r="809" spans="1:61" ht="12.75" customHeight="1" x14ac:dyDescent="0.25">
      <c r="A809" s="4"/>
      <c r="B809" s="4"/>
      <c r="C809" s="4"/>
      <c r="D809" s="4"/>
      <c r="E809" s="128"/>
      <c r="F809" s="128"/>
      <c r="G809" s="753"/>
      <c r="H809" s="128"/>
      <c r="I809" s="128"/>
      <c r="J809" s="130"/>
      <c r="K809" s="128"/>
      <c r="L809" s="128"/>
      <c r="M809" s="130"/>
      <c r="N809" s="130"/>
      <c r="O809" s="130"/>
      <c r="P809" s="128"/>
      <c r="Q809" s="128"/>
      <c r="R809" s="128"/>
      <c r="S809" s="298"/>
      <c r="T809" s="4"/>
      <c r="U809" s="4"/>
      <c r="V809" s="4"/>
      <c r="W809" s="4"/>
      <c r="X809" s="4"/>
      <c r="Y809" s="128"/>
      <c r="Z809" s="128"/>
      <c r="AA809" s="128"/>
      <c r="AB809" s="4"/>
      <c r="AC809" s="4"/>
      <c r="AD809" s="4"/>
      <c r="AE809" s="4"/>
      <c r="AF809" s="4"/>
      <c r="AG809" s="4"/>
      <c r="AH809" s="4"/>
      <c r="AI809" s="4"/>
      <c r="AJ809" s="246"/>
      <c r="AK809" s="246"/>
      <c r="AL809" s="129"/>
      <c r="AM809" s="129"/>
      <c r="AN809" s="129"/>
      <c r="AO809" s="246"/>
      <c r="AP809" s="246"/>
      <c r="AQ809" s="249"/>
      <c r="AR809" s="4"/>
      <c r="AS809" s="4"/>
      <c r="AT809" s="4"/>
      <c r="AU809" s="4"/>
      <c r="AV809" s="4"/>
      <c r="AW809" s="4"/>
      <c r="AX809" s="4"/>
      <c r="AY809" s="128"/>
      <c r="AZ809" s="4"/>
      <c r="BA809" s="4"/>
      <c r="BB809" s="4"/>
      <c r="BC809" s="4"/>
      <c r="BD809" s="4"/>
      <c r="BE809" s="4"/>
      <c r="BF809" s="4"/>
      <c r="BG809" s="4"/>
      <c r="BH809" s="4"/>
      <c r="BI809" s="567"/>
    </row>
    <row r="810" spans="1:61" ht="12.75" customHeight="1" x14ac:dyDescent="0.25">
      <c r="A810" s="4"/>
      <c r="B810" s="4"/>
      <c r="C810" s="4"/>
      <c r="D810" s="4"/>
      <c r="E810" s="128"/>
      <c r="F810" s="128"/>
      <c r="G810" s="753"/>
      <c r="H810" s="128"/>
      <c r="I810" s="128"/>
      <c r="J810" s="130"/>
      <c r="K810" s="128"/>
      <c r="L810" s="128"/>
      <c r="M810" s="130"/>
      <c r="N810" s="130"/>
      <c r="O810" s="130"/>
      <c r="P810" s="128"/>
      <c r="Q810" s="128"/>
      <c r="R810" s="128"/>
      <c r="S810" s="298"/>
      <c r="T810" s="4"/>
      <c r="U810" s="4"/>
      <c r="V810" s="4"/>
      <c r="W810" s="4"/>
      <c r="X810" s="4"/>
      <c r="Y810" s="128"/>
      <c r="Z810" s="128"/>
      <c r="AA810" s="128"/>
      <c r="AB810" s="4"/>
      <c r="AC810" s="4"/>
      <c r="AD810" s="4"/>
      <c r="AE810" s="4"/>
      <c r="AF810" s="4"/>
      <c r="AG810" s="4"/>
      <c r="AH810" s="4"/>
      <c r="AI810" s="4"/>
      <c r="AJ810" s="246"/>
      <c r="AK810" s="246"/>
      <c r="AL810" s="129"/>
      <c r="AM810" s="129"/>
      <c r="AN810" s="129"/>
      <c r="AO810" s="246"/>
      <c r="AP810" s="246"/>
      <c r="AQ810" s="249"/>
      <c r="AR810" s="4"/>
      <c r="AS810" s="4"/>
      <c r="AT810" s="4"/>
      <c r="AU810" s="4"/>
      <c r="AV810" s="4"/>
      <c r="AW810" s="4"/>
      <c r="AX810" s="4"/>
      <c r="AY810" s="128"/>
      <c r="AZ810" s="4"/>
      <c r="BA810" s="4"/>
      <c r="BB810" s="4"/>
      <c r="BC810" s="4"/>
      <c r="BD810" s="4"/>
      <c r="BE810" s="4"/>
      <c r="BF810" s="4"/>
      <c r="BG810" s="4"/>
      <c r="BH810" s="4"/>
      <c r="BI810" s="567"/>
    </row>
    <row r="811" spans="1:61" ht="12.75" customHeight="1" x14ac:dyDescent="0.25">
      <c r="A811" s="4"/>
      <c r="B811" s="4"/>
      <c r="C811" s="4"/>
      <c r="D811" s="4"/>
      <c r="E811" s="128"/>
      <c r="F811" s="128"/>
      <c r="G811" s="753"/>
      <c r="H811" s="128"/>
      <c r="I811" s="128"/>
      <c r="J811" s="130"/>
      <c r="K811" s="128"/>
      <c r="L811" s="128"/>
      <c r="M811" s="130"/>
      <c r="N811" s="130"/>
      <c r="O811" s="130"/>
      <c r="P811" s="128"/>
      <c r="Q811" s="128"/>
      <c r="R811" s="128"/>
      <c r="S811" s="298"/>
      <c r="T811" s="4"/>
      <c r="U811" s="4"/>
      <c r="V811" s="4"/>
      <c r="W811" s="4"/>
      <c r="X811" s="4"/>
      <c r="Y811" s="128"/>
      <c r="Z811" s="128"/>
      <c r="AA811" s="128"/>
      <c r="AB811" s="4"/>
      <c r="AC811" s="4"/>
      <c r="AD811" s="4"/>
      <c r="AE811" s="4"/>
      <c r="AF811" s="4"/>
      <c r="AG811" s="4"/>
      <c r="AH811" s="4"/>
      <c r="AI811" s="4"/>
      <c r="AJ811" s="246"/>
      <c r="AK811" s="246"/>
      <c r="AL811" s="129"/>
      <c r="AM811" s="129"/>
      <c r="AN811" s="129"/>
      <c r="AO811" s="246"/>
      <c r="AP811" s="246"/>
      <c r="AQ811" s="249"/>
      <c r="AR811" s="4"/>
      <c r="AS811" s="4"/>
      <c r="AT811" s="4"/>
      <c r="AU811" s="4"/>
      <c r="AV811" s="4"/>
      <c r="AW811" s="4"/>
      <c r="AX811" s="4"/>
      <c r="AY811" s="128"/>
      <c r="AZ811" s="4"/>
      <c r="BA811" s="4"/>
      <c r="BB811" s="4"/>
      <c r="BC811" s="4"/>
      <c r="BD811" s="4"/>
      <c r="BE811" s="4"/>
      <c r="BF811" s="4"/>
      <c r="BG811" s="4"/>
      <c r="BH811" s="4"/>
      <c r="BI811" s="567"/>
    </row>
    <row r="812" spans="1:61" ht="12.75" customHeight="1" x14ac:dyDescent="0.25">
      <c r="A812" s="4"/>
      <c r="B812" s="4"/>
      <c r="C812" s="4"/>
      <c r="D812" s="4"/>
      <c r="E812" s="128"/>
      <c r="F812" s="128"/>
      <c r="G812" s="753"/>
      <c r="H812" s="128"/>
      <c r="I812" s="128"/>
      <c r="J812" s="130"/>
      <c r="K812" s="128"/>
      <c r="L812" s="128"/>
      <c r="M812" s="130"/>
      <c r="N812" s="130"/>
      <c r="O812" s="130"/>
      <c r="P812" s="128"/>
      <c r="Q812" s="128"/>
      <c r="R812" s="128"/>
      <c r="S812" s="298"/>
      <c r="T812" s="4"/>
      <c r="U812" s="4"/>
      <c r="V812" s="4"/>
      <c r="W812" s="4"/>
      <c r="X812" s="4"/>
      <c r="Y812" s="128"/>
      <c r="Z812" s="128"/>
      <c r="AA812" s="128"/>
      <c r="AB812" s="4"/>
      <c r="AC812" s="4"/>
      <c r="AD812" s="4"/>
      <c r="AE812" s="4"/>
      <c r="AF812" s="4"/>
      <c r="AG812" s="4"/>
      <c r="AH812" s="4"/>
      <c r="AI812" s="4"/>
      <c r="AJ812" s="246"/>
      <c r="AK812" s="246"/>
      <c r="AL812" s="129"/>
      <c r="AM812" s="129"/>
      <c r="AN812" s="129"/>
      <c r="AO812" s="246"/>
      <c r="AP812" s="246"/>
      <c r="AQ812" s="249"/>
      <c r="AR812" s="4"/>
      <c r="AS812" s="4"/>
      <c r="AT812" s="4"/>
      <c r="AU812" s="4"/>
      <c r="AV812" s="4"/>
      <c r="AW812" s="4"/>
      <c r="AX812" s="4"/>
      <c r="AY812" s="128"/>
      <c r="AZ812" s="4"/>
      <c r="BA812" s="4"/>
      <c r="BB812" s="4"/>
      <c r="BC812" s="4"/>
      <c r="BD812" s="4"/>
      <c r="BE812" s="4"/>
      <c r="BF812" s="4"/>
      <c r="BG812" s="4"/>
      <c r="BH812" s="4"/>
      <c r="BI812" s="567"/>
    </row>
    <row r="813" spans="1:61" ht="12.75" customHeight="1" x14ac:dyDescent="0.25">
      <c r="A813" s="4"/>
      <c r="B813" s="4"/>
      <c r="C813" s="4"/>
      <c r="D813" s="4"/>
      <c r="E813" s="128"/>
      <c r="F813" s="128"/>
      <c r="G813" s="753"/>
      <c r="H813" s="128"/>
      <c r="I813" s="128"/>
      <c r="J813" s="130"/>
      <c r="K813" s="128"/>
      <c r="L813" s="128"/>
      <c r="M813" s="130"/>
      <c r="N813" s="130"/>
      <c r="O813" s="130"/>
      <c r="P813" s="128"/>
      <c r="Q813" s="128"/>
      <c r="R813" s="128"/>
      <c r="S813" s="298"/>
      <c r="T813" s="4"/>
      <c r="U813" s="4"/>
      <c r="V813" s="4"/>
      <c r="W813" s="4"/>
      <c r="X813" s="4"/>
      <c r="Y813" s="128"/>
      <c r="Z813" s="128"/>
      <c r="AA813" s="128"/>
      <c r="AB813" s="4"/>
      <c r="AC813" s="4"/>
      <c r="AD813" s="4"/>
      <c r="AE813" s="4"/>
      <c r="AF813" s="4"/>
      <c r="AG813" s="4"/>
      <c r="AH813" s="4"/>
      <c r="AI813" s="4"/>
      <c r="AJ813" s="246"/>
      <c r="AK813" s="246"/>
      <c r="AL813" s="129"/>
      <c r="AM813" s="129"/>
      <c r="AN813" s="129"/>
      <c r="AO813" s="246"/>
      <c r="AP813" s="246"/>
      <c r="AQ813" s="249"/>
      <c r="AR813" s="4"/>
      <c r="AS813" s="4"/>
      <c r="AT813" s="4"/>
      <c r="AU813" s="4"/>
      <c r="AV813" s="4"/>
      <c r="AW813" s="4"/>
      <c r="AX813" s="4"/>
      <c r="AY813" s="128"/>
      <c r="AZ813" s="4"/>
      <c r="BA813" s="4"/>
      <c r="BB813" s="4"/>
      <c r="BC813" s="4"/>
      <c r="BD813" s="4"/>
      <c r="BE813" s="4"/>
      <c r="BF813" s="4"/>
      <c r="BG813" s="4"/>
      <c r="BH813" s="4"/>
      <c r="BI813" s="567"/>
    </row>
    <row r="814" spans="1:61" ht="12.75" customHeight="1" x14ac:dyDescent="0.25">
      <c r="A814" s="4"/>
      <c r="B814" s="4"/>
      <c r="C814" s="4"/>
      <c r="D814" s="4"/>
      <c r="E814" s="128"/>
      <c r="F814" s="128"/>
      <c r="G814" s="753"/>
      <c r="H814" s="128"/>
      <c r="I814" s="128"/>
      <c r="J814" s="130"/>
      <c r="K814" s="128"/>
      <c r="L814" s="128"/>
      <c r="M814" s="130"/>
      <c r="N814" s="130"/>
      <c r="O814" s="130"/>
      <c r="P814" s="128"/>
      <c r="Q814" s="128"/>
      <c r="R814" s="128"/>
      <c r="S814" s="298"/>
      <c r="T814" s="4"/>
      <c r="U814" s="4"/>
      <c r="V814" s="4"/>
      <c r="W814" s="4"/>
      <c r="X814" s="4"/>
      <c r="Y814" s="128"/>
      <c r="Z814" s="128"/>
      <c r="AA814" s="128"/>
      <c r="AB814" s="4"/>
      <c r="AC814" s="4"/>
      <c r="AD814" s="4"/>
      <c r="AE814" s="4"/>
      <c r="AF814" s="4"/>
      <c r="AG814" s="4"/>
      <c r="AH814" s="4"/>
      <c r="AI814" s="4"/>
      <c r="AJ814" s="246"/>
      <c r="AK814" s="246"/>
      <c r="AL814" s="129"/>
      <c r="AM814" s="129"/>
      <c r="AN814" s="129"/>
      <c r="AO814" s="246"/>
      <c r="AP814" s="246"/>
      <c r="AQ814" s="249"/>
      <c r="AR814" s="4"/>
      <c r="AS814" s="4"/>
      <c r="AT814" s="4"/>
      <c r="AU814" s="4"/>
      <c r="AV814" s="4"/>
      <c r="AW814" s="4"/>
      <c r="AX814" s="4"/>
      <c r="AY814" s="128"/>
      <c r="AZ814" s="4"/>
      <c r="BA814" s="4"/>
      <c r="BB814" s="4"/>
      <c r="BC814" s="4"/>
      <c r="BD814" s="4"/>
      <c r="BE814" s="4"/>
      <c r="BF814" s="4"/>
      <c r="BG814" s="4"/>
      <c r="BH814" s="4"/>
      <c r="BI814" s="567"/>
    </row>
    <row r="815" spans="1:61" ht="12.75" customHeight="1" x14ac:dyDescent="0.25">
      <c r="A815" s="4"/>
      <c r="B815" s="4"/>
      <c r="C815" s="4"/>
      <c r="D815" s="4"/>
      <c r="E815" s="128"/>
      <c r="F815" s="128"/>
      <c r="G815" s="753"/>
      <c r="H815" s="128"/>
      <c r="I815" s="128"/>
      <c r="J815" s="130"/>
      <c r="K815" s="128"/>
      <c r="L815" s="128"/>
      <c r="M815" s="130"/>
      <c r="N815" s="130"/>
      <c r="O815" s="130"/>
      <c r="P815" s="128"/>
      <c r="Q815" s="128"/>
      <c r="R815" s="128"/>
      <c r="S815" s="298"/>
      <c r="T815" s="4"/>
      <c r="U815" s="4"/>
      <c r="V815" s="4"/>
      <c r="W815" s="4"/>
      <c r="X815" s="4"/>
      <c r="Y815" s="128"/>
      <c r="Z815" s="128"/>
      <c r="AA815" s="128"/>
      <c r="AB815" s="4"/>
      <c r="AC815" s="4"/>
      <c r="AD815" s="4"/>
      <c r="AE815" s="4"/>
      <c r="AF815" s="4"/>
      <c r="AG815" s="4"/>
      <c r="AH815" s="4"/>
      <c r="AI815" s="4"/>
      <c r="AJ815" s="246"/>
      <c r="AK815" s="246"/>
      <c r="AL815" s="129"/>
      <c r="AM815" s="129"/>
      <c r="AN815" s="129"/>
      <c r="AO815" s="246"/>
      <c r="AP815" s="246"/>
      <c r="AQ815" s="249"/>
      <c r="AR815" s="4"/>
      <c r="AS815" s="4"/>
      <c r="AT815" s="4"/>
      <c r="AU815" s="4"/>
      <c r="AV815" s="4"/>
      <c r="AW815" s="4"/>
      <c r="AX815" s="4"/>
      <c r="AY815" s="128"/>
      <c r="AZ815" s="4"/>
      <c r="BA815" s="4"/>
      <c r="BB815" s="4"/>
      <c r="BC815" s="4"/>
      <c r="BD815" s="4"/>
      <c r="BE815" s="4"/>
      <c r="BF815" s="4"/>
      <c r="BG815" s="4"/>
      <c r="BH815" s="4"/>
      <c r="BI815" s="567"/>
    </row>
    <row r="816" spans="1:61" ht="12.75" customHeight="1" x14ac:dyDescent="0.25">
      <c r="A816" s="4"/>
      <c r="B816" s="4"/>
      <c r="C816" s="4"/>
      <c r="D816" s="4"/>
      <c r="E816" s="128"/>
      <c r="F816" s="128"/>
      <c r="G816" s="753"/>
      <c r="H816" s="128"/>
      <c r="I816" s="128"/>
      <c r="J816" s="130"/>
      <c r="K816" s="128"/>
      <c r="L816" s="128"/>
      <c r="M816" s="130"/>
      <c r="N816" s="130"/>
      <c r="O816" s="130"/>
      <c r="P816" s="128"/>
      <c r="Q816" s="128"/>
      <c r="R816" s="128"/>
      <c r="S816" s="298"/>
      <c r="T816" s="4"/>
      <c r="U816" s="4"/>
      <c r="V816" s="4"/>
      <c r="W816" s="4"/>
      <c r="X816" s="4"/>
      <c r="Y816" s="128"/>
      <c r="Z816" s="128"/>
      <c r="AA816" s="128"/>
      <c r="AB816" s="4"/>
      <c r="AC816" s="4"/>
      <c r="AD816" s="4"/>
      <c r="AE816" s="4"/>
      <c r="AF816" s="4"/>
      <c r="AG816" s="4"/>
      <c r="AH816" s="4"/>
      <c r="AI816" s="4"/>
      <c r="AJ816" s="246"/>
      <c r="AK816" s="246"/>
      <c r="AL816" s="129"/>
      <c r="AM816" s="129"/>
      <c r="AN816" s="129"/>
      <c r="AO816" s="246"/>
      <c r="AP816" s="246"/>
      <c r="AQ816" s="249"/>
      <c r="AR816" s="4"/>
      <c r="AS816" s="4"/>
      <c r="AT816" s="4"/>
      <c r="AU816" s="4"/>
      <c r="AV816" s="4"/>
      <c r="AW816" s="4"/>
      <c r="AX816" s="4"/>
      <c r="AY816" s="128"/>
      <c r="AZ816" s="4"/>
      <c r="BA816" s="4"/>
      <c r="BB816" s="4"/>
      <c r="BC816" s="4"/>
      <c r="BD816" s="4"/>
      <c r="BE816" s="4"/>
      <c r="BF816" s="4"/>
      <c r="BG816" s="4"/>
      <c r="BH816" s="4"/>
      <c r="BI816" s="567"/>
    </row>
    <row r="817" spans="1:61" ht="12.75" customHeight="1" x14ac:dyDescent="0.25">
      <c r="A817" s="4"/>
      <c r="B817" s="4"/>
      <c r="C817" s="4"/>
      <c r="D817" s="4"/>
      <c r="E817" s="128"/>
      <c r="F817" s="128"/>
      <c r="G817" s="753"/>
      <c r="H817" s="128"/>
      <c r="I817" s="128"/>
      <c r="J817" s="130"/>
      <c r="K817" s="128"/>
      <c r="L817" s="128"/>
      <c r="M817" s="130"/>
      <c r="N817" s="130"/>
      <c r="O817" s="130"/>
      <c r="P817" s="128"/>
      <c r="Q817" s="128"/>
      <c r="R817" s="128"/>
      <c r="S817" s="298"/>
      <c r="T817" s="4"/>
      <c r="U817" s="4"/>
      <c r="V817" s="4"/>
      <c r="W817" s="4"/>
      <c r="X817" s="4"/>
      <c r="Y817" s="128"/>
      <c r="Z817" s="128"/>
      <c r="AA817" s="128"/>
      <c r="AB817" s="4"/>
      <c r="AC817" s="4"/>
      <c r="AD817" s="4"/>
      <c r="AE817" s="4"/>
      <c r="AF817" s="4"/>
      <c r="AG817" s="4"/>
      <c r="AH817" s="4"/>
      <c r="AI817" s="4"/>
      <c r="AJ817" s="246"/>
      <c r="AK817" s="246"/>
      <c r="AL817" s="129"/>
      <c r="AM817" s="129"/>
      <c r="AN817" s="129"/>
      <c r="AO817" s="246"/>
      <c r="AP817" s="246"/>
      <c r="AQ817" s="249"/>
      <c r="AR817" s="4"/>
      <c r="AS817" s="4"/>
      <c r="AT817" s="4"/>
      <c r="AU817" s="4"/>
      <c r="AV817" s="4"/>
      <c r="AW817" s="4"/>
      <c r="AX817" s="4"/>
      <c r="AY817" s="128"/>
      <c r="AZ817" s="4"/>
      <c r="BA817" s="4"/>
      <c r="BB817" s="4"/>
      <c r="BC817" s="4"/>
      <c r="BD817" s="4"/>
      <c r="BE817" s="4"/>
      <c r="BF817" s="4"/>
      <c r="BG817" s="4"/>
      <c r="BH817" s="4"/>
      <c r="BI817" s="567"/>
    </row>
    <row r="818" spans="1:61" ht="12.75" customHeight="1" x14ac:dyDescent="0.25">
      <c r="A818" s="4"/>
      <c r="B818" s="4"/>
      <c r="C818" s="4"/>
      <c r="D818" s="4"/>
      <c r="E818" s="128"/>
      <c r="F818" s="128"/>
      <c r="G818" s="753"/>
      <c r="H818" s="128"/>
      <c r="I818" s="128"/>
      <c r="J818" s="130"/>
      <c r="K818" s="128"/>
      <c r="L818" s="128"/>
      <c r="M818" s="130"/>
      <c r="N818" s="130"/>
      <c r="O818" s="130"/>
      <c r="P818" s="128"/>
      <c r="Q818" s="128"/>
      <c r="R818" s="128"/>
      <c r="S818" s="298"/>
      <c r="T818" s="4"/>
      <c r="U818" s="4"/>
      <c r="V818" s="4"/>
      <c r="W818" s="4"/>
      <c r="X818" s="4"/>
      <c r="Y818" s="128"/>
      <c r="Z818" s="128"/>
      <c r="AA818" s="128"/>
      <c r="AB818" s="4"/>
      <c r="AC818" s="4"/>
      <c r="AD818" s="4"/>
      <c r="AE818" s="4"/>
      <c r="AF818" s="4"/>
      <c r="AG818" s="4"/>
      <c r="AH818" s="4"/>
      <c r="AI818" s="4"/>
      <c r="AJ818" s="246"/>
      <c r="AK818" s="246"/>
      <c r="AL818" s="129"/>
      <c r="AM818" s="129"/>
      <c r="AN818" s="129"/>
      <c r="AO818" s="246"/>
      <c r="AP818" s="246"/>
      <c r="AQ818" s="249"/>
      <c r="AR818" s="4"/>
      <c r="AS818" s="4"/>
      <c r="AT818" s="4"/>
      <c r="AU818" s="4"/>
      <c r="AV818" s="4"/>
      <c r="AW818" s="4"/>
      <c r="AX818" s="4"/>
      <c r="AY818" s="128"/>
      <c r="AZ818" s="4"/>
      <c r="BA818" s="4"/>
      <c r="BB818" s="4"/>
      <c r="BC818" s="4"/>
      <c r="BD818" s="4"/>
      <c r="BE818" s="4"/>
      <c r="BF818" s="4"/>
      <c r="BG818" s="4"/>
      <c r="BH818" s="4"/>
      <c r="BI818" s="567"/>
    </row>
    <row r="819" spans="1:61" ht="12.75" customHeight="1" x14ac:dyDescent="0.25">
      <c r="A819" s="4"/>
      <c r="B819" s="4"/>
      <c r="C819" s="4"/>
      <c r="D819" s="4"/>
      <c r="E819" s="128"/>
      <c r="F819" s="128"/>
      <c r="G819" s="753"/>
      <c r="H819" s="128"/>
      <c r="I819" s="128"/>
      <c r="J819" s="130"/>
      <c r="K819" s="128"/>
      <c r="L819" s="128"/>
      <c r="M819" s="130"/>
      <c r="N819" s="130"/>
      <c r="O819" s="130"/>
      <c r="P819" s="128"/>
      <c r="Q819" s="128"/>
      <c r="R819" s="128"/>
      <c r="S819" s="298"/>
      <c r="T819" s="4"/>
      <c r="U819" s="4"/>
      <c r="V819" s="4"/>
      <c r="W819" s="4"/>
      <c r="X819" s="4"/>
      <c r="Y819" s="128"/>
      <c r="Z819" s="128"/>
      <c r="AA819" s="128"/>
      <c r="AB819" s="4"/>
      <c r="AC819" s="4"/>
      <c r="AD819" s="4"/>
      <c r="AE819" s="4"/>
      <c r="AF819" s="4"/>
      <c r="AG819" s="4"/>
      <c r="AH819" s="4"/>
      <c r="AI819" s="4"/>
      <c r="AJ819" s="246"/>
      <c r="AK819" s="246"/>
      <c r="AL819" s="129"/>
      <c r="AM819" s="129"/>
      <c r="AN819" s="129"/>
      <c r="AO819" s="246"/>
      <c r="AP819" s="246"/>
      <c r="AQ819" s="249"/>
      <c r="AR819" s="4"/>
      <c r="AS819" s="4"/>
      <c r="AT819" s="4"/>
      <c r="AU819" s="4"/>
      <c r="AV819" s="4"/>
      <c r="AW819" s="4"/>
      <c r="AX819" s="4"/>
      <c r="AY819" s="128"/>
      <c r="AZ819" s="4"/>
      <c r="BA819" s="4"/>
      <c r="BB819" s="4"/>
      <c r="BC819" s="4"/>
      <c r="BD819" s="4"/>
      <c r="BE819" s="4"/>
      <c r="BF819" s="4"/>
      <c r="BG819" s="4"/>
      <c r="BH819" s="4"/>
      <c r="BI819" s="567"/>
    </row>
    <row r="820" spans="1:61" ht="12.75" customHeight="1" x14ac:dyDescent="0.25">
      <c r="A820" s="4"/>
      <c r="B820" s="4"/>
      <c r="C820" s="4"/>
      <c r="D820" s="4"/>
      <c r="E820" s="128"/>
      <c r="F820" s="128"/>
      <c r="G820" s="753"/>
      <c r="H820" s="128"/>
      <c r="I820" s="128"/>
      <c r="J820" s="130"/>
      <c r="K820" s="128"/>
      <c r="L820" s="128"/>
      <c r="M820" s="130"/>
      <c r="N820" s="130"/>
      <c r="O820" s="130"/>
      <c r="P820" s="128"/>
      <c r="Q820" s="128"/>
      <c r="R820" s="128"/>
      <c r="S820" s="298"/>
      <c r="T820" s="4"/>
      <c r="U820" s="4"/>
      <c r="V820" s="4"/>
      <c r="W820" s="4"/>
      <c r="X820" s="4"/>
      <c r="Y820" s="128"/>
      <c r="Z820" s="128"/>
      <c r="AA820" s="128"/>
      <c r="AB820" s="4"/>
      <c r="AC820" s="4"/>
      <c r="AD820" s="4"/>
      <c r="AE820" s="4"/>
      <c r="AF820" s="4"/>
      <c r="AG820" s="4"/>
      <c r="AH820" s="4"/>
      <c r="AI820" s="4"/>
      <c r="AJ820" s="246"/>
      <c r="AK820" s="246"/>
      <c r="AL820" s="129"/>
      <c r="AM820" s="129"/>
      <c r="AN820" s="129"/>
      <c r="AO820" s="246"/>
      <c r="AP820" s="246"/>
      <c r="AQ820" s="249"/>
      <c r="AR820" s="4"/>
      <c r="AS820" s="4"/>
      <c r="AT820" s="4"/>
      <c r="AU820" s="4"/>
      <c r="AV820" s="4"/>
      <c r="AW820" s="4"/>
      <c r="AX820" s="4"/>
      <c r="AY820" s="128"/>
      <c r="AZ820" s="4"/>
      <c r="BA820" s="4"/>
      <c r="BB820" s="4"/>
      <c r="BC820" s="4"/>
      <c r="BD820" s="4"/>
      <c r="BE820" s="4"/>
      <c r="BF820" s="4"/>
      <c r="BG820" s="4"/>
      <c r="BH820" s="4"/>
      <c r="BI820" s="567"/>
    </row>
    <row r="821" spans="1:61" ht="12.75" customHeight="1" x14ac:dyDescent="0.25">
      <c r="A821" s="4"/>
      <c r="B821" s="4"/>
      <c r="C821" s="4"/>
      <c r="D821" s="4"/>
      <c r="E821" s="128"/>
      <c r="F821" s="128"/>
      <c r="G821" s="753"/>
      <c r="H821" s="128"/>
      <c r="I821" s="128"/>
      <c r="J821" s="130"/>
      <c r="K821" s="128"/>
      <c r="L821" s="128"/>
      <c r="M821" s="130"/>
      <c r="N821" s="130"/>
      <c r="O821" s="130"/>
      <c r="P821" s="128"/>
      <c r="Q821" s="128"/>
      <c r="R821" s="128"/>
      <c r="S821" s="298"/>
      <c r="T821" s="4"/>
      <c r="U821" s="4"/>
      <c r="V821" s="4"/>
      <c r="W821" s="4"/>
      <c r="X821" s="4"/>
      <c r="Y821" s="128"/>
      <c r="Z821" s="128"/>
      <c r="AA821" s="128"/>
      <c r="AB821" s="4"/>
      <c r="AC821" s="4"/>
      <c r="AD821" s="4"/>
      <c r="AE821" s="4"/>
      <c r="AF821" s="4"/>
      <c r="AG821" s="4"/>
      <c r="AH821" s="4"/>
      <c r="AI821" s="4"/>
      <c r="AJ821" s="246"/>
      <c r="AK821" s="246"/>
      <c r="AL821" s="129"/>
      <c r="AM821" s="129"/>
      <c r="AN821" s="129"/>
      <c r="AO821" s="246"/>
      <c r="AP821" s="246"/>
      <c r="AQ821" s="249"/>
      <c r="AR821" s="4"/>
      <c r="AS821" s="4"/>
      <c r="AT821" s="4"/>
      <c r="AU821" s="4"/>
      <c r="AV821" s="4"/>
      <c r="AW821" s="4"/>
      <c r="AX821" s="4"/>
      <c r="AY821" s="128"/>
      <c r="AZ821" s="4"/>
      <c r="BA821" s="4"/>
      <c r="BB821" s="4"/>
      <c r="BC821" s="4"/>
      <c r="BD821" s="4"/>
      <c r="BE821" s="4"/>
      <c r="BF821" s="4"/>
      <c r="BG821" s="4"/>
      <c r="BH821" s="4"/>
      <c r="BI821" s="567"/>
    </row>
    <row r="822" spans="1:61" ht="12.75" customHeight="1" x14ac:dyDescent="0.25">
      <c r="A822" s="4"/>
      <c r="B822" s="4"/>
      <c r="C822" s="4"/>
      <c r="D822" s="4"/>
      <c r="E822" s="128"/>
      <c r="F822" s="128"/>
      <c r="G822" s="753"/>
      <c r="H822" s="128"/>
      <c r="I822" s="128"/>
      <c r="J822" s="130"/>
      <c r="K822" s="128"/>
      <c r="L822" s="128"/>
      <c r="M822" s="130"/>
      <c r="N822" s="130"/>
      <c r="O822" s="130"/>
      <c r="P822" s="128"/>
      <c r="Q822" s="128"/>
      <c r="R822" s="128"/>
      <c r="S822" s="298"/>
      <c r="T822" s="4"/>
      <c r="U822" s="4"/>
      <c r="V822" s="4"/>
      <c r="W822" s="4"/>
      <c r="X822" s="4"/>
      <c r="Y822" s="128"/>
      <c r="Z822" s="128"/>
      <c r="AA822" s="128"/>
      <c r="AB822" s="4"/>
      <c r="AC822" s="4"/>
      <c r="AD822" s="4"/>
      <c r="AE822" s="4"/>
      <c r="AF822" s="4"/>
      <c r="AG822" s="4"/>
      <c r="AH822" s="4"/>
      <c r="AI822" s="4"/>
      <c r="AJ822" s="246"/>
      <c r="AK822" s="246"/>
      <c r="AL822" s="129"/>
      <c r="AM822" s="129"/>
      <c r="AN822" s="129"/>
      <c r="AO822" s="246"/>
      <c r="AP822" s="246"/>
      <c r="AQ822" s="249"/>
      <c r="AR822" s="4"/>
      <c r="AS822" s="4"/>
      <c r="AT822" s="4"/>
      <c r="AU822" s="4"/>
      <c r="AV822" s="4"/>
      <c r="AW822" s="4"/>
      <c r="AX822" s="4"/>
      <c r="AY822" s="128"/>
      <c r="AZ822" s="4"/>
      <c r="BA822" s="4"/>
      <c r="BB822" s="4"/>
      <c r="BC822" s="4"/>
      <c r="BD822" s="4"/>
      <c r="BE822" s="4"/>
      <c r="BF822" s="4"/>
      <c r="BG822" s="4"/>
      <c r="BH822" s="4"/>
      <c r="BI822" s="567"/>
    </row>
    <row r="823" spans="1:61" ht="12.75" customHeight="1" x14ac:dyDescent="0.25">
      <c r="A823" s="4"/>
      <c r="B823" s="4"/>
      <c r="C823" s="4"/>
      <c r="D823" s="4"/>
      <c r="E823" s="128"/>
      <c r="F823" s="128"/>
      <c r="G823" s="753"/>
      <c r="H823" s="128"/>
      <c r="I823" s="128"/>
      <c r="J823" s="130"/>
      <c r="K823" s="128"/>
      <c r="L823" s="128"/>
      <c r="M823" s="130"/>
      <c r="N823" s="130"/>
      <c r="O823" s="130"/>
      <c r="P823" s="128"/>
      <c r="Q823" s="128"/>
      <c r="R823" s="128"/>
      <c r="S823" s="298"/>
      <c r="T823" s="4"/>
      <c r="U823" s="4"/>
      <c r="V823" s="4"/>
      <c r="W823" s="4"/>
      <c r="X823" s="4"/>
      <c r="Y823" s="128"/>
      <c r="Z823" s="128"/>
      <c r="AA823" s="128"/>
      <c r="AB823" s="4"/>
      <c r="AC823" s="4"/>
      <c r="AD823" s="4"/>
      <c r="AE823" s="4"/>
      <c r="AF823" s="4"/>
      <c r="AG823" s="4"/>
      <c r="AH823" s="4"/>
      <c r="AI823" s="4"/>
      <c r="AJ823" s="246"/>
      <c r="AK823" s="246"/>
      <c r="AL823" s="129"/>
      <c r="AM823" s="129"/>
      <c r="AN823" s="129"/>
      <c r="AO823" s="246"/>
      <c r="AP823" s="246"/>
      <c r="AQ823" s="249"/>
      <c r="AR823" s="4"/>
      <c r="AS823" s="4"/>
      <c r="AT823" s="4"/>
      <c r="AU823" s="4"/>
      <c r="AV823" s="4"/>
      <c r="AW823" s="4"/>
      <c r="AX823" s="4"/>
      <c r="AY823" s="128"/>
      <c r="AZ823" s="4"/>
      <c r="BA823" s="4"/>
      <c r="BB823" s="4"/>
      <c r="BC823" s="4"/>
      <c r="BD823" s="4"/>
      <c r="BE823" s="4"/>
      <c r="BF823" s="4"/>
      <c r="BG823" s="4"/>
      <c r="BH823" s="4"/>
      <c r="BI823" s="567"/>
    </row>
    <row r="824" spans="1:61" ht="12.75" customHeight="1" x14ac:dyDescent="0.25">
      <c r="A824" s="4"/>
      <c r="B824" s="4"/>
      <c r="C824" s="4"/>
      <c r="D824" s="4"/>
      <c r="E824" s="128"/>
      <c r="F824" s="128"/>
      <c r="G824" s="753"/>
      <c r="H824" s="128"/>
      <c r="I824" s="128"/>
      <c r="J824" s="130"/>
      <c r="K824" s="128"/>
      <c r="L824" s="128"/>
      <c r="M824" s="130"/>
      <c r="N824" s="130"/>
      <c r="O824" s="130"/>
      <c r="P824" s="128"/>
      <c r="Q824" s="128"/>
      <c r="R824" s="128"/>
      <c r="S824" s="298"/>
      <c r="T824" s="4"/>
      <c r="U824" s="4"/>
      <c r="V824" s="4"/>
      <c r="W824" s="4"/>
      <c r="X824" s="4"/>
      <c r="Y824" s="128"/>
      <c r="Z824" s="128"/>
      <c r="AA824" s="128"/>
      <c r="AB824" s="4"/>
      <c r="AC824" s="4"/>
      <c r="AD824" s="4"/>
      <c r="AE824" s="4"/>
      <c r="AF824" s="4"/>
      <c r="AG824" s="4"/>
      <c r="AH824" s="4"/>
      <c r="AI824" s="4"/>
      <c r="AJ824" s="246"/>
      <c r="AK824" s="246"/>
      <c r="AL824" s="129"/>
      <c r="AM824" s="129"/>
      <c r="AN824" s="129"/>
      <c r="AO824" s="246"/>
      <c r="AP824" s="246"/>
      <c r="AQ824" s="249"/>
      <c r="AR824" s="4"/>
      <c r="AS824" s="4"/>
      <c r="AT824" s="4"/>
      <c r="AU824" s="4"/>
      <c r="AV824" s="4"/>
      <c r="AW824" s="4"/>
      <c r="AX824" s="4"/>
      <c r="AY824" s="128"/>
      <c r="AZ824" s="4"/>
      <c r="BA824" s="4"/>
      <c r="BB824" s="4"/>
      <c r="BC824" s="4"/>
      <c r="BD824" s="4"/>
      <c r="BE824" s="4"/>
      <c r="BF824" s="4"/>
      <c r="BG824" s="4"/>
      <c r="BH824" s="4"/>
      <c r="BI824" s="567"/>
    </row>
    <row r="825" spans="1:61" ht="12.75" customHeight="1" x14ac:dyDescent="0.25">
      <c r="A825" s="4"/>
      <c r="B825" s="4"/>
      <c r="C825" s="4"/>
      <c r="D825" s="4"/>
      <c r="E825" s="128"/>
      <c r="F825" s="128"/>
      <c r="G825" s="753"/>
      <c r="H825" s="128"/>
      <c r="I825" s="128"/>
      <c r="J825" s="130"/>
      <c r="K825" s="128"/>
      <c r="L825" s="128"/>
      <c r="M825" s="130"/>
      <c r="N825" s="130"/>
      <c r="O825" s="130"/>
      <c r="P825" s="128"/>
      <c r="Q825" s="128"/>
      <c r="R825" s="128"/>
      <c r="S825" s="298"/>
      <c r="T825" s="4"/>
      <c r="U825" s="4"/>
      <c r="V825" s="4"/>
      <c r="W825" s="4"/>
      <c r="X825" s="4"/>
      <c r="Y825" s="128"/>
      <c r="Z825" s="128"/>
      <c r="AA825" s="128"/>
      <c r="AB825" s="4"/>
      <c r="AC825" s="4"/>
      <c r="AD825" s="4"/>
      <c r="AE825" s="4"/>
      <c r="AF825" s="4"/>
      <c r="AG825" s="4"/>
      <c r="AH825" s="4"/>
      <c r="AI825" s="4"/>
      <c r="AJ825" s="246"/>
      <c r="AK825" s="246"/>
      <c r="AL825" s="129"/>
      <c r="AM825" s="129"/>
      <c r="AN825" s="129"/>
      <c r="AO825" s="246"/>
      <c r="AP825" s="246"/>
      <c r="AQ825" s="249"/>
      <c r="AR825" s="4"/>
      <c r="AS825" s="4"/>
      <c r="AT825" s="4"/>
      <c r="AU825" s="4"/>
      <c r="AV825" s="4"/>
      <c r="AW825" s="4"/>
      <c r="AX825" s="4"/>
      <c r="AY825" s="128"/>
      <c r="AZ825" s="4"/>
      <c r="BA825" s="4"/>
      <c r="BB825" s="4"/>
      <c r="BC825" s="4"/>
      <c r="BD825" s="4"/>
      <c r="BE825" s="4"/>
      <c r="BF825" s="4"/>
      <c r="BG825" s="4"/>
      <c r="BH825" s="4"/>
      <c r="BI825" s="567"/>
    </row>
    <row r="826" spans="1:61" ht="12.75" customHeight="1" x14ac:dyDescent="0.25">
      <c r="A826" s="4"/>
      <c r="B826" s="4"/>
      <c r="C826" s="4"/>
      <c r="D826" s="4"/>
      <c r="E826" s="128"/>
      <c r="F826" s="128"/>
      <c r="G826" s="753"/>
      <c r="H826" s="128"/>
      <c r="I826" s="128"/>
      <c r="J826" s="130"/>
      <c r="K826" s="128"/>
      <c r="L826" s="128"/>
      <c r="M826" s="130"/>
      <c r="N826" s="130"/>
      <c r="O826" s="130"/>
      <c r="P826" s="128"/>
      <c r="Q826" s="128"/>
      <c r="R826" s="128"/>
      <c r="S826" s="298"/>
      <c r="T826" s="4"/>
      <c r="U826" s="4"/>
      <c r="V826" s="4"/>
      <c r="W826" s="4"/>
      <c r="X826" s="4"/>
      <c r="Y826" s="128"/>
      <c r="Z826" s="128"/>
      <c r="AA826" s="128"/>
      <c r="AB826" s="4"/>
      <c r="AC826" s="4"/>
      <c r="AD826" s="4"/>
      <c r="AE826" s="4"/>
      <c r="AF826" s="4"/>
      <c r="AG826" s="4"/>
      <c r="AH826" s="4"/>
      <c r="AI826" s="4"/>
      <c r="AJ826" s="246"/>
      <c r="AK826" s="246"/>
      <c r="AL826" s="129"/>
      <c r="AM826" s="129"/>
      <c r="AN826" s="129"/>
      <c r="AO826" s="246"/>
      <c r="AP826" s="246"/>
      <c r="AQ826" s="249"/>
      <c r="AR826" s="4"/>
      <c r="AS826" s="4"/>
      <c r="AT826" s="4"/>
      <c r="AU826" s="4"/>
      <c r="AV826" s="4"/>
      <c r="AW826" s="4"/>
      <c r="AX826" s="4"/>
      <c r="AY826" s="128"/>
      <c r="AZ826" s="4"/>
      <c r="BA826" s="4"/>
      <c r="BB826" s="4"/>
      <c r="BC826" s="4"/>
      <c r="BD826" s="4"/>
      <c r="BE826" s="4"/>
      <c r="BF826" s="4"/>
      <c r="BG826" s="4"/>
      <c r="BH826" s="4"/>
      <c r="BI826" s="567"/>
    </row>
    <row r="827" spans="1:61" ht="12.75" customHeight="1" x14ac:dyDescent="0.25">
      <c r="A827" s="4"/>
      <c r="B827" s="4"/>
      <c r="C827" s="4"/>
      <c r="D827" s="4"/>
      <c r="E827" s="128"/>
      <c r="F827" s="128"/>
      <c r="G827" s="753"/>
      <c r="H827" s="128"/>
      <c r="I827" s="128"/>
      <c r="J827" s="130"/>
      <c r="K827" s="128"/>
      <c r="L827" s="128"/>
      <c r="M827" s="130"/>
      <c r="N827" s="130"/>
      <c r="O827" s="130"/>
      <c r="P827" s="128"/>
      <c r="Q827" s="128"/>
      <c r="R827" s="128"/>
      <c r="S827" s="298"/>
      <c r="T827" s="4"/>
      <c r="U827" s="4"/>
      <c r="V827" s="4"/>
      <c r="W827" s="4"/>
      <c r="X827" s="4"/>
      <c r="Y827" s="128"/>
      <c r="Z827" s="128"/>
      <c r="AA827" s="128"/>
      <c r="AB827" s="4"/>
      <c r="AC827" s="4"/>
      <c r="AD827" s="4"/>
      <c r="AE827" s="4"/>
      <c r="AF827" s="4"/>
      <c r="AG827" s="4"/>
      <c r="AH827" s="4"/>
      <c r="AI827" s="4"/>
      <c r="AJ827" s="246"/>
      <c r="AK827" s="246"/>
      <c r="AL827" s="129"/>
      <c r="AM827" s="129"/>
      <c r="AN827" s="129"/>
      <c r="AO827" s="246"/>
      <c r="AP827" s="246"/>
      <c r="AQ827" s="249"/>
      <c r="AR827" s="4"/>
      <c r="AS827" s="4"/>
      <c r="AT827" s="4"/>
      <c r="AU827" s="4"/>
      <c r="AV827" s="4"/>
      <c r="AW827" s="4"/>
      <c r="AX827" s="4"/>
      <c r="AY827" s="128"/>
      <c r="AZ827" s="4"/>
      <c r="BA827" s="4"/>
      <c r="BB827" s="4"/>
      <c r="BC827" s="4"/>
      <c r="BD827" s="4"/>
      <c r="BE827" s="4"/>
      <c r="BF827" s="4"/>
      <c r="BG827" s="4"/>
      <c r="BH827" s="4"/>
      <c r="BI827" s="567"/>
    </row>
    <row r="828" spans="1:61" ht="12.75" customHeight="1" x14ac:dyDescent="0.25">
      <c r="A828" s="4"/>
      <c r="B828" s="4"/>
      <c r="C828" s="4"/>
      <c r="D828" s="4"/>
      <c r="E828" s="128"/>
      <c r="F828" s="128"/>
      <c r="G828" s="753"/>
      <c r="H828" s="128"/>
      <c r="I828" s="128"/>
      <c r="J828" s="130"/>
      <c r="K828" s="128"/>
      <c r="L828" s="128"/>
      <c r="M828" s="130"/>
      <c r="N828" s="130"/>
      <c r="O828" s="130"/>
      <c r="P828" s="128"/>
      <c r="Q828" s="128"/>
      <c r="R828" s="128"/>
      <c r="S828" s="298"/>
      <c r="T828" s="4"/>
      <c r="U828" s="4"/>
      <c r="V828" s="4"/>
      <c r="W828" s="4"/>
      <c r="X828" s="4"/>
      <c r="Y828" s="128"/>
      <c r="Z828" s="128"/>
      <c r="AA828" s="128"/>
      <c r="AB828" s="4"/>
      <c r="AC828" s="4"/>
      <c r="AD828" s="4"/>
      <c r="AE828" s="4"/>
      <c r="AF828" s="4"/>
      <c r="AG828" s="4"/>
      <c r="AH828" s="4"/>
      <c r="AI828" s="4"/>
      <c r="AJ828" s="246"/>
      <c r="AK828" s="246"/>
      <c r="AL828" s="129"/>
      <c r="AM828" s="129"/>
      <c r="AN828" s="129"/>
      <c r="AO828" s="246"/>
      <c r="AP828" s="246"/>
      <c r="AQ828" s="249"/>
      <c r="AR828" s="4"/>
      <c r="AS828" s="4"/>
      <c r="AT828" s="4"/>
      <c r="AU828" s="4"/>
      <c r="AV828" s="4"/>
      <c r="AW828" s="4"/>
      <c r="AX828" s="4"/>
      <c r="AY828" s="128"/>
      <c r="AZ828" s="4"/>
      <c r="BA828" s="4"/>
      <c r="BB828" s="4"/>
      <c r="BC828" s="4"/>
      <c r="BD828" s="4"/>
      <c r="BE828" s="4"/>
      <c r="BF828" s="4"/>
      <c r="BG828" s="4"/>
      <c r="BH828" s="4"/>
      <c r="BI828" s="567"/>
    </row>
    <row r="829" spans="1:61" ht="12.75" customHeight="1" x14ac:dyDescent="0.25">
      <c r="A829" s="4"/>
      <c r="B829" s="4"/>
      <c r="C829" s="4"/>
      <c r="D829" s="4"/>
      <c r="E829" s="128"/>
      <c r="F829" s="128"/>
      <c r="G829" s="753"/>
      <c r="H829" s="128"/>
      <c r="I829" s="128"/>
      <c r="J829" s="130"/>
      <c r="K829" s="128"/>
      <c r="L829" s="128"/>
      <c r="M829" s="130"/>
      <c r="N829" s="130"/>
      <c r="O829" s="130"/>
      <c r="P829" s="128"/>
      <c r="Q829" s="128"/>
      <c r="R829" s="128"/>
      <c r="S829" s="298"/>
      <c r="T829" s="4"/>
      <c r="U829" s="4"/>
      <c r="V829" s="4"/>
      <c r="W829" s="4"/>
      <c r="X829" s="4"/>
      <c r="Y829" s="128"/>
      <c r="Z829" s="128"/>
      <c r="AA829" s="128"/>
      <c r="AB829" s="4"/>
      <c r="AC829" s="4"/>
      <c r="AD829" s="4"/>
      <c r="AE829" s="4"/>
      <c r="AF829" s="4"/>
      <c r="AG829" s="4"/>
      <c r="AH829" s="4"/>
      <c r="AI829" s="4"/>
      <c r="AJ829" s="246"/>
      <c r="AK829" s="246"/>
      <c r="AL829" s="129"/>
      <c r="AM829" s="129"/>
      <c r="AN829" s="129"/>
      <c r="AO829" s="246"/>
      <c r="AP829" s="246"/>
      <c r="AQ829" s="249"/>
      <c r="AR829" s="4"/>
      <c r="AS829" s="4"/>
      <c r="AT829" s="4"/>
      <c r="AU829" s="4"/>
      <c r="AV829" s="4"/>
      <c r="AW829" s="4"/>
      <c r="AX829" s="4"/>
      <c r="AY829" s="128"/>
      <c r="AZ829" s="4"/>
      <c r="BA829" s="4"/>
      <c r="BB829" s="4"/>
      <c r="BC829" s="4"/>
      <c r="BD829" s="4"/>
      <c r="BE829" s="4"/>
      <c r="BF829" s="4"/>
      <c r="BG829" s="4"/>
      <c r="BH829" s="4"/>
      <c r="BI829" s="567"/>
    </row>
    <row r="830" spans="1:61" ht="12.75" customHeight="1" x14ac:dyDescent="0.25">
      <c r="A830" s="4"/>
      <c r="B830" s="4"/>
      <c r="C830" s="4"/>
      <c r="D830" s="4"/>
      <c r="E830" s="128"/>
      <c r="F830" s="128"/>
      <c r="G830" s="753"/>
      <c r="H830" s="128"/>
      <c r="I830" s="128"/>
      <c r="J830" s="130"/>
      <c r="K830" s="128"/>
      <c r="L830" s="128"/>
      <c r="M830" s="130"/>
      <c r="N830" s="130"/>
      <c r="O830" s="130"/>
      <c r="P830" s="128"/>
      <c r="Q830" s="128"/>
      <c r="R830" s="128"/>
      <c r="S830" s="298"/>
      <c r="T830" s="4"/>
      <c r="U830" s="4"/>
      <c r="V830" s="4"/>
      <c r="W830" s="4"/>
      <c r="X830" s="4"/>
      <c r="Y830" s="128"/>
      <c r="Z830" s="128"/>
      <c r="AA830" s="128"/>
      <c r="AB830" s="4"/>
      <c r="AC830" s="4"/>
      <c r="AD830" s="4"/>
      <c r="AE830" s="4"/>
      <c r="AF830" s="4"/>
      <c r="AG830" s="4"/>
      <c r="AH830" s="4"/>
      <c r="AI830" s="4"/>
      <c r="AJ830" s="246"/>
      <c r="AK830" s="246"/>
      <c r="AL830" s="129"/>
      <c r="AM830" s="129"/>
      <c r="AN830" s="129"/>
      <c r="AO830" s="246"/>
      <c r="AP830" s="246"/>
      <c r="AQ830" s="249"/>
      <c r="AR830" s="4"/>
      <c r="AS830" s="4"/>
      <c r="AT830" s="4"/>
      <c r="AU830" s="4"/>
      <c r="AV830" s="4"/>
      <c r="AW830" s="4"/>
      <c r="AX830" s="4"/>
      <c r="AY830" s="128"/>
      <c r="AZ830" s="4"/>
      <c r="BA830" s="4"/>
      <c r="BB830" s="4"/>
      <c r="BC830" s="4"/>
      <c r="BD830" s="4"/>
      <c r="BE830" s="4"/>
      <c r="BF830" s="4"/>
      <c r="BG830" s="4"/>
      <c r="BH830" s="4"/>
      <c r="BI830" s="567"/>
    </row>
    <row r="831" spans="1:61" ht="12.75" customHeight="1" x14ac:dyDescent="0.25">
      <c r="A831" s="4"/>
      <c r="B831" s="4"/>
      <c r="C831" s="4"/>
      <c r="D831" s="4"/>
      <c r="E831" s="128"/>
      <c r="F831" s="128"/>
      <c r="G831" s="753"/>
      <c r="H831" s="128"/>
      <c r="I831" s="128"/>
      <c r="J831" s="130"/>
      <c r="K831" s="128"/>
      <c r="L831" s="128"/>
      <c r="M831" s="130"/>
      <c r="N831" s="130"/>
      <c r="O831" s="130"/>
      <c r="P831" s="128"/>
      <c r="Q831" s="128"/>
      <c r="R831" s="128"/>
      <c r="S831" s="298"/>
      <c r="T831" s="4"/>
      <c r="U831" s="4"/>
      <c r="V831" s="4"/>
      <c r="W831" s="4"/>
      <c r="X831" s="4"/>
      <c r="Y831" s="128"/>
      <c r="Z831" s="128"/>
      <c r="AA831" s="128"/>
      <c r="AB831" s="4"/>
      <c r="AC831" s="4"/>
      <c r="AD831" s="4"/>
      <c r="AE831" s="4"/>
      <c r="AF831" s="4"/>
      <c r="AG831" s="4"/>
      <c r="AH831" s="4"/>
      <c r="AI831" s="4"/>
      <c r="AJ831" s="246"/>
      <c r="AK831" s="246"/>
      <c r="AL831" s="129"/>
      <c r="AM831" s="129"/>
      <c r="AN831" s="129"/>
      <c r="AO831" s="246"/>
      <c r="AP831" s="246"/>
      <c r="AQ831" s="249"/>
      <c r="AR831" s="4"/>
      <c r="AS831" s="4"/>
      <c r="AT831" s="4"/>
      <c r="AU831" s="4"/>
      <c r="AV831" s="4"/>
      <c r="AW831" s="4"/>
      <c r="AX831" s="4"/>
      <c r="AY831" s="128"/>
      <c r="AZ831" s="4"/>
      <c r="BA831" s="4"/>
      <c r="BB831" s="4"/>
      <c r="BC831" s="4"/>
      <c r="BD831" s="4"/>
      <c r="BE831" s="4"/>
      <c r="BF831" s="4"/>
      <c r="BG831" s="4"/>
      <c r="BH831" s="4"/>
      <c r="BI831" s="567"/>
    </row>
    <row r="832" spans="1:61" ht="12.75" customHeight="1" x14ac:dyDescent="0.25">
      <c r="A832" s="4"/>
      <c r="B832" s="4"/>
      <c r="C832" s="4"/>
      <c r="D832" s="4"/>
      <c r="E832" s="128"/>
      <c r="F832" s="128"/>
      <c r="G832" s="753"/>
      <c r="H832" s="128"/>
      <c r="I832" s="128"/>
      <c r="J832" s="130"/>
      <c r="K832" s="128"/>
      <c r="L832" s="128"/>
      <c r="M832" s="130"/>
      <c r="N832" s="130"/>
      <c r="O832" s="130"/>
      <c r="P832" s="128"/>
      <c r="Q832" s="128"/>
      <c r="R832" s="128"/>
      <c r="S832" s="298"/>
      <c r="T832" s="4"/>
      <c r="U832" s="4"/>
      <c r="V832" s="4"/>
      <c r="W832" s="4"/>
      <c r="X832" s="4"/>
      <c r="Y832" s="128"/>
      <c r="Z832" s="128"/>
      <c r="AA832" s="128"/>
      <c r="AB832" s="4"/>
      <c r="AC832" s="4"/>
      <c r="AD832" s="4"/>
      <c r="AE832" s="4"/>
      <c r="AF832" s="4"/>
      <c r="AG832" s="4"/>
      <c r="AH832" s="4"/>
      <c r="AI832" s="4"/>
      <c r="AJ832" s="246"/>
      <c r="AK832" s="246"/>
      <c r="AL832" s="129"/>
      <c r="AM832" s="129"/>
      <c r="AN832" s="129"/>
      <c r="AO832" s="246"/>
      <c r="AP832" s="246"/>
      <c r="AQ832" s="249"/>
      <c r="AR832" s="4"/>
      <c r="AS832" s="4"/>
      <c r="AT832" s="4"/>
      <c r="AU832" s="4"/>
      <c r="AV832" s="4"/>
      <c r="AW832" s="4"/>
      <c r="AX832" s="4"/>
      <c r="AY832" s="128"/>
      <c r="AZ832" s="4"/>
      <c r="BA832" s="4"/>
      <c r="BB832" s="4"/>
      <c r="BC832" s="4"/>
      <c r="BD832" s="4"/>
      <c r="BE832" s="4"/>
      <c r="BF832" s="4"/>
      <c r="BG832" s="4"/>
      <c r="BH832" s="4"/>
      <c r="BI832" s="567"/>
    </row>
    <row r="833" spans="1:61" ht="12.75" customHeight="1" x14ac:dyDescent="0.25">
      <c r="A833" s="4"/>
      <c r="B833" s="4"/>
      <c r="C833" s="4"/>
      <c r="D833" s="4"/>
      <c r="E833" s="128"/>
      <c r="F833" s="128"/>
      <c r="G833" s="753"/>
      <c r="H833" s="128"/>
      <c r="I833" s="128"/>
      <c r="J833" s="130"/>
      <c r="K833" s="128"/>
      <c r="L833" s="128"/>
      <c r="M833" s="130"/>
      <c r="N833" s="130"/>
      <c r="O833" s="130"/>
      <c r="P833" s="128"/>
      <c r="Q833" s="128"/>
      <c r="R833" s="128"/>
      <c r="S833" s="298"/>
      <c r="T833" s="4"/>
      <c r="U833" s="4"/>
      <c r="V833" s="4"/>
      <c r="W833" s="4"/>
      <c r="X833" s="4"/>
      <c r="Y833" s="128"/>
      <c r="Z833" s="128"/>
      <c r="AA833" s="128"/>
      <c r="AB833" s="4"/>
      <c r="AC833" s="4"/>
      <c r="AD833" s="4"/>
      <c r="AE833" s="4"/>
      <c r="AF833" s="4"/>
      <c r="AG833" s="4"/>
      <c r="AH833" s="4"/>
      <c r="AI833" s="4"/>
      <c r="AJ833" s="246"/>
      <c r="AK833" s="246"/>
      <c r="AL833" s="129"/>
      <c r="AM833" s="129"/>
      <c r="AN833" s="129"/>
      <c r="AO833" s="246"/>
      <c r="AP833" s="246"/>
      <c r="AQ833" s="249"/>
      <c r="AR833" s="4"/>
      <c r="AS833" s="4"/>
      <c r="AT833" s="4"/>
      <c r="AU833" s="4"/>
      <c r="AV833" s="4"/>
      <c r="AW833" s="4"/>
      <c r="AX833" s="4"/>
      <c r="AY833" s="128"/>
      <c r="AZ833" s="4"/>
      <c r="BA833" s="4"/>
      <c r="BB833" s="4"/>
      <c r="BC833" s="4"/>
      <c r="BD833" s="4"/>
      <c r="BE833" s="4"/>
      <c r="BF833" s="4"/>
      <c r="BG833" s="4"/>
      <c r="BH833" s="4"/>
      <c r="BI833" s="567"/>
    </row>
    <row r="834" spans="1:61" ht="12.75" customHeight="1" x14ac:dyDescent="0.25">
      <c r="A834" s="4"/>
      <c r="B834" s="4"/>
      <c r="C834" s="4"/>
      <c r="D834" s="4"/>
      <c r="E834" s="128"/>
      <c r="F834" s="128"/>
      <c r="G834" s="753"/>
      <c r="H834" s="128"/>
      <c r="I834" s="128"/>
      <c r="J834" s="130"/>
      <c r="K834" s="128"/>
      <c r="L834" s="128"/>
      <c r="M834" s="130"/>
      <c r="N834" s="130"/>
      <c r="O834" s="130"/>
      <c r="P834" s="128"/>
      <c r="Q834" s="128"/>
      <c r="R834" s="128"/>
      <c r="S834" s="298"/>
      <c r="T834" s="4"/>
      <c r="U834" s="4"/>
      <c r="V834" s="4"/>
      <c r="W834" s="4"/>
      <c r="X834" s="4"/>
      <c r="Y834" s="128"/>
      <c r="Z834" s="128"/>
      <c r="AA834" s="128"/>
      <c r="AB834" s="4"/>
      <c r="AC834" s="4"/>
      <c r="AD834" s="4"/>
      <c r="AE834" s="4"/>
      <c r="AF834" s="4"/>
      <c r="AG834" s="4"/>
      <c r="AH834" s="4"/>
      <c r="AI834" s="4"/>
      <c r="AJ834" s="246"/>
      <c r="AK834" s="246"/>
      <c r="AL834" s="129"/>
      <c r="AM834" s="129"/>
      <c r="AN834" s="129"/>
      <c r="AO834" s="246"/>
      <c r="AP834" s="246"/>
      <c r="AQ834" s="249"/>
      <c r="AR834" s="4"/>
      <c r="AS834" s="4"/>
      <c r="AT834" s="4"/>
      <c r="AU834" s="4"/>
      <c r="AV834" s="4"/>
      <c r="AW834" s="4"/>
      <c r="AX834" s="4"/>
      <c r="AY834" s="128"/>
      <c r="AZ834" s="4"/>
      <c r="BA834" s="4"/>
      <c r="BB834" s="4"/>
      <c r="BC834" s="4"/>
      <c r="BD834" s="4"/>
      <c r="BE834" s="4"/>
      <c r="BF834" s="4"/>
      <c r="BG834" s="4"/>
      <c r="BH834" s="4"/>
      <c r="BI834" s="567"/>
    </row>
    <row r="835" spans="1:61" ht="12.75" customHeight="1" x14ac:dyDescent="0.25">
      <c r="A835" s="4"/>
      <c r="B835" s="4"/>
      <c r="C835" s="4"/>
      <c r="D835" s="4"/>
      <c r="E835" s="128"/>
      <c r="F835" s="128"/>
      <c r="G835" s="753"/>
      <c r="H835" s="128"/>
      <c r="I835" s="128"/>
      <c r="J835" s="130"/>
      <c r="K835" s="128"/>
      <c r="L835" s="128"/>
      <c r="M835" s="130"/>
      <c r="N835" s="130"/>
      <c r="O835" s="130"/>
      <c r="P835" s="128"/>
      <c r="Q835" s="128"/>
      <c r="R835" s="128"/>
      <c r="S835" s="298"/>
      <c r="T835" s="4"/>
      <c r="U835" s="4"/>
      <c r="V835" s="4"/>
      <c r="W835" s="4"/>
      <c r="X835" s="4"/>
      <c r="Y835" s="128"/>
      <c r="Z835" s="128"/>
      <c r="AA835" s="128"/>
      <c r="AB835" s="4"/>
      <c r="AC835" s="4"/>
      <c r="AD835" s="4"/>
      <c r="AE835" s="4"/>
      <c r="AF835" s="4"/>
      <c r="AG835" s="4"/>
      <c r="AH835" s="4"/>
      <c r="AI835" s="4"/>
      <c r="AJ835" s="246"/>
      <c r="AK835" s="246"/>
      <c r="AL835" s="129"/>
      <c r="AM835" s="129"/>
      <c r="AN835" s="129"/>
      <c r="AO835" s="246"/>
      <c r="AP835" s="246"/>
      <c r="AQ835" s="249"/>
      <c r="AR835" s="4"/>
      <c r="AS835" s="4"/>
      <c r="AT835" s="4"/>
      <c r="AU835" s="4"/>
      <c r="AV835" s="4"/>
      <c r="AW835" s="4"/>
      <c r="AX835" s="4"/>
      <c r="AY835" s="128"/>
      <c r="AZ835" s="4"/>
      <c r="BA835" s="4"/>
      <c r="BB835" s="4"/>
      <c r="BC835" s="4"/>
      <c r="BD835" s="4"/>
      <c r="BE835" s="4"/>
      <c r="BF835" s="4"/>
      <c r="BG835" s="4"/>
      <c r="BH835" s="4"/>
      <c r="BI835" s="567"/>
    </row>
    <row r="836" spans="1:61" ht="12.75" customHeight="1" x14ac:dyDescent="0.25">
      <c r="A836" s="4"/>
      <c r="B836" s="4"/>
      <c r="C836" s="4"/>
      <c r="D836" s="4"/>
      <c r="E836" s="128"/>
      <c r="F836" s="128"/>
      <c r="G836" s="753"/>
      <c r="H836" s="128"/>
      <c r="I836" s="128"/>
      <c r="J836" s="130"/>
      <c r="K836" s="128"/>
      <c r="L836" s="128"/>
      <c r="M836" s="130"/>
      <c r="N836" s="130"/>
      <c r="O836" s="130"/>
      <c r="P836" s="128"/>
      <c r="Q836" s="128"/>
      <c r="R836" s="128"/>
      <c r="S836" s="298"/>
      <c r="T836" s="4"/>
      <c r="U836" s="4"/>
      <c r="V836" s="4"/>
      <c r="W836" s="4"/>
      <c r="X836" s="4"/>
      <c r="Y836" s="128"/>
      <c r="Z836" s="128"/>
      <c r="AA836" s="128"/>
      <c r="AB836" s="4"/>
      <c r="AC836" s="4"/>
      <c r="AD836" s="4"/>
      <c r="AE836" s="4"/>
      <c r="AF836" s="4"/>
      <c r="AG836" s="4"/>
      <c r="AH836" s="4"/>
      <c r="AI836" s="4"/>
      <c r="AJ836" s="246"/>
      <c r="AK836" s="246"/>
      <c r="AL836" s="129"/>
      <c r="AM836" s="129"/>
      <c r="AN836" s="129"/>
      <c r="AO836" s="246"/>
      <c r="AP836" s="246"/>
      <c r="AQ836" s="249"/>
      <c r="AR836" s="4"/>
      <c r="AS836" s="4"/>
      <c r="AT836" s="4"/>
      <c r="AU836" s="4"/>
      <c r="AV836" s="4"/>
      <c r="AW836" s="4"/>
      <c r="AX836" s="4"/>
      <c r="AY836" s="128"/>
      <c r="AZ836" s="4"/>
      <c r="BA836" s="4"/>
      <c r="BB836" s="4"/>
      <c r="BC836" s="4"/>
      <c r="BD836" s="4"/>
      <c r="BE836" s="4"/>
      <c r="BF836" s="4"/>
      <c r="BG836" s="4"/>
      <c r="BH836" s="4"/>
      <c r="BI836" s="567"/>
    </row>
    <row r="837" spans="1:61" ht="12.75" customHeight="1" x14ac:dyDescent="0.25">
      <c r="A837" s="4"/>
      <c r="B837" s="4"/>
      <c r="C837" s="4"/>
      <c r="D837" s="4"/>
      <c r="E837" s="128"/>
      <c r="F837" s="128"/>
      <c r="G837" s="753"/>
      <c r="H837" s="128"/>
      <c r="I837" s="128"/>
      <c r="J837" s="130"/>
      <c r="K837" s="128"/>
      <c r="L837" s="128"/>
      <c r="M837" s="130"/>
      <c r="N837" s="130"/>
      <c r="O837" s="130"/>
      <c r="P837" s="128"/>
      <c r="Q837" s="128"/>
      <c r="R837" s="128"/>
      <c r="S837" s="298"/>
      <c r="T837" s="4"/>
      <c r="U837" s="4"/>
      <c r="V837" s="4"/>
      <c r="W837" s="4"/>
      <c r="X837" s="4"/>
      <c r="Y837" s="128"/>
      <c r="Z837" s="128"/>
      <c r="AA837" s="128"/>
      <c r="AB837" s="4"/>
      <c r="AC837" s="4"/>
      <c r="AD837" s="4"/>
      <c r="AE837" s="4"/>
      <c r="AF837" s="4"/>
      <c r="AG837" s="4"/>
      <c r="AH837" s="4"/>
      <c r="AI837" s="4"/>
      <c r="AJ837" s="246"/>
      <c r="AK837" s="246"/>
      <c r="AL837" s="129"/>
      <c r="AM837" s="129"/>
      <c r="AN837" s="129"/>
      <c r="AO837" s="246"/>
      <c r="AP837" s="246"/>
      <c r="AQ837" s="249"/>
      <c r="AR837" s="4"/>
      <c r="AS837" s="4"/>
      <c r="AT837" s="4"/>
      <c r="AU837" s="4"/>
      <c r="AV837" s="4"/>
      <c r="AW837" s="4"/>
      <c r="AX837" s="4"/>
      <c r="AY837" s="128"/>
      <c r="AZ837" s="4"/>
      <c r="BA837" s="4"/>
      <c r="BB837" s="4"/>
      <c r="BC837" s="4"/>
      <c r="BD837" s="4"/>
      <c r="BE837" s="4"/>
      <c r="BF837" s="4"/>
      <c r="BG837" s="4"/>
      <c r="BH837" s="4"/>
      <c r="BI837" s="567"/>
    </row>
    <row r="838" spans="1:61" ht="12.75" customHeight="1" x14ac:dyDescent="0.25">
      <c r="A838" s="4"/>
      <c r="B838" s="4"/>
      <c r="C838" s="4"/>
      <c r="D838" s="4"/>
      <c r="E838" s="128"/>
      <c r="F838" s="128"/>
      <c r="G838" s="753"/>
      <c r="H838" s="128"/>
      <c r="I838" s="128"/>
      <c r="J838" s="130"/>
      <c r="K838" s="128"/>
      <c r="L838" s="128"/>
      <c r="M838" s="130"/>
      <c r="N838" s="130"/>
      <c r="O838" s="130"/>
      <c r="P838" s="128"/>
      <c r="Q838" s="128"/>
      <c r="R838" s="128"/>
      <c r="S838" s="298"/>
      <c r="T838" s="4"/>
      <c r="U838" s="4"/>
      <c r="V838" s="4"/>
      <c r="W838" s="4"/>
      <c r="X838" s="4"/>
      <c r="Y838" s="128"/>
      <c r="Z838" s="128"/>
      <c r="AA838" s="128"/>
      <c r="AB838" s="4"/>
      <c r="AC838" s="4"/>
      <c r="AD838" s="4"/>
      <c r="AE838" s="4"/>
      <c r="AF838" s="4"/>
      <c r="AG838" s="4"/>
      <c r="AH838" s="4"/>
      <c r="AI838" s="4"/>
      <c r="AJ838" s="246"/>
      <c r="AK838" s="246"/>
      <c r="AL838" s="129"/>
      <c r="AM838" s="129"/>
      <c r="AN838" s="129"/>
      <c r="AO838" s="246"/>
      <c r="AP838" s="246"/>
      <c r="AQ838" s="249"/>
      <c r="AR838" s="4"/>
      <c r="AS838" s="4"/>
      <c r="AT838" s="4"/>
      <c r="AU838" s="4"/>
      <c r="AV838" s="4"/>
      <c r="AW838" s="4"/>
      <c r="AX838" s="4"/>
      <c r="AY838" s="128"/>
      <c r="AZ838" s="4"/>
      <c r="BA838" s="4"/>
      <c r="BB838" s="4"/>
      <c r="BC838" s="4"/>
      <c r="BD838" s="4"/>
      <c r="BE838" s="4"/>
      <c r="BF838" s="4"/>
      <c r="BG838" s="4"/>
      <c r="BH838" s="4"/>
      <c r="BI838" s="567"/>
    </row>
    <row r="839" spans="1:61" ht="12.75" customHeight="1" x14ac:dyDescent="0.25">
      <c r="A839" s="4"/>
      <c r="B839" s="4"/>
      <c r="C839" s="4"/>
      <c r="D839" s="4"/>
      <c r="E839" s="128"/>
      <c r="F839" s="128"/>
      <c r="G839" s="753"/>
      <c r="H839" s="128"/>
      <c r="I839" s="128"/>
      <c r="J839" s="130"/>
      <c r="K839" s="128"/>
      <c r="L839" s="128"/>
      <c r="M839" s="130"/>
      <c r="N839" s="130"/>
      <c r="O839" s="130"/>
      <c r="P839" s="128"/>
      <c r="Q839" s="128"/>
      <c r="R839" s="128"/>
      <c r="S839" s="298"/>
      <c r="T839" s="4"/>
      <c r="U839" s="4"/>
      <c r="V839" s="4"/>
      <c r="W839" s="4"/>
      <c r="X839" s="4"/>
      <c r="Y839" s="128"/>
      <c r="Z839" s="128"/>
      <c r="AA839" s="128"/>
      <c r="AB839" s="4"/>
      <c r="AC839" s="4"/>
      <c r="AD839" s="4"/>
      <c r="AE839" s="4"/>
      <c r="AF839" s="4"/>
      <c r="AG839" s="4"/>
      <c r="AH839" s="4"/>
      <c r="AI839" s="4"/>
      <c r="AJ839" s="246"/>
      <c r="AK839" s="246"/>
      <c r="AL839" s="129"/>
      <c r="AM839" s="129"/>
      <c r="AN839" s="129"/>
      <c r="AO839" s="246"/>
      <c r="AP839" s="246"/>
      <c r="AQ839" s="249"/>
      <c r="AR839" s="4"/>
      <c r="AS839" s="4"/>
      <c r="AT839" s="4"/>
      <c r="AU839" s="4"/>
      <c r="AV839" s="4"/>
      <c r="AW839" s="4"/>
      <c r="AX839" s="4"/>
      <c r="AY839" s="128"/>
      <c r="AZ839" s="4"/>
      <c r="BA839" s="4"/>
      <c r="BB839" s="4"/>
      <c r="BC839" s="4"/>
      <c r="BD839" s="4"/>
      <c r="BE839" s="4"/>
      <c r="BF839" s="4"/>
      <c r="BG839" s="4"/>
      <c r="BH839" s="4"/>
      <c r="BI839" s="567"/>
    </row>
    <row r="840" spans="1:61" ht="12.75" customHeight="1" x14ac:dyDescent="0.25">
      <c r="A840" s="4"/>
      <c r="B840" s="4"/>
      <c r="C840" s="4"/>
      <c r="D840" s="4"/>
      <c r="E840" s="128"/>
      <c r="F840" s="128"/>
      <c r="G840" s="753"/>
      <c r="H840" s="128"/>
      <c r="I840" s="128"/>
      <c r="J840" s="130"/>
      <c r="K840" s="128"/>
      <c r="L840" s="128"/>
      <c r="M840" s="130"/>
      <c r="N840" s="130"/>
      <c r="O840" s="130"/>
      <c r="P840" s="128"/>
      <c r="Q840" s="128"/>
      <c r="R840" s="128"/>
      <c r="S840" s="298"/>
      <c r="T840" s="4"/>
      <c r="U840" s="4"/>
      <c r="V840" s="4"/>
      <c r="W840" s="4"/>
      <c r="X840" s="4"/>
      <c r="Y840" s="128"/>
      <c r="Z840" s="128"/>
      <c r="AA840" s="128"/>
      <c r="AB840" s="4"/>
      <c r="AC840" s="4"/>
      <c r="AD840" s="4"/>
      <c r="AE840" s="4"/>
      <c r="AF840" s="4"/>
      <c r="AG840" s="4"/>
      <c r="AH840" s="4"/>
      <c r="AI840" s="4"/>
      <c r="AJ840" s="246"/>
      <c r="AK840" s="246"/>
      <c r="AL840" s="129"/>
      <c r="AM840" s="129"/>
      <c r="AN840" s="129"/>
      <c r="AO840" s="246"/>
      <c r="AP840" s="246"/>
      <c r="AQ840" s="249"/>
      <c r="AR840" s="4"/>
      <c r="AS840" s="4"/>
      <c r="AT840" s="4"/>
      <c r="AU840" s="4"/>
      <c r="AV840" s="4"/>
      <c r="AW840" s="4"/>
      <c r="AX840" s="4"/>
      <c r="AY840" s="128"/>
      <c r="AZ840" s="4"/>
      <c r="BA840" s="4"/>
      <c r="BB840" s="4"/>
      <c r="BC840" s="4"/>
      <c r="BD840" s="4"/>
      <c r="BE840" s="4"/>
      <c r="BF840" s="4"/>
      <c r="BG840" s="4"/>
      <c r="BH840" s="4"/>
      <c r="BI840" s="567"/>
    </row>
    <row r="841" spans="1:61" ht="12.75" customHeight="1" x14ac:dyDescent="0.25">
      <c r="A841" s="4"/>
      <c r="B841" s="4"/>
      <c r="C841" s="4"/>
      <c r="D841" s="4"/>
      <c r="E841" s="128"/>
      <c r="F841" s="128"/>
      <c r="G841" s="753"/>
      <c r="H841" s="128"/>
      <c r="I841" s="128"/>
      <c r="J841" s="130"/>
      <c r="K841" s="128"/>
      <c r="L841" s="128"/>
      <c r="M841" s="130"/>
      <c r="N841" s="130"/>
      <c r="O841" s="130"/>
      <c r="P841" s="128"/>
      <c r="Q841" s="128"/>
      <c r="R841" s="128"/>
      <c r="S841" s="298"/>
      <c r="T841" s="4"/>
      <c r="U841" s="4"/>
      <c r="V841" s="4"/>
      <c r="W841" s="4"/>
      <c r="X841" s="4"/>
      <c r="Y841" s="128"/>
      <c r="Z841" s="128"/>
      <c r="AA841" s="128"/>
      <c r="AB841" s="4"/>
      <c r="AC841" s="4"/>
      <c r="AD841" s="4"/>
      <c r="AE841" s="4"/>
      <c r="AF841" s="4"/>
      <c r="AG841" s="4"/>
      <c r="AH841" s="4"/>
      <c r="AI841" s="4"/>
      <c r="AJ841" s="246"/>
      <c r="AK841" s="246"/>
      <c r="AL841" s="129"/>
      <c r="AM841" s="129"/>
      <c r="AN841" s="129"/>
      <c r="AO841" s="246"/>
      <c r="AP841" s="246"/>
      <c r="AQ841" s="249"/>
      <c r="AR841" s="4"/>
      <c r="AS841" s="4"/>
      <c r="AT841" s="4"/>
      <c r="AU841" s="4"/>
      <c r="AV841" s="4"/>
      <c r="AW841" s="4"/>
      <c r="AX841" s="4"/>
      <c r="AY841" s="128"/>
      <c r="AZ841" s="4"/>
      <c r="BA841" s="4"/>
      <c r="BB841" s="4"/>
      <c r="BC841" s="4"/>
      <c r="BD841" s="4"/>
      <c r="BE841" s="4"/>
      <c r="BF841" s="4"/>
      <c r="BG841" s="4"/>
      <c r="BH841" s="4"/>
      <c r="BI841" s="567"/>
    </row>
    <row r="842" spans="1:61" ht="12.75" customHeight="1" x14ac:dyDescent="0.25">
      <c r="A842" s="4"/>
      <c r="B842" s="4"/>
      <c r="C842" s="4"/>
      <c r="D842" s="4"/>
      <c r="E842" s="128"/>
      <c r="F842" s="128"/>
      <c r="G842" s="753"/>
      <c r="H842" s="128"/>
      <c r="I842" s="128"/>
      <c r="J842" s="130"/>
      <c r="K842" s="128"/>
      <c r="L842" s="128"/>
      <c r="M842" s="130"/>
      <c r="N842" s="130"/>
      <c r="O842" s="130"/>
      <c r="P842" s="128"/>
      <c r="Q842" s="128"/>
      <c r="R842" s="128"/>
      <c r="S842" s="298"/>
      <c r="T842" s="4"/>
      <c r="U842" s="4"/>
      <c r="V842" s="4"/>
      <c r="W842" s="4"/>
      <c r="X842" s="4"/>
      <c r="Y842" s="128"/>
      <c r="Z842" s="128"/>
      <c r="AA842" s="128"/>
      <c r="AB842" s="4"/>
      <c r="AC842" s="4"/>
      <c r="AD842" s="4"/>
      <c r="AE842" s="4"/>
      <c r="AF842" s="4"/>
      <c r="AG842" s="4"/>
      <c r="AH842" s="4"/>
      <c r="AI842" s="4"/>
      <c r="AJ842" s="246"/>
      <c r="AK842" s="246"/>
      <c r="AL842" s="129"/>
      <c r="AM842" s="129"/>
      <c r="AN842" s="129"/>
      <c r="AO842" s="246"/>
      <c r="AP842" s="246"/>
      <c r="AQ842" s="249"/>
      <c r="AR842" s="4"/>
      <c r="AS842" s="4"/>
      <c r="AT842" s="4"/>
      <c r="AU842" s="4"/>
      <c r="AV842" s="4"/>
      <c r="AW842" s="4"/>
      <c r="AX842" s="4"/>
      <c r="AY842" s="128"/>
      <c r="AZ842" s="4"/>
      <c r="BA842" s="4"/>
      <c r="BB842" s="4"/>
      <c r="BC842" s="4"/>
      <c r="BD842" s="4"/>
      <c r="BE842" s="4"/>
      <c r="BF842" s="4"/>
      <c r="BG842" s="4"/>
      <c r="BH842" s="4"/>
      <c r="BI842" s="567"/>
    </row>
    <row r="843" spans="1:61" ht="12.75" customHeight="1" x14ac:dyDescent="0.25">
      <c r="A843" s="4"/>
      <c r="B843" s="4"/>
      <c r="C843" s="4"/>
      <c r="D843" s="4"/>
      <c r="E843" s="128"/>
      <c r="F843" s="128"/>
      <c r="G843" s="753"/>
      <c r="H843" s="128"/>
      <c r="I843" s="128"/>
      <c r="J843" s="130"/>
      <c r="K843" s="128"/>
      <c r="L843" s="128"/>
      <c r="M843" s="130"/>
      <c r="N843" s="130"/>
      <c r="O843" s="130"/>
      <c r="P843" s="128"/>
      <c r="Q843" s="128"/>
      <c r="R843" s="128"/>
      <c r="S843" s="298"/>
      <c r="T843" s="4"/>
      <c r="U843" s="4"/>
      <c r="V843" s="4"/>
      <c r="W843" s="4"/>
      <c r="X843" s="4"/>
      <c r="Y843" s="128"/>
      <c r="Z843" s="128"/>
      <c r="AA843" s="128"/>
      <c r="AB843" s="4"/>
      <c r="AC843" s="4"/>
      <c r="AD843" s="4"/>
      <c r="AE843" s="4"/>
      <c r="AF843" s="4"/>
      <c r="AG843" s="4"/>
      <c r="AH843" s="4"/>
      <c r="AI843" s="4"/>
      <c r="AJ843" s="246"/>
      <c r="AK843" s="246"/>
      <c r="AL843" s="129"/>
      <c r="AM843" s="129"/>
      <c r="AN843" s="129"/>
      <c r="AO843" s="246"/>
      <c r="AP843" s="246"/>
      <c r="AQ843" s="249"/>
      <c r="AR843" s="4"/>
      <c r="AS843" s="4"/>
      <c r="AT843" s="4"/>
      <c r="AU843" s="4"/>
      <c r="AV843" s="4"/>
      <c r="AW843" s="4"/>
      <c r="AX843" s="4"/>
      <c r="AY843" s="128"/>
      <c r="AZ843" s="4"/>
      <c r="BA843" s="4"/>
      <c r="BB843" s="4"/>
      <c r="BC843" s="4"/>
      <c r="BD843" s="4"/>
      <c r="BE843" s="4"/>
      <c r="BF843" s="4"/>
      <c r="BG843" s="4"/>
      <c r="BH843" s="4"/>
      <c r="BI843" s="567"/>
    </row>
    <row r="844" spans="1:61" ht="12.75" customHeight="1" x14ac:dyDescent="0.25">
      <c r="A844" s="4"/>
      <c r="B844" s="4"/>
      <c r="C844" s="4"/>
      <c r="D844" s="4"/>
      <c r="E844" s="128"/>
      <c r="F844" s="128"/>
      <c r="G844" s="753"/>
      <c r="H844" s="128"/>
      <c r="I844" s="128"/>
      <c r="J844" s="130"/>
      <c r="K844" s="128"/>
      <c r="L844" s="128"/>
      <c r="M844" s="130"/>
      <c r="N844" s="130"/>
      <c r="O844" s="130"/>
      <c r="P844" s="128"/>
      <c r="Q844" s="128"/>
      <c r="R844" s="128"/>
      <c r="S844" s="298"/>
      <c r="T844" s="4"/>
      <c r="U844" s="4"/>
      <c r="V844" s="4"/>
      <c r="W844" s="4"/>
      <c r="X844" s="4"/>
      <c r="Y844" s="128"/>
      <c r="Z844" s="128"/>
      <c r="AA844" s="128"/>
      <c r="AB844" s="4"/>
      <c r="AC844" s="4"/>
      <c r="AD844" s="4"/>
      <c r="AE844" s="4"/>
      <c r="AF844" s="4"/>
      <c r="AG844" s="4"/>
      <c r="AH844" s="4"/>
      <c r="AI844" s="4"/>
      <c r="AJ844" s="246"/>
      <c r="AK844" s="246"/>
      <c r="AL844" s="129"/>
      <c r="AM844" s="129"/>
      <c r="AN844" s="129"/>
      <c r="AO844" s="246"/>
      <c r="AP844" s="246"/>
      <c r="AQ844" s="249"/>
      <c r="AR844" s="4"/>
      <c r="AS844" s="4"/>
      <c r="AT844" s="4"/>
      <c r="AU844" s="4"/>
      <c r="AV844" s="4"/>
      <c r="AW844" s="4"/>
      <c r="AX844" s="4"/>
      <c r="AY844" s="128"/>
      <c r="AZ844" s="4"/>
      <c r="BA844" s="4"/>
      <c r="BB844" s="4"/>
      <c r="BC844" s="4"/>
      <c r="BD844" s="4"/>
      <c r="BE844" s="4"/>
      <c r="BF844" s="4"/>
      <c r="BG844" s="4"/>
      <c r="BH844" s="4"/>
      <c r="BI844" s="567"/>
    </row>
    <row r="845" spans="1:61" ht="12.75" customHeight="1" x14ac:dyDescent="0.25">
      <c r="A845" s="4"/>
      <c r="B845" s="4"/>
      <c r="C845" s="4"/>
      <c r="D845" s="4"/>
      <c r="E845" s="128"/>
      <c r="F845" s="128"/>
      <c r="G845" s="753"/>
      <c r="H845" s="128"/>
      <c r="I845" s="128"/>
      <c r="J845" s="130"/>
      <c r="K845" s="128"/>
      <c r="L845" s="128"/>
      <c r="M845" s="130"/>
      <c r="N845" s="130"/>
      <c r="O845" s="130"/>
      <c r="P845" s="128"/>
      <c r="Q845" s="128"/>
      <c r="R845" s="128"/>
      <c r="S845" s="298"/>
      <c r="T845" s="4"/>
      <c r="U845" s="4"/>
      <c r="V845" s="4"/>
      <c r="W845" s="4"/>
      <c r="X845" s="4"/>
      <c r="Y845" s="128"/>
      <c r="Z845" s="128"/>
      <c r="AA845" s="128"/>
      <c r="AB845" s="4"/>
      <c r="AC845" s="4"/>
      <c r="AD845" s="4"/>
      <c r="AE845" s="4"/>
      <c r="AF845" s="4"/>
      <c r="AG845" s="4"/>
      <c r="AH845" s="4"/>
      <c r="AI845" s="4"/>
      <c r="AJ845" s="246"/>
      <c r="AK845" s="246"/>
      <c r="AL845" s="129"/>
      <c r="AM845" s="129"/>
      <c r="AN845" s="129"/>
      <c r="AO845" s="246"/>
      <c r="AP845" s="246"/>
      <c r="AQ845" s="249"/>
      <c r="AR845" s="4"/>
      <c r="AS845" s="4"/>
      <c r="AT845" s="4"/>
      <c r="AU845" s="4"/>
      <c r="AV845" s="4"/>
      <c r="AW845" s="4"/>
      <c r="AX845" s="4"/>
      <c r="AY845" s="128"/>
      <c r="AZ845" s="4"/>
      <c r="BA845" s="4"/>
      <c r="BB845" s="4"/>
      <c r="BC845" s="4"/>
      <c r="BD845" s="4"/>
      <c r="BE845" s="4"/>
      <c r="BF845" s="4"/>
      <c r="BG845" s="4"/>
      <c r="BH845" s="4"/>
      <c r="BI845" s="567"/>
    </row>
    <row r="846" spans="1:61" ht="12.75" customHeight="1" x14ac:dyDescent="0.25">
      <c r="A846" s="4"/>
      <c r="B846" s="4"/>
      <c r="C846" s="4"/>
      <c r="D846" s="4"/>
      <c r="E846" s="128"/>
      <c r="F846" s="128"/>
      <c r="G846" s="753"/>
      <c r="H846" s="128"/>
      <c r="I846" s="128"/>
      <c r="J846" s="130"/>
      <c r="K846" s="128"/>
      <c r="L846" s="128"/>
      <c r="M846" s="130"/>
      <c r="N846" s="130"/>
      <c r="O846" s="130"/>
      <c r="P846" s="128"/>
      <c r="Q846" s="128"/>
      <c r="R846" s="128"/>
      <c r="S846" s="298"/>
      <c r="T846" s="4"/>
      <c r="U846" s="4"/>
      <c r="V846" s="4"/>
      <c r="W846" s="4"/>
      <c r="X846" s="4"/>
      <c r="Y846" s="128"/>
      <c r="Z846" s="128"/>
      <c r="AA846" s="128"/>
      <c r="AB846" s="4"/>
      <c r="AC846" s="4"/>
      <c r="AD846" s="4"/>
      <c r="AE846" s="4"/>
      <c r="AF846" s="4"/>
      <c r="AG846" s="4"/>
      <c r="AH846" s="4"/>
      <c r="AI846" s="4"/>
      <c r="AJ846" s="246"/>
      <c r="AK846" s="246"/>
      <c r="AL846" s="129"/>
      <c r="AM846" s="129"/>
      <c r="AN846" s="129"/>
      <c r="AO846" s="246"/>
      <c r="AP846" s="246"/>
      <c r="AQ846" s="249"/>
      <c r="AR846" s="4"/>
      <c r="AS846" s="4"/>
      <c r="AT846" s="4"/>
      <c r="AU846" s="4"/>
      <c r="AV846" s="4"/>
      <c r="AW846" s="4"/>
      <c r="AX846" s="4"/>
      <c r="AY846" s="128"/>
      <c r="AZ846" s="4"/>
      <c r="BA846" s="4"/>
      <c r="BB846" s="4"/>
      <c r="BC846" s="4"/>
      <c r="BD846" s="4"/>
      <c r="BE846" s="4"/>
      <c r="BF846" s="4"/>
      <c r="BG846" s="4"/>
      <c r="BH846" s="4"/>
      <c r="BI846" s="567"/>
    </row>
    <row r="847" spans="1:61" ht="12.75" customHeight="1" x14ac:dyDescent="0.25">
      <c r="A847" s="4"/>
      <c r="B847" s="4"/>
      <c r="C847" s="4"/>
      <c r="D847" s="4"/>
      <c r="E847" s="128"/>
      <c r="F847" s="128"/>
      <c r="G847" s="753"/>
      <c r="H847" s="128"/>
      <c r="I847" s="128"/>
      <c r="J847" s="130"/>
      <c r="K847" s="128"/>
      <c r="L847" s="128"/>
      <c r="M847" s="130"/>
      <c r="N847" s="130"/>
      <c r="O847" s="130"/>
      <c r="P847" s="128"/>
      <c r="Q847" s="128"/>
      <c r="R847" s="128"/>
      <c r="S847" s="298"/>
      <c r="T847" s="4"/>
      <c r="U847" s="4"/>
      <c r="V847" s="4"/>
      <c r="W847" s="4"/>
      <c r="X847" s="4"/>
      <c r="Y847" s="128"/>
      <c r="Z847" s="128"/>
      <c r="AA847" s="128"/>
      <c r="AB847" s="4"/>
      <c r="AC847" s="4"/>
      <c r="AD847" s="4"/>
      <c r="AE847" s="4"/>
      <c r="AF847" s="4"/>
      <c r="AG847" s="4"/>
      <c r="AH847" s="4"/>
      <c r="AI847" s="4"/>
      <c r="AJ847" s="246"/>
      <c r="AK847" s="246"/>
      <c r="AL847" s="129"/>
      <c r="AM847" s="129"/>
      <c r="AN847" s="129"/>
      <c r="AO847" s="246"/>
      <c r="AP847" s="246"/>
      <c r="AQ847" s="249"/>
      <c r="AR847" s="4"/>
      <c r="AS847" s="4"/>
      <c r="AT847" s="4"/>
      <c r="AU847" s="4"/>
      <c r="AV847" s="4"/>
      <c r="AW847" s="4"/>
      <c r="AX847" s="4"/>
      <c r="AY847" s="128"/>
      <c r="AZ847" s="4"/>
      <c r="BA847" s="4"/>
      <c r="BB847" s="4"/>
      <c r="BC847" s="4"/>
      <c r="BD847" s="4"/>
      <c r="BE847" s="4"/>
      <c r="BF847" s="4"/>
      <c r="BG847" s="4"/>
      <c r="BH847" s="4"/>
      <c r="BI847" s="567"/>
    </row>
    <row r="848" spans="1:61" ht="12.75" customHeight="1" x14ac:dyDescent="0.25">
      <c r="A848" s="4"/>
      <c r="B848" s="4"/>
      <c r="C848" s="4"/>
      <c r="D848" s="4"/>
      <c r="E848" s="128"/>
      <c r="F848" s="128"/>
      <c r="G848" s="753"/>
      <c r="H848" s="128"/>
      <c r="I848" s="128"/>
      <c r="J848" s="130"/>
      <c r="K848" s="128"/>
      <c r="L848" s="128"/>
      <c r="M848" s="130"/>
      <c r="N848" s="130"/>
      <c r="O848" s="130"/>
      <c r="P848" s="128"/>
      <c r="Q848" s="128"/>
      <c r="R848" s="128"/>
      <c r="S848" s="298"/>
      <c r="T848" s="4"/>
      <c r="U848" s="4"/>
      <c r="V848" s="4"/>
      <c r="W848" s="4"/>
      <c r="X848" s="4"/>
      <c r="Y848" s="128"/>
      <c r="Z848" s="128"/>
      <c r="AA848" s="128"/>
      <c r="AB848" s="4"/>
      <c r="AC848" s="4"/>
      <c r="AD848" s="4"/>
      <c r="AE848" s="4"/>
      <c r="AF848" s="4"/>
      <c r="AG848" s="4"/>
      <c r="AH848" s="4"/>
      <c r="AI848" s="4"/>
      <c r="AJ848" s="246"/>
      <c r="AK848" s="246"/>
      <c r="AL848" s="129"/>
      <c r="AM848" s="129"/>
      <c r="AN848" s="129"/>
      <c r="AO848" s="246"/>
      <c r="AP848" s="246"/>
      <c r="AQ848" s="249"/>
      <c r="AR848" s="4"/>
      <c r="AS848" s="4"/>
      <c r="AT848" s="4"/>
      <c r="AU848" s="4"/>
      <c r="AV848" s="4"/>
      <c r="AW848" s="4"/>
      <c r="AX848" s="4"/>
      <c r="AY848" s="128"/>
      <c r="AZ848" s="4"/>
      <c r="BA848" s="4"/>
      <c r="BB848" s="4"/>
      <c r="BC848" s="4"/>
      <c r="BD848" s="4"/>
      <c r="BE848" s="4"/>
      <c r="BF848" s="4"/>
      <c r="BG848" s="4"/>
      <c r="BH848" s="4"/>
      <c r="BI848" s="567"/>
    </row>
    <row r="849" spans="1:61" ht="12.75" customHeight="1" x14ac:dyDescent="0.25">
      <c r="A849" s="4"/>
      <c r="B849" s="4"/>
      <c r="C849" s="4"/>
      <c r="D849" s="4"/>
      <c r="E849" s="128"/>
      <c r="F849" s="128"/>
      <c r="G849" s="753"/>
      <c r="H849" s="128"/>
      <c r="I849" s="128"/>
      <c r="J849" s="130"/>
      <c r="K849" s="128"/>
      <c r="L849" s="128"/>
      <c r="M849" s="130"/>
      <c r="N849" s="130"/>
      <c r="O849" s="130"/>
      <c r="P849" s="128"/>
      <c r="Q849" s="128"/>
      <c r="R849" s="128"/>
      <c r="S849" s="298"/>
      <c r="T849" s="4"/>
      <c r="U849" s="4"/>
      <c r="V849" s="4"/>
      <c r="W849" s="4"/>
      <c r="X849" s="4"/>
      <c r="Y849" s="128"/>
      <c r="Z849" s="128"/>
      <c r="AA849" s="128"/>
      <c r="AB849" s="4"/>
      <c r="AC849" s="4"/>
      <c r="AD849" s="4"/>
      <c r="AE849" s="4"/>
      <c r="AF849" s="4"/>
      <c r="AG849" s="4"/>
      <c r="AH849" s="4"/>
      <c r="AI849" s="4"/>
      <c r="AJ849" s="246"/>
      <c r="AK849" s="246"/>
      <c r="AL849" s="129"/>
      <c r="AM849" s="129"/>
      <c r="AN849" s="129"/>
      <c r="AO849" s="246"/>
      <c r="AP849" s="246"/>
      <c r="AQ849" s="249"/>
      <c r="AR849" s="4"/>
      <c r="AS849" s="4"/>
      <c r="AT849" s="4"/>
      <c r="AU849" s="4"/>
      <c r="AV849" s="4"/>
      <c r="AW849" s="4"/>
      <c r="AX849" s="4"/>
      <c r="AY849" s="128"/>
      <c r="AZ849" s="4"/>
      <c r="BA849" s="4"/>
      <c r="BB849" s="4"/>
      <c r="BC849" s="4"/>
      <c r="BD849" s="4"/>
      <c r="BE849" s="4"/>
      <c r="BF849" s="4"/>
      <c r="BG849" s="4"/>
      <c r="BH849" s="4"/>
      <c r="BI849" s="567"/>
    </row>
    <row r="850" spans="1:61" ht="12.75" customHeight="1" x14ac:dyDescent="0.25">
      <c r="A850" s="4"/>
      <c r="B850" s="4"/>
      <c r="C850" s="4"/>
      <c r="D850" s="4"/>
      <c r="E850" s="128"/>
      <c r="F850" s="128"/>
      <c r="G850" s="753"/>
      <c r="H850" s="128"/>
      <c r="I850" s="128"/>
      <c r="J850" s="130"/>
      <c r="K850" s="128"/>
      <c r="L850" s="128"/>
      <c r="M850" s="130"/>
      <c r="N850" s="130"/>
      <c r="O850" s="130"/>
      <c r="P850" s="128"/>
      <c r="Q850" s="128"/>
      <c r="R850" s="128"/>
      <c r="S850" s="298"/>
      <c r="T850" s="4"/>
      <c r="U850" s="4"/>
      <c r="V850" s="4"/>
      <c r="W850" s="4"/>
      <c r="X850" s="4"/>
      <c r="Y850" s="128"/>
      <c r="Z850" s="128"/>
      <c r="AA850" s="128"/>
      <c r="AB850" s="4"/>
      <c r="AC850" s="4"/>
      <c r="AD850" s="4"/>
      <c r="AE850" s="4"/>
      <c r="AF850" s="4"/>
      <c r="AG850" s="4"/>
      <c r="AH850" s="4"/>
      <c r="AI850" s="4"/>
      <c r="AJ850" s="246"/>
      <c r="AK850" s="246"/>
      <c r="AL850" s="129"/>
      <c r="AM850" s="129"/>
      <c r="AN850" s="129"/>
      <c r="AO850" s="246"/>
      <c r="AP850" s="246"/>
      <c r="AQ850" s="249"/>
      <c r="AR850" s="4"/>
      <c r="AS850" s="4"/>
      <c r="AT850" s="4"/>
      <c r="AU850" s="4"/>
      <c r="AV850" s="4"/>
      <c r="AW850" s="4"/>
      <c r="AX850" s="4"/>
      <c r="AY850" s="128"/>
      <c r="AZ850" s="4"/>
      <c r="BA850" s="4"/>
      <c r="BB850" s="4"/>
      <c r="BC850" s="4"/>
      <c r="BD850" s="4"/>
      <c r="BE850" s="4"/>
      <c r="BF850" s="4"/>
      <c r="BG850" s="4"/>
      <c r="BH850" s="4"/>
      <c r="BI850" s="567"/>
    </row>
    <row r="851" spans="1:61" ht="12.75" customHeight="1" x14ac:dyDescent="0.25">
      <c r="A851" s="4"/>
      <c r="B851" s="4"/>
      <c r="C851" s="4"/>
      <c r="D851" s="4"/>
      <c r="E851" s="128"/>
      <c r="F851" s="128"/>
      <c r="G851" s="753"/>
      <c r="H851" s="128"/>
      <c r="I851" s="128"/>
      <c r="J851" s="130"/>
      <c r="K851" s="128"/>
      <c r="L851" s="128"/>
      <c r="M851" s="130"/>
      <c r="N851" s="130"/>
      <c r="O851" s="130"/>
      <c r="P851" s="128"/>
      <c r="Q851" s="128"/>
      <c r="R851" s="128"/>
      <c r="S851" s="298"/>
      <c r="T851" s="4"/>
      <c r="U851" s="4"/>
      <c r="V851" s="4"/>
      <c r="W851" s="4"/>
      <c r="X851" s="4"/>
      <c r="Y851" s="128"/>
      <c r="Z851" s="128"/>
      <c r="AA851" s="128"/>
      <c r="AB851" s="4"/>
      <c r="AC851" s="4"/>
      <c r="AD851" s="4"/>
      <c r="AE851" s="4"/>
      <c r="AF851" s="4"/>
      <c r="AG851" s="4"/>
      <c r="AH851" s="4"/>
      <c r="AI851" s="4"/>
      <c r="AJ851" s="246"/>
      <c r="AK851" s="246"/>
      <c r="AL851" s="129"/>
      <c r="AM851" s="129"/>
      <c r="AN851" s="129"/>
      <c r="AO851" s="246"/>
      <c r="AP851" s="246"/>
      <c r="AQ851" s="249"/>
      <c r="AR851" s="4"/>
      <c r="AS851" s="4"/>
      <c r="AT851" s="4"/>
      <c r="AU851" s="4"/>
      <c r="AV851" s="4"/>
      <c r="AW851" s="4"/>
      <c r="AX851" s="4"/>
      <c r="AY851" s="128"/>
      <c r="AZ851" s="4"/>
      <c r="BA851" s="4"/>
      <c r="BB851" s="4"/>
      <c r="BC851" s="4"/>
      <c r="BD851" s="4"/>
      <c r="BE851" s="4"/>
      <c r="BF851" s="4"/>
      <c r="BG851" s="4"/>
      <c r="BH851" s="4"/>
      <c r="BI851" s="567"/>
    </row>
    <row r="852" spans="1:61" ht="12.75" customHeight="1" x14ac:dyDescent="0.25">
      <c r="A852" s="4"/>
      <c r="B852" s="4"/>
      <c r="C852" s="4"/>
      <c r="D852" s="4"/>
      <c r="E852" s="128"/>
      <c r="F852" s="128"/>
      <c r="G852" s="753"/>
      <c r="H852" s="128"/>
      <c r="I852" s="128"/>
      <c r="J852" s="130"/>
      <c r="K852" s="128"/>
      <c r="L852" s="128"/>
      <c r="M852" s="130"/>
      <c r="N852" s="130"/>
      <c r="O852" s="130"/>
      <c r="P852" s="128"/>
      <c r="Q852" s="128"/>
      <c r="R852" s="128"/>
      <c r="S852" s="298"/>
      <c r="T852" s="4"/>
      <c r="U852" s="4"/>
      <c r="V852" s="4"/>
      <c r="W852" s="4"/>
      <c r="X852" s="4"/>
      <c r="Y852" s="128"/>
      <c r="Z852" s="128"/>
      <c r="AA852" s="128"/>
      <c r="AB852" s="4"/>
      <c r="AC852" s="4"/>
      <c r="AD852" s="4"/>
      <c r="AE852" s="4"/>
      <c r="AF852" s="4"/>
      <c r="AG852" s="4"/>
      <c r="AH852" s="4"/>
      <c r="AI852" s="4"/>
      <c r="AJ852" s="246"/>
      <c r="AK852" s="246"/>
      <c r="AL852" s="129"/>
      <c r="AM852" s="129"/>
      <c r="AN852" s="129"/>
      <c r="AO852" s="246"/>
      <c r="AP852" s="246"/>
      <c r="AQ852" s="249"/>
      <c r="AR852" s="4"/>
      <c r="AS852" s="4"/>
      <c r="AT852" s="4"/>
      <c r="AU852" s="4"/>
      <c r="AV852" s="4"/>
      <c r="AW852" s="4"/>
      <c r="AX852" s="4"/>
      <c r="AY852" s="128"/>
      <c r="AZ852" s="4"/>
      <c r="BA852" s="4"/>
      <c r="BB852" s="4"/>
      <c r="BC852" s="4"/>
      <c r="BD852" s="4"/>
      <c r="BE852" s="4"/>
      <c r="BF852" s="4"/>
      <c r="BG852" s="4"/>
      <c r="BH852" s="4"/>
      <c r="BI852" s="567"/>
    </row>
    <row r="853" spans="1:61" ht="12.75" customHeight="1" x14ac:dyDescent="0.25">
      <c r="A853" s="4"/>
      <c r="B853" s="4"/>
      <c r="C853" s="4"/>
      <c r="D853" s="4"/>
      <c r="E853" s="128"/>
      <c r="F853" s="128"/>
      <c r="G853" s="753"/>
      <c r="H853" s="128"/>
      <c r="I853" s="128"/>
      <c r="J853" s="130"/>
      <c r="K853" s="128"/>
      <c r="L853" s="128"/>
      <c r="M853" s="130"/>
      <c r="N853" s="130"/>
      <c r="O853" s="130"/>
      <c r="P853" s="128"/>
      <c r="Q853" s="128"/>
      <c r="R853" s="128"/>
      <c r="S853" s="298"/>
      <c r="T853" s="4"/>
      <c r="U853" s="4"/>
      <c r="V853" s="4"/>
      <c r="W853" s="4"/>
      <c r="X853" s="4"/>
      <c r="Y853" s="128"/>
      <c r="Z853" s="128"/>
      <c r="AA853" s="128"/>
      <c r="AB853" s="4"/>
      <c r="AC853" s="4"/>
      <c r="AD853" s="4"/>
      <c r="AE853" s="4"/>
      <c r="AF853" s="4"/>
      <c r="AG853" s="4"/>
      <c r="AH853" s="4"/>
      <c r="AI853" s="4"/>
      <c r="AJ853" s="246"/>
      <c r="AK853" s="246"/>
      <c r="AL853" s="129"/>
      <c r="AM853" s="129"/>
      <c r="AN853" s="129"/>
      <c r="AO853" s="246"/>
      <c r="AP853" s="246"/>
      <c r="AQ853" s="249"/>
      <c r="AR853" s="4"/>
      <c r="AS853" s="4"/>
      <c r="AT853" s="4"/>
      <c r="AU853" s="4"/>
      <c r="AV853" s="4"/>
      <c r="AW853" s="4"/>
      <c r="AX853" s="4"/>
      <c r="AY853" s="128"/>
      <c r="AZ853" s="4"/>
      <c r="BA853" s="4"/>
      <c r="BB853" s="4"/>
      <c r="BC853" s="4"/>
      <c r="BD853" s="4"/>
      <c r="BE853" s="4"/>
      <c r="BF853" s="4"/>
      <c r="BG853" s="4"/>
      <c r="BH853" s="4"/>
      <c r="BI853" s="567"/>
    </row>
    <row r="854" spans="1:61" ht="12.75" customHeight="1" x14ac:dyDescent="0.25">
      <c r="A854" s="4"/>
      <c r="B854" s="4"/>
      <c r="C854" s="4"/>
      <c r="D854" s="4"/>
      <c r="E854" s="128"/>
      <c r="F854" s="128"/>
      <c r="G854" s="753"/>
      <c r="H854" s="128"/>
      <c r="I854" s="128"/>
      <c r="J854" s="130"/>
      <c r="K854" s="128"/>
      <c r="L854" s="128"/>
      <c r="M854" s="130"/>
      <c r="N854" s="130"/>
      <c r="O854" s="130"/>
      <c r="P854" s="128"/>
      <c r="Q854" s="128"/>
      <c r="R854" s="128"/>
      <c r="S854" s="298"/>
      <c r="T854" s="4"/>
      <c r="U854" s="4"/>
      <c r="V854" s="4"/>
      <c r="W854" s="4"/>
      <c r="X854" s="4"/>
      <c r="Y854" s="128"/>
      <c r="Z854" s="128"/>
      <c r="AA854" s="128"/>
      <c r="AB854" s="4"/>
      <c r="AC854" s="4"/>
      <c r="AD854" s="4"/>
      <c r="AE854" s="4"/>
      <c r="AF854" s="4"/>
      <c r="AG854" s="4"/>
      <c r="AH854" s="4"/>
      <c r="AI854" s="4"/>
      <c r="AJ854" s="246"/>
      <c r="AK854" s="246"/>
      <c r="AL854" s="129"/>
      <c r="AM854" s="129"/>
      <c r="AN854" s="129"/>
      <c r="AO854" s="246"/>
      <c r="AP854" s="246"/>
      <c r="AQ854" s="249"/>
      <c r="AR854" s="4"/>
      <c r="AS854" s="4"/>
      <c r="AT854" s="4"/>
      <c r="AU854" s="4"/>
      <c r="AV854" s="4"/>
      <c r="AW854" s="4"/>
      <c r="AX854" s="4"/>
      <c r="AY854" s="128"/>
      <c r="AZ854" s="4"/>
      <c r="BA854" s="4"/>
      <c r="BB854" s="4"/>
      <c r="BC854" s="4"/>
      <c r="BD854" s="4"/>
      <c r="BE854" s="4"/>
      <c r="BF854" s="4"/>
      <c r="BG854" s="4"/>
      <c r="BH854" s="4"/>
      <c r="BI854" s="567"/>
    </row>
    <row r="855" spans="1:61" ht="12.75" customHeight="1" x14ac:dyDescent="0.25">
      <c r="A855" s="4"/>
      <c r="B855" s="4"/>
      <c r="C855" s="4"/>
      <c r="D855" s="4"/>
      <c r="E855" s="128"/>
      <c r="F855" s="128"/>
      <c r="G855" s="753"/>
      <c r="H855" s="128"/>
      <c r="I855" s="128"/>
      <c r="J855" s="130"/>
      <c r="K855" s="128"/>
      <c r="L855" s="128"/>
      <c r="M855" s="130"/>
      <c r="N855" s="130"/>
      <c r="O855" s="130"/>
      <c r="P855" s="128"/>
      <c r="Q855" s="128"/>
      <c r="R855" s="128"/>
      <c r="S855" s="298"/>
      <c r="T855" s="4"/>
      <c r="U855" s="4"/>
      <c r="V855" s="4"/>
      <c r="W855" s="4"/>
      <c r="X855" s="4"/>
      <c r="Y855" s="128"/>
      <c r="Z855" s="128"/>
      <c r="AA855" s="128"/>
      <c r="AB855" s="4"/>
      <c r="AC855" s="4"/>
      <c r="AD855" s="4"/>
      <c r="AE855" s="4"/>
      <c r="AF855" s="4"/>
      <c r="AG855" s="4"/>
      <c r="AH855" s="4"/>
      <c r="AI855" s="4"/>
      <c r="AJ855" s="246"/>
      <c r="AK855" s="246"/>
      <c r="AL855" s="129"/>
      <c r="AM855" s="129"/>
      <c r="AN855" s="129"/>
      <c r="AO855" s="246"/>
      <c r="AP855" s="246"/>
      <c r="AQ855" s="249"/>
      <c r="AR855" s="4"/>
      <c r="AS855" s="4"/>
      <c r="AT855" s="4"/>
      <c r="AU855" s="4"/>
      <c r="AV855" s="4"/>
      <c r="AW855" s="4"/>
      <c r="AX855" s="4"/>
      <c r="AY855" s="128"/>
      <c r="AZ855" s="4"/>
      <c r="BA855" s="4"/>
      <c r="BB855" s="4"/>
      <c r="BC855" s="4"/>
      <c r="BD855" s="4"/>
      <c r="BE855" s="4"/>
      <c r="BF855" s="4"/>
      <c r="BG855" s="4"/>
      <c r="BH855" s="4"/>
      <c r="BI855" s="567"/>
    </row>
    <row r="856" spans="1:61" ht="12.75" customHeight="1" x14ac:dyDescent="0.25">
      <c r="A856" s="4"/>
      <c r="B856" s="4"/>
      <c r="C856" s="4"/>
      <c r="D856" s="4"/>
      <c r="E856" s="128"/>
      <c r="F856" s="128"/>
      <c r="G856" s="753"/>
      <c r="H856" s="128"/>
      <c r="I856" s="128"/>
      <c r="J856" s="130"/>
      <c r="K856" s="128"/>
      <c r="L856" s="128"/>
      <c r="M856" s="130"/>
      <c r="N856" s="130"/>
      <c r="O856" s="130"/>
      <c r="P856" s="128"/>
      <c r="Q856" s="128"/>
      <c r="R856" s="128"/>
      <c r="S856" s="298"/>
      <c r="T856" s="4"/>
      <c r="U856" s="4"/>
      <c r="V856" s="4"/>
      <c r="W856" s="4"/>
      <c r="X856" s="4"/>
      <c r="Y856" s="128"/>
      <c r="Z856" s="128"/>
      <c r="AA856" s="128"/>
      <c r="AB856" s="4"/>
      <c r="AC856" s="4"/>
      <c r="AD856" s="4"/>
      <c r="AE856" s="4"/>
      <c r="AF856" s="4"/>
      <c r="AG856" s="4"/>
      <c r="AH856" s="4"/>
      <c r="AI856" s="4"/>
      <c r="AJ856" s="246"/>
      <c r="AK856" s="246"/>
      <c r="AL856" s="129"/>
      <c r="AM856" s="129"/>
      <c r="AN856" s="129"/>
      <c r="AO856" s="246"/>
      <c r="AP856" s="246"/>
      <c r="AQ856" s="249"/>
      <c r="AR856" s="4"/>
      <c r="AS856" s="4"/>
      <c r="AT856" s="4"/>
      <c r="AU856" s="4"/>
      <c r="AV856" s="4"/>
      <c r="AW856" s="4"/>
      <c r="AX856" s="4"/>
      <c r="AY856" s="128"/>
      <c r="AZ856" s="4"/>
      <c r="BA856" s="4"/>
      <c r="BB856" s="4"/>
      <c r="BC856" s="4"/>
      <c r="BD856" s="4"/>
      <c r="BE856" s="4"/>
      <c r="BF856" s="4"/>
      <c r="BG856" s="4"/>
      <c r="BH856" s="4"/>
      <c r="BI856" s="567"/>
    </row>
    <row r="857" spans="1:61" ht="12.75" customHeight="1" x14ac:dyDescent="0.25">
      <c r="A857" s="4"/>
      <c r="B857" s="4"/>
      <c r="C857" s="4"/>
      <c r="D857" s="4"/>
      <c r="E857" s="128"/>
      <c r="F857" s="128"/>
      <c r="G857" s="753"/>
      <c r="H857" s="128"/>
      <c r="I857" s="128"/>
      <c r="J857" s="130"/>
      <c r="K857" s="128"/>
      <c r="L857" s="128"/>
      <c r="M857" s="130"/>
      <c r="N857" s="130"/>
      <c r="O857" s="130"/>
      <c r="P857" s="128"/>
      <c r="Q857" s="128"/>
      <c r="R857" s="128"/>
      <c r="S857" s="298"/>
      <c r="T857" s="4"/>
      <c r="U857" s="4"/>
      <c r="V857" s="4"/>
      <c r="W857" s="4"/>
      <c r="X857" s="4"/>
      <c r="Y857" s="128"/>
      <c r="Z857" s="128"/>
      <c r="AA857" s="128"/>
      <c r="AB857" s="4"/>
      <c r="AC857" s="4"/>
      <c r="AD857" s="4"/>
      <c r="AE857" s="4"/>
      <c r="AF857" s="4"/>
      <c r="AG857" s="4"/>
      <c r="AH857" s="4"/>
      <c r="AI857" s="4"/>
      <c r="AJ857" s="246"/>
      <c r="AK857" s="246"/>
      <c r="AL857" s="129"/>
      <c r="AM857" s="129"/>
      <c r="AN857" s="129"/>
      <c r="AO857" s="246"/>
      <c r="AP857" s="246"/>
      <c r="AQ857" s="249"/>
      <c r="AR857" s="4"/>
      <c r="AS857" s="4"/>
      <c r="AT857" s="4"/>
      <c r="AU857" s="4"/>
      <c r="AV857" s="4"/>
      <c r="AW857" s="4"/>
      <c r="AX857" s="4"/>
      <c r="AY857" s="128"/>
      <c r="AZ857" s="4"/>
      <c r="BA857" s="4"/>
      <c r="BB857" s="4"/>
      <c r="BC857" s="4"/>
      <c r="BD857" s="4"/>
      <c r="BE857" s="4"/>
      <c r="BF857" s="4"/>
      <c r="BG857" s="4"/>
      <c r="BH857" s="4"/>
      <c r="BI857" s="567"/>
    </row>
    <row r="858" spans="1:61" ht="12.75" customHeight="1" x14ac:dyDescent="0.25">
      <c r="A858" s="4"/>
      <c r="B858" s="4"/>
      <c r="C858" s="4"/>
      <c r="D858" s="4"/>
      <c r="E858" s="128"/>
      <c r="F858" s="128"/>
      <c r="G858" s="753"/>
      <c r="H858" s="128"/>
      <c r="I858" s="128"/>
      <c r="J858" s="130"/>
      <c r="K858" s="128"/>
      <c r="L858" s="128"/>
      <c r="M858" s="130"/>
      <c r="N858" s="130"/>
      <c r="O858" s="130"/>
      <c r="P858" s="128"/>
      <c r="Q858" s="128"/>
      <c r="R858" s="128"/>
      <c r="S858" s="298"/>
      <c r="T858" s="4"/>
      <c r="U858" s="4"/>
      <c r="V858" s="4"/>
      <c r="W858" s="4"/>
      <c r="X858" s="4"/>
      <c r="Y858" s="128"/>
      <c r="Z858" s="128"/>
      <c r="AA858" s="128"/>
      <c r="AB858" s="4"/>
      <c r="AC858" s="4"/>
      <c r="AD858" s="4"/>
      <c r="AE858" s="4"/>
      <c r="AF858" s="4"/>
      <c r="AG858" s="4"/>
      <c r="AH858" s="4"/>
      <c r="AI858" s="4"/>
      <c r="AJ858" s="246"/>
      <c r="AK858" s="246"/>
      <c r="AL858" s="129"/>
      <c r="AM858" s="129"/>
      <c r="AN858" s="129"/>
      <c r="AO858" s="246"/>
      <c r="AP858" s="246"/>
      <c r="AQ858" s="249"/>
      <c r="AR858" s="4"/>
      <c r="AS858" s="4"/>
      <c r="AT858" s="4"/>
      <c r="AU858" s="4"/>
      <c r="AV858" s="4"/>
      <c r="AW858" s="4"/>
      <c r="AX858" s="4"/>
      <c r="AY858" s="128"/>
      <c r="AZ858" s="4"/>
      <c r="BA858" s="4"/>
      <c r="BB858" s="4"/>
      <c r="BC858" s="4"/>
      <c r="BD858" s="4"/>
      <c r="BE858" s="4"/>
      <c r="BF858" s="4"/>
      <c r="BG858" s="4"/>
      <c r="BH858" s="4"/>
      <c r="BI858" s="567"/>
    </row>
    <row r="859" spans="1:61" ht="12.75" customHeight="1" x14ac:dyDescent="0.25">
      <c r="A859" s="4"/>
      <c r="B859" s="4"/>
      <c r="C859" s="4"/>
      <c r="D859" s="4"/>
      <c r="E859" s="128"/>
      <c r="F859" s="128"/>
      <c r="G859" s="753"/>
      <c r="H859" s="128"/>
      <c r="I859" s="128"/>
      <c r="J859" s="130"/>
      <c r="K859" s="128"/>
      <c r="L859" s="128"/>
      <c r="M859" s="130"/>
      <c r="N859" s="130"/>
      <c r="O859" s="130"/>
      <c r="P859" s="128"/>
      <c r="Q859" s="128"/>
      <c r="R859" s="128"/>
      <c r="S859" s="298"/>
      <c r="T859" s="4"/>
      <c r="U859" s="4"/>
      <c r="V859" s="4"/>
      <c r="W859" s="4"/>
      <c r="X859" s="4"/>
      <c r="Y859" s="128"/>
      <c r="Z859" s="128"/>
      <c r="AA859" s="128"/>
      <c r="AB859" s="4"/>
      <c r="AC859" s="4"/>
      <c r="AD859" s="4"/>
      <c r="AE859" s="4"/>
      <c r="AF859" s="4"/>
      <c r="AG859" s="4"/>
      <c r="AH859" s="4"/>
      <c r="AI859" s="4"/>
      <c r="AJ859" s="246"/>
      <c r="AK859" s="246"/>
      <c r="AL859" s="129"/>
      <c r="AM859" s="129"/>
      <c r="AN859" s="129"/>
      <c r="AO859" s="246"/>
      <c r="AP859" s="246"/>
      <c r="AQ859" s="249"/>
      <c r="AR859" s="4"/>
      <c r="AS859" s="4"/>
      <c r="AT859" s="4"/>
      <c r="AU859" s="4"/>
      <c r="AV859" s="4"/>
      <c r="AW859" s="4"/>
      <c r="AX859" s="4"/>
      <c r="AY859" s="128"/>
      <c r="AZ859" s="4"/>
      <c r="BA859" s="4"/>
      <c r="BB859" s="4"/>
      <c r="BC859" s="4"/>
      <c r="BD859" s="4"/>
      <c r="BE859" s="4"/>
      <c r="BF859" s="4"/>
      <c r="BG859" s="4"/>
      <c r="BH859" s="4"/>
      <c r="BI859" s="567"/>
    </row>
    <row r="860" spans="1:61" ht="12.75" customHeight="1" x14ac:dyDescent="0.25">
      <c r="A860" s="4"/>
      <c r="B860" s="4"/>
      <c r="C860" s="4"/>
      <c r="D860" s="4"/>
      <c r="E860" s="128"/>
      <c r="F860" s="128"/>
      <c r="G860" s="753"/>
      <c r="H860" s="128"/>
      <c r="I860" s="128"/>
      <c r="J860" s="130"/>
      <c r="K860" s="128"/>
      <c r="L860" s="128"/>
      <c r="M860" s="130"/>
      <c r="N860" s="130"/>
      <c r="O860" s="130"/>
      <c r="P860" s="128"/>
      <c r="Q860" s="128"/>
      <c r="R860" s="128"/>
      <c r="S860" s="298"/>
      <c r="T860" s="4"/>
      <c r="U860" s="4"/>
      <c r="V860" s="4"/>
      <c r="W860" s="4"/>
      <c r="X860" s="4"/>
      <c r="Y860" s="128"/>
      <c r="Z860" s="128"/>
      <c r="AA860" s="128"/>
      <c r="AB860" s="4"/>
      <c r="AC860" s="4"/>
      <c r="AD860" s="4"/>
      <c r="AE860" s="4"/>
      <c r="AF860" s="4"/>
      <c r="AG860" s="4"/>
      <c r="AH860" s="4"/>
      <c r="AI860" s="4"/>
      <c r="AJ860" s="246"/>
      <c r="AK860" s="246"/>
      <c r="AL860" s="129"/>
      <c r="AM860" s="129"/>
      <c r="AN860" s="129"/>
      <c r="AO860" s="246"/>
      <c r="AP860" s="246"/>
      <c r="AQ860" s="249"/>
      <c r="AR860" s="4"/>
      <c r="AS860" s="4"/>
      <c r="AT860" s="4"/>
      <c r="AU860" s="4"/>
      <c r="AV860" s="4"/>
      <c r="AW860" s="4"/>
      <c r="AX860" s="4"/>
      <c r="AY860" s="128"/>
      <c r="AZ860" s="4"/>
      <c r="BA860" s="4"/>
      <c r="BB860" s="4"/>
      <c r="BC860" s="4"/>
      <c r="BD860" s="4"/>
      <c r="BE860" s="4"/>
      <c r="BF860" s="4"/>
      <c r="BG860" s="4"/>
      <c r="BH860" s="4"/>
      <c r="BI860" s="567"/>
    </row>
    <row r="861" spans="1:61" ht="12.75" customHeight="1" x14ac:dyDescent="0.25">
      <c r="A861" s="4"/>
      <c r="B861" s="4"/>
      <c r="C861" s="4"/>
      <c r="D861" s="4"/>
      <c r="E861" s="128"/>
      <c r="F861" s="128"/>
      <c r="G861" s="753"/>
      <c r="H861" s="128"/>
      <c r="I861" s="128"/>
      <c r="J861" s="130"/>
      <c r="K861" s="128"/>
      <c r="L861" s="128"/>
      <c r="M861" s="130"/>
      <c r="N861" s="130"/>
      <c r="O861" s="130"/>
      <c r="P861" s="128"/>
      <c r="Q861" s="128"/>
      <c r="R861" s="128"/>
      <c r="S861" s="298"/>
      <c r="T861" s="4"/>
      <c r="U861" s="4"/>
      <c r="V861" s="4"/>
      <c r="W861" s="4"/>
      <c r="X861" s="4"/>
      <c r="Y861" s="128"/>
      <c r="Z861" s="128"/>
      <c r="AA861" s="128"/>
      <c r="AB861" s="4"/>
      <c r="AC861" s="4"/>
      <c r="AD861" s="4"/>
      <c r="AE861" s="4"/>
      <c r="AF861" s="4"/>
      <c r="AG861" s="4"/>
      <c r="AH861" s="4"/>
      <c r="AI861" s="4"/>
      <c r="AJ861" s="246"/>
      <c r="AK861" s="246"/>
      <c r="AL861" s="129"/>
      <c r="AM861" s="129"/>
      <c r="AN861" s="129"/>
      <c r="AO861" s="246"/>
      <c r="AP861" s="246"/>
      <c r="AQ861" s="249"/>
      <c r="AR861" s="4"/>
      <c r="AS861" s="4"/>
      <c r="AT861" s="4"/>
      <c r="AU861" s="4"/>
      <c r="AV861" s="4"/>
      <c r="AW861" s="4"/>
      <c r="AX861" s="4"/>
      <c r="AY861" s="128"/>
      <c r="AZ861" s="4"/>
      <c r="BA861" s="4"/>
      <c r="BB861" s="4"/>
      <c r="BC861" s="4"/>
      <c r="BD861" s="4"/>
      <c r="BE861" s="4"/>
      <c r="BF861" s="4"/>
      <c r="BG861" s="4"/>
      <c r="BH861" s="4"/>
      <c r="BI861" s="567"/>
    </row>
    <row r="862" spans="1:61" ht="12.75" customHeight="1" x14ac:dyDescent="0.25">
      <c r="A862" s="4"/>
      <c r="B862" s="4"/>
      <c r="C862" s="4"/>
      <c r="D862" s="4"/>
      <c r="E862" s="128"/>
      <c r="F862" s="128"/>
      <c r="G862" s="753"/>
      <c r="H862" s="128"/>
      <c r="I862" s="128"/>
      <c r="J862" s="130"/>
      <c r="K862" s="128"/>
      <c r="L862" s="128"/>
      <c r="M862" s="130"/>
      <c r="N862" s="130"/>
      <c r="O862" s="130"/>
      <c r="P862" s="128"/>
      <c r="Q862" s="128"/>
      <c r="R862" s="128"/>
      <c r="S862" s="298"/>
      <c r="T862" s="4"/>
      <c r="U862" s="4"/>
      <c r="V862" s="4"/>
      <c r="W862" s="4"/>
      <c r="X862" s="4"/>
      <c r="Y862" s="128"/>
      <c r="Z862" s="128"/>
      <c r="AA862" s="128"/>
      <c r="AB862" s="4"/>
      <c r="AC862" s="4"/>
      <c r="AD862" s="4"/>
      <c r="AE862" s="4"/>
      <c r="AF862" s="4"/>
      <c r="AG862" s="4"/>
      <c r="AH862" s="4"/>
      <c r="AI862" s="4"/>
      <c r="AJ862" s="246"/>
      <c r="AK862" s="246"/>
      <c r="AL862" s="129"/>
      <c r="AM862" s="129"/>
      <c r="AN862" s="129"/>
      <c r="AO862" s="246"/>
      <c r="AP862" s="246"/>
      <c r="AQ862" s="249"/>
      <c r="AR862" s="4"/>
      <c r="AS862" s="4"/>
      <c r="AT862" s="4"/>
      <c r="AU862" s="4"/>
      <c r="AV862" s="4"/>
      <c r="AW862" s="4"/>
      <c r="AX862" s="4"/>
      <c r="AY862" s="128"/>
      <c r="AZ862" s="4"/>
      <c r="BA862" s="4"/>
      <c r="BB862" s="4"/>
      <c r="BC862" s="4"/>
      <c r="BD862" s="4"/>
      <c r="BE862" s="4"/>
      <c r="BF862" s="4"/>
      <c r="BG862" s="4"/>
      <c r="BH862" s="4"/>
      <c r="BI862" s="567"/>
    </row>
    <row r="863" spans="1:61" ht="12.75" customHeight="1" x14ac:dyDescent="0.25">
      <c r="A863" s="4"/>
      <c r="B863" s="4"/>
      <c r="C863" s="4"/>
      <c r="D863" s="4"/>
      <c r="E863" s="128"/>
      <c r="F863" s="128"/>
      <c r="G863" s="753"/>
      <c r="H863" s="128"/>
      <c r="I863" s="128"/>
      <c r="J863" s="130"/>
      <c r="K863" s="128"/>
      <c r="L863" s="128"/>
      <c r="M863" s="130"/>
      <c r="N863" s="130"/>
      <c r="O863" s="130"/>
      <c r="P863" s="128"/>
      <c r="Q863" s="128"/>
      <c r="R863" s="128"/>
      <c r="S863" s="298"/>
      <c r="T863" s="4"/>
      <c r="U863" s="4"/>
      <c r="V863" s="4"/>
      <c r="W863" s="4"/>
      <c r="X863" s="4"/>
      <c r="Y863" s="128"/>
      <c r="Z863" s="128"/>
      <c r="AA863" s="128"/>
      <c r="AB863" s="4"/>
      <c r="AC863" s="4"/>
      <c r="AD863" s="4"/>
      <c r="AE863" s="4"/>
      <c r="AF863" s="4"/>
      <c r="AG863" s="4"/>
      <c r="AH863" s="4"/>
      <c r="AI863" s="4"/>
      <c r="AJ863" s="246"/>
      <c r="AK863" s="246"/>
      <c r="AL863" s="129"/>
      <c r="AM863" s="129"/>
      <c r="AN863" s="129"/>
      <c r="AO863" s="246"/>
      <c r="AP863" s="246"/>
      <c r="AQ863" s="249"/>
      <c r="AR863" s="4"/>
      <c r="AS863" s="4"/>
      <c r="AT863" s="4"/>
      <c r="AU863" s="4"/>
      <c r="AV863" s="4"/>
      <c r="AW863" s="4"/>
      <c r="AX863" s="4"/>
      <c r="AY863" s="128"/>
      <c r="AZ863" s="4"/>
      <c r="BA863" s="4"/>
      <c r="BB863" s="4"/>
      <c r="BC863" s="4"/>
      <c r="BD863" s="4"/>
      <c r="BE863" s="4"/>
      <c r="BF863" s="4"/>
      <c r="BG863" s="4"/>
      <c r="BH863" s="4"/>
      <c r="BI863" s="567"/>
    </row>
    <row r="864" spans="1:61" ht="12.75" customHeight="1" x14ac:dyDescent="0.25">
      <c r="A864" s="4"/>
      <c r="B864" s="4"/>
      <c r="C864" s="4"/>
      <c r="D864" s="4"/>
      <c r="E864" s="128"/>
      <c r="F864" s="128"/>
      <c r="G864" s="753"/>
      <c r="H864" s="128"/>
      <c r="I864" s="128"/>
      <c r="J864" s="130"/>
      <c r="K864" s="128"/>
      <c r="L864" s="128"/>
      <c r="M864" s="130"/>
      <c r="N864" s="130"/>
      <c r="O864" s="130"/>
      <c r="P864" s="128"/>
      <c r="Q864" s="128"/>
      <c r="R864" s="128"/>
      <c r="S864" s="298"/>
      <c r="T864" s="4"/>
      <c r="U864" s="4"/>
      <c r="V864" s="4"/>
      <c r="W864" s="4"/>
      <c r="X864" s="4"/>
      <c r="Y864" s="128"/>
      <c r="Z864" s="128"/>
      <c r="AA864" s="128"/>
      <c r="AB864" s="4"/>
      <c r="AC864" s="4"/>
      <c r="AD864" s="4"/>
      <c r="AE864" s="4"/>
      <c r="AF864" s="4"/>
      <c r="AG864" s="4"/>
      <c r="AH864" s="4"/>
      <c r="AI864" s="4"/>
      <c r="AJ864" s="246"/>
      <c r="AK864" s="246"/>
      <c r="AL864" s="129"/>
      <c r="AM864" s="129"/>
      <c r="AN864" s="129"/>
      <c r="AO864" s="246"/>
      <c r="AP864" s="246"/>
      <c r="AQ864" s="249"/>
      <c r="AR864" s="4"/>
      <c r="AS864" s="4"/>
      <c r="AT864" s="4"/>
      <c r="AU864" s="4"/>
      <c r="AV864" s="4"/>
      <c r="AW864" s="4"/>
      <c r="AX864" s="4"/>
      <c r="AY864" s="128"/>
      <c r="AZ864" s="4"/>
      <c r="BA864" s="4"/>
      <c r="BB864" s="4"/>
      <c r="BC864" s="4"/>
      <c r="BD864" s="4"/>
      <c r="BE864" s="4"/>
      <c r="BF864" s="4"/>
      <c r="BG864" s="4"/>
      <c r="BH864" s="4"/>
      <c r="BI864" s="567"/>
    </row>
    <row r="865" spans="1:61" ht="12.75" customHeight="1" x14ac:dyDescent="0.25">
      <c r="A865" s="4"/>
      <c r="B865" s="4"/>
      <c r="C865" s="4"/>
      <c r="D865" s="4"/>
      <c r="E865" s="128"/>
      <c r="F865" s="128"/>
      <c r="G865" s="753"/>
      <c r="H865" s="128"/>
      <c r="I865" s="128"/>
      <c r="J865" s="130"/>
      <c r="K865" s="128"/>
      <c r="L865" s="128"/>
      <c r="M865" s="130"/>
      <c r="N865" s="130"/>
      <c r="O865" s="130"/>
      <c r="P865" s="128"/>
      <c r="Q865" s="128"/>
      <c r="R865" s="128"/>
      <c r="S865" s="298"/>
      <c r="T865" s="4"/>
      <c r="U865" s="4"/>
      <c r="V865" s="4"/>
      <c r="W865" s="4"/>
      <c r="X865" s="4"/>
      <c r="Y865" s="128"/>
      <c r="Z865" s="128"/>
      <c r="AA865" s="128"/>
      <c r="AB865" s="4"/>
      <c r="AC865" s="4"/>
      <c r="AD865" s="4"/>
      <c r="AE865" s="4"/>
      <c r="AF865" s="4"/>
      <c r="AG865" s="4"/>
      <c r="AH865" s="4"/>
      <c r="AI865" s="4"/>
      <c r="AJ865" s="246"/>
      <c r="AK865" s="246"/>
      <c r="AL865" s="129"/>
      <c r="AM865" s="129"/>
      <c r="AN865" s="129"/>
      <c r="AO865" s="246"/>
      <c r="AP865" s="246"/>
      <c r="AQ865" s="249"/>
      <c r="AR865" s="4"/>
      <c r="AS865" s="4"/>
      <c r="AT865" s="4"/>
      <c r="AU865" s="4"/>
      <c r="AV865" s="4"/>
      <c r="AW865" s="4"/>
      <c r="AX865" s="4"/>
      <c r="AY865" s="128"/>
      <c r="AZ865" s="4"/>
      <c r="BA865" s="4"/>
      <c r="BB865" s="4"/>
      <c r="BC865" s="4"/>
      <c r="BD865" s="4"/>
      <c r="BE865" s="4"/>
      <c r="BF865" s="4"/>
      <c r="BG865" s="4"/>
      <c r="BH865" s="4"/>
      <c r="BI865" s="567"/>
    </row>
    <row r="866" spans="1:61" ht="12.75" customHeight="1" x14ac:dyDescent="0.25">
      <c r="A866" s="4"/>
      <c r="B866" s="4"/>
      <c r="C866" s="4"/>
      <c r="D866" s="4"/>
      <c r="E866" s="128"/>
      <c r="F866" s="128"/>
      <c r="G866" s="753"/>
      <c r="H866" s="128"/>
      <c r="I866" s="128"/>
      <c r="J866" s="130"/>
      <c r="K866" s="128"/>
      <c r="L866" s="128"/>
      <c r="M866" s="130"/>
      <c r="N866" s="130"/>
      <c r="O866" s="130"/>
      <c r="P866" s="128"/>
      <c r="Q866" s="128"/>
      <c r="R866" s="128"/>
      <c r="S866" s="298"/>
      <c r="T866" s="4"/>
      <c r="U866" s="4"/>
      <c r="V866" s="4"/>
      <c r="W866" s="4"/>
      <c r="X866" s="4"/>
      <c r="Y866" s="128"/>
      <c r="Z866" s="128"/>
      <c r="AA866" s="128"/>
      <c r="AB866" s="4"/>
      <c r="AC866" s="4"/>
      <c r="AD866" s="4"/>
      <c r="AE866" s="4"/>
      <c r="AF866" s="4"/>
      <c r="AG866" s="4"/>
      <c r="AH866" s="4"/>
      <c r="AI866" s="4"/>
      <c r="AJ866" s="246"/>
      <c r="AK866" s="246"/>
      <c r="AL866" s="129"/>
      <c r="AM866" s="129"/>
      <c r="AN866" s="129"/>
      <c r="AO866" s="246"/>
      <c r="AP866" s="246"/>
      <c r="AQ866" s="249"/>
      <c r="AR866" s="4"/>
      <c r="AS866" s="4"/>
      <c r="AT866" s="4"/>
      <c r="AU866" s="4"/>
      <c r="AV866" s="4"/>
      <c r="AW866" s="4"/>
      <c r="AX866" s="4"/>
      <c r="AY866" s="128"/>
      <c r="AZ866" s="4"/>
      <c r="BA866" s="4"/>
      <c r="BB866" s="4"/>
      <c r="BC866" s="4"/>
      <c r="BD866" s="4"/>
      <c r="BE866" s="4"/>
      <c r="BF866" s="4"/>
      <c r="BG866" s="4"/>
      <c r="BH866" s="4"/>
      <c r="BI866" s="567"/>
    </row>
    <row r="867" spans="1:61" ht="12.75" customHeight="1" x14ac:dyDescent="0.25">
      <c r="A867" s="4"/>
      <c r="B867" s="4"/>
      <c r="C867" s="4"/>
      <c r="D867" s="4"/>
      <c r="E867" s="128"/>
      <c r="F867" s="128"/>
      <c r="G867" s="753"/>
      <c r="H867" s="128"/>
      <c r="I867" s="128"/>
      <c r="J867" s="130"/>
      <c r="K867" s="128"/>
      <c r="L867" s="128"/>
      <c r="M867" s="130"/>
      <c r="N867" s="130"/>
      <c r="O867" s="130"/>
      <c r="P867" s="128"/>
      <c r="Q867" s="128"/>
      <c r="R867" s="128"/>
      <c r="S867" s="298"/>
      <c r="T867" s="4"/>
      <c r="U867" s="4"/>
      <c r="V867" s="4"/>
      <c r="W867" s="4"/>
      <c r="X867" s="4"/>
      <c r="Y867" s="128"/>
      <c r="Z867" s="128"/>
      <c r="AA867" s="128"/>
      <c r="AB867" s="4"/>
      <c r="AC867" s="4"/>
      <c r="AD867" s="4"/>
      <c r="AE867" s="4"/>
      <c r="AF867" s="4"/>
      <c r="AG867" s="4"/>
      <c r="AH867" s="4"/>
      <c r="AI867" s="4"/>
      <c r="AJ867" s="246"/>
      <c r="AK867" s="246"/>
      <c r="AL867" s="129"/>
      <c r="AM867" s="129"/>
      <c r="AN867" s="129"/>
      <c r="AO867" s="246"/>
      <c r="AP867" s="246"/>
      <c r="AQ867" s="249"/>
      <c r="AR867" s="4"/>
      <c r="AS867" s="4"/>
      <c r="AT867" s="4"/>
      <c r="AU867" s="4"/>
      <c r="AV867" s="4"/>
      <c r="AW867" s="4"/>
      <c r="AX867" s="4"/>
      <c r="AY867" s="128"/>
      <c r="AZ867" s="4"/>
      <c r="BA867" s="4"/>
      <c r="BB867" s="4"/>
      <c r="BC867" s="4"/>
      <c r="BD867" s="4"/>
      <c r="BE867" s="4"/>
      <c r="BF867" s="4"/>
      <c r="BG867" s="4"/>
      <c r="BH867" s="4"/>
      <c r="BI867" s="567"/>
    </row>
    <row r="868" spans="1:61" ht="12.75" customHeight="1" x14ac:dyDescent="0.25">
      <c r="A868" s="4"/>
      <c r="B868" s="4"/>
      <c r="C868" s="4"/>
      <c r="D868" s="4"/>
      <c r="E868" s="128"/>
      <c r="F868" s="128"/>
      <c r="G868" s="753"/>
      <c r="H868" s="128"/>
      <c r="I868" s="128"/>
      <c r="J868" s="130"/>
      <c r="K868" s="128"/>
      <c r="L868" s="128"/>
      <c r="M868" s="130"/>
      <c r="N868" s="130"/>
      <c r="O868" s="130"/>
      <c r="P868" s="128"/>
      <c r="Q868" s="128"/>
      <c r="R868" s="128"/>
      <c r="S868" s="298"/>
      <c r="T868" s="4"/>
      <c r="U868" s="4"/>
      <c r="V868" s="4"/>
      <c r="W868" s="4"/>
      <c r="X868" s="4"/>
      <c r="Y868" s="128"/>
      <c r="Z868" s="128"/>
      <c r="AA868" s="128"/>
      <c r="AB868" s="4"/>
      <c r="AC868" s="4"/>
      <c r="AD868" s="4"/>
      <c r="AE868" s="4"/>
      <c r="AF868" s="4"/>
      <c r="AG868" s="4"/>
      <c r="AH868" s="4"/>
      <c r="AI868" s="4"/>
      <c r="AJ868" s="246"/>
      <c r="AK868" s="246"/>
      <c r="AL868" s="129"/>
      <c r="AM868" s="129"/>
      <c r="AN868" s="129"/>
      <c r="AO868" s="246"/>
      <c r="AP868" s="246"/>
      <c r="AQ868" s="249"/>
      <c r="AR868" s="4"/>
      <c r="AS868" s="4"/>
      <c r="AT868" s="4"/>
      <c r="AU868" s="4"/>
      <c r="AV868" s="4"/>
      <c r="AW868" s="4"/>
      <c r="AX868" s="4"/>
      <c r="AY868" s="128"/>
      <c r="AZ868" s="4"/>
      <c r="BA868" s="4"/>
      <c r="BB868" s="4"/>
      <c r="BC868" s="4"/>
      <c r="BD868" s="4"/>
      <c r="BE868" s="4"/>
      <c r="BF868" s="4"/>
      <c r="BG868" s="4"/>
      <c r="BH868" s="4"/>
      <c r="BI868" s="567"/>
    </row>
    <row r="869" spans="1:61" ht="12.75" customHeight="1" x14ac:dyDescent="0.25">
      <c r="A869" s="4"/>
      <c r="B869" s="4"/>
      <c r="C869" s="4"/>
      <c r="D869" s="4"/>
      <c r="E869" s="128"/>
      <c r="F869" s="128"/>
      <c r="G869" s="753"/>
      <c r="H869" s="128"/>
      <c r="I869" s="128"/>
      <c r="J869" s="130"/>
      <c r="K869" s="128"/>
      <c r="L869" s="128"/>
      <c r="M869" s="130"/>
      <c r="N869" s="130"/>
      <c r="O869" s="130"/>
      <c r="P869" s="128"/>
      <c r="Q869" s="128"/>
      <c r="R869" s="128"/>
      <c r="S869" s="298"/>
      <c r="T869" s="4"/>
      <c r="U869" s="4"/>
      <c r="V869" s="4"/>
      <c r="W869" s="4"/>
      <c r="X869" s="4"/>
      <c r="Y869" s="128"/>
      <c r="Z869" s="128"/>
      <c r="AA869" s="128"/>
      <c r="AB869" s="4"/>
      <c r="AC869" s="4"/>
      <c r="AD869" s="4"/>
      <c r="AE869" s="4"/>
      <c r="AF869" s="4"/>
      <c r="AG869" s="4"/>
      <c r="AH869" s="4"/>
      <c r="AI869" s="4"/>
      <c r="AJ869" s="246"/>
      <c r="AK869" s="246"/>
      <c r="AL869" s="129"/>
      <c r="AM869" s="129"/>
      <c r="AN869" s="129"/>
      <c r="AO869" s="246"/>
      <c r="AP869" s="246"/>
      <c r="AQ869" s="249"/>
      <c r="AR869" s="4"/>
      <c r="AS869" s="4"/>
      <c r="AT869" s="4"/>
      <c r="AU869" s="4"/>
      <c r="AV869" s="4"/>
      <c r="AW869" s="4"/>
      <c r="AX869" s="4"/>
      <c r="AY869" s="128"/>
      <c r="AZ869" s="4"/>
      <c r="BA869" s="4"/>
      <c r="BB869" s="4"/>
      <c r="BC869" s="4"/>
      <c r="BD869" s="4"/>
      <c r="BE869" s="4"/>
      <c r="BF869" s="4"/>
      <c r="BG869" s="4"/>
      <c r="BH869" s="4"/>
      <c r="BI869" s="567"/>
    </row>
    <row r="870" spans="1:61" ht="12.75" customHeight="1" x14ac:dyDescent="0.25">
      <c r="A870" s="4"/>
      <c r="B870" s="4"/>
      <c r="C870" s="4"/>
      <c r="D870" s="4"/>
      <c r="E870" s="128"/>
      <c r="F870" s="128"/>
      <c r="G870" s="753"/>
      <c r="H870" s="128"/>
      <c r="I870" s="128"/>
      <c r="J870" s="130"/>
      <c r="K870" s="128"/>
      <c r="L870" s="128"/>
      <c r="M870" s="130"/>
      <c r="N870" s="130"/>
      <c r="O870" s="130"/>
      <c r="P870" s="128"/>
      <c r="Q870" s="128"/>
      <c r="R870" s="128"/>
      <c r="S870" s="298"/>
      <c r="T870" s="4"/>
      <c r="U870" s="4"/>
      <c r="V870" s="4"/>
      <c r="W870" s="4"/>
      <c r="X870" s="4"/>
      <c r="Y870" s="128"/>
      <c r="Z870" s="128"/>
      <c r="AA870" s="128"/>
      <c r="AB870" s="4"/>
      <c r="AC870" s="4"/>
      <c r="AD870" s="4"/>
      <c r="AE870" s="4"/>
      <c r="AF870" s="4"/>
      <c r="AG870" s="4"/>
      <c r="AH870" s="4"/>
      <c r="AI870" s="4"/>
      <c r="AJ870" s="246"/>
      <c r="AK870" s="246"/>
      <c r="AL870" s="129"/>
      <c r="AM870" s="129"/>
      <c r="AN870" s="129"/>
      <c r="AO870" s="246"/>
      <c r="AP870" s="246"/>
      <c r="AQ870" s="249"/>
      <c r="AR870" s="4"/>
      <c r="AS870" s="4"/>
      <c r="AT870" s="4"/>
      <c r="AU870" s="4"/>
      <c r="AV870" s="4"/>
      <c r="AW870" s="4"/>
      <c r="AX870" s="4"/>
      <c r="AY870" s="128"/>
      <c r="AZ870" s="4"/>
      <c r="BA870" s="4"/>
      <c r="BB870" s="4"/>
      <c r="BC870" s="4"/>
      <c r="BD870" s="4"/>
      <c r="BE870" s="4"/>
      <c r="BF870" s="4"/>
      <c r="BG870" s="4"/>
      <c r="BH870" s="4"/>
      <c r="BI870" s="567"/>
    </row>
    <row r="871" spans="1:61" ht="12.75" customHeight="1" x14ac:dyDescent="0.25">
      <c r="A871" s="4"/>
      <c r="B871" s="4"/>
      <c r="C871" s="4"/>
      <c r="D871" s="4"/>
      <c r="E871" s="128"/>
      <c r="F871" s="128"/>
      <c r="G871" s="753"/>
      <c r="H871" s="128"/>
      <c r="I871" s="128"/>
      <c r="J871" s="130"/>
      <c r="K871" s="128"/>
      <c r="L871" s="128"/>
      <c r="M871" s="130"/>
      <c r="N871" s="130"/>
      <c r="O871" s="130"/>
      <c r="P871" s="128"/>
      <c r="Q871" s="128"/>
      <c r="R871" s="128"/>
      <c r="S871" s="298"/>
      <c r="T871" s="4"/>
      <c r="U871" s="4"/>
      <c r="V871" s="4"/>
      <c r="W871" s="4"/>
      <c r="X871" s="4"/>
      <c r="Y871" s="128"/>
      <c r="Z871" s="128"/>
      <c r="AA871" s="128"/>
      <c r="AB871" s="4"/>
      <c r="AC871" s="4"/>
      <c r="AD871" s="4"/>
      <c r="AE871" s="4"/>
      <c r="AF871" s="4"/>
      <c r="AG871" s="4"/>
      <c r="AH871" s="4"/>
      <c r="AI871" s="4"/>
      <c r="AJ871" s="246"/>
      <c r="AK871" s="246"/>
      <c r="AL871" s="129"/>
      <c r="AM871" s="129"/>
      <c r="AN871" s="129"/>
      <c r="AO871" s="246"/>
      <c r="AP871" s="246"/>
      <c r="AQ871" s="249"/>
      <c r="AR871" s="4"/>
      <c r="AS871" s="4"/>
      <c r="AT871" s="4"/>
      <c r="AU871" s="4"/>
      <c r="AV871" s="4"/>
      <c r="AW871" s="4"/>
      <c r="AX871" s="4"/>
      <c r="AY871" s="128"/>
      <c r="AZ871" s="4"/>
      <c r="BA871" s="4"/>
      <c r="BB871" s="4"/>
      <c r="BC871" s="4"/>
      <c r="BD871" s="4"/>
      <c r="BE871" s="4"/>
      <c r="BF871" s="4"/>
      <c r="BG871" s="4"/>
      <c r="BH871" s="4"/>
      <c r="BI871" s="567"/>
    </row>
    <row r="872" spans="1:61" ht="12.75" customHeight="1" x14ac:dyDescent="0.25">
      <c r="A872" s="4"/>
      <c r="B872" s="4"/>
      <c r="C872" s="4"/>
      <c r="D872" s="4"/>
      <c r="E872" s="128"/>
      <c r="F872" s="128"/>
      <c r="G872" s="753"/>
      <c r="H872" s="128"/>
      <c r="I872" s="128"/>
      <c r="J872" s="130"/>
      <c r="K872" s="128"/>
      <c r="L872" s="128"/>
      <c r="M872" s="130"/>
      <c r="N872" s="130"/>
      <c r="O872" s="130"/>
      <c r="P872" s="128"/>
      <c r="Q872" s="128"/>
      <c r="R872" s="128"/>
      <c r="S872" s="298"/>
      <c r="T872" s="4"/>
      <c r="U872" s="4"/>
      <c r="V872" s="4"/>
      <c r="W872" s="4"/>
      <c r="X872" s="4"/>
      <c r="Y872" s="128"/>
      <c r="Z872" s="128"/>
      <c r="AA872" s="128"/>
      <c r="AB872" s="4"/>
      <c r="AC872" s="4"/>
      <c r="AD872" s="4"/>
      <c r="AE872" s="4"/>
      <c r="AF872" s="4"/>
      <c r="AG872" s="4"/>
      <c r="AH872" s="4"/>
      <c r="AI872" s="4"/>
      <c r="AJ872" s="246"/>
      <c r="AK872" s="246"/>
      <c r="AL872" s="129"/>
      <c r="AM872" s="129"/>
      <c r="AN872" s="129"/>
      <c r="AO872" s="246"/>
      <c r="AP872" s="246"/>
      <c r="AQ872" s="249"/>
      <c r="AR872" s="4"/>
      <c r="AS872" s="4"/>
      <c r="AT872" s="4"/>
      <c r="AU872" s="4"/>
      <c r="AV872" s="4"/>
      <c r="AW872" s="4"/>
      <c r="AX872" s="4"/>
      <c r="AY872" s="128"/>
      <c r="AZ872" s="4"/>
      <c r="BA872" s="4"/>
      <c r="BB872" s="4"/>
      <c r="BC872" s="4"/>
      <c r="BD872" s="4"/>
      <c r="BE872" s="4"/>
      <c r="BF872" s="4"/>
      <c r="BG872" s="4"/>
      <c r="BH872" s="4"/>
      <c r="BI872" s="567"/>
    </row>
    <row r="873" spans="1:61" ht="12.75" customHeight="1" x14ac:dyDescent="0.25">
      <c r="A873" s="4"/>
      <c r="B873" s="4"/>
      <c r="C873" s="4"/>
      <c r="D873" s="4"/>
      <c r="E873" s="128"/>
      <c r="F873" s="128"/>
      <c r="G873" s="753"/>
      <c r="H873" s="128"/>
      <c r="I873" s="128"/>
      <c r="J873" s="130"/>
      <c r="K873" s="128"/>
      <c r="L873" s="128"/>
      <c r="M873" s="130"/>
      <c r="N873" s="130"/>
      <c r="O873" s="130"/>
      <c r="P873" s="128"/>
      <c r="Q873" s="128"/>
      <c r="R873" s="128"/>
      <c r="S873" s="298"/>
      <c r="T873" s="4"/>
      <c r="U873" s="4"/>
      <c r="V873" s="4"/>
      <c r="W873" s="4"/>
      <c r="X873" s="4"/>
      <c r="Y873" s="128"/>
      <c r="Z873" s="128"/>
      <c r="AA873" s="128"/>
      <c r="AB873" s="4"/>
      <c r="AC873" s="4"/>
      <c r="AD873" s="4"/>
      <c r="AE873" s="4"/>
      <c r="AF873" s="4"/>
      <c r="AG873" s="4"/>
      <c r="AH873" s="4"/>
      <c r="AI873" s="4"/>
      <c r="AJ873" s="246"/>
      <c r="AK873" s="246"/>
      <c r="AL873" s="129"/>
      <c r="AM873" s="129"/>
      <c r="AN873" s="129"/>
      <c r="AO873" s="246"/>
      <c r="AP873" s="246"/>
      <c r="AQ873" s="249"/>
      <c r="AR873" s="4"/>
      <c r="AS873" s="4"/>
      <c r="AT873" s="4"/>
      <c r="AU873" s="4"/>
      <c r="AV873" s="4"/>
      <c r="AW873" s="4"/>
      <c r="AX873" s="4"/>
      <c r="AY873" s="128"/>
      <c r="AZ873" s="4"/>
      <c r="BA873" s="4"/>
      <c r="BB873" s="4"/>
      <c r="BC873" s="4"/>
      <c r="BD873" s="4"/>
      <c r="BE873" s="4"/>
      <c r="BF873" s="4"/>
      <c r="BG873" s="4"/>
      <c r="BH873" s="4"/>
      <c r="BI873" s="567"/>
    </row>
    <row r="874" spans="1:61" ht="12.75" customHeight="1" x14ac:dyDescent="0.25">
      <c r="A874" s="4"/>
      <c r="B874" s="4"/>
      <c r="C874" s="4"/>
      <c r="D874" s="4"/>
      <c r="E874" s="128"/>
      <c r="F874" s="128"/>
      <c r="G874" s="753"/>
      <c r="H874" s="128"/>
      <c r="I874" s="128"/>
      <c r="J874" s="130"/>
      <c r="K874" s="128"/>
      <c r="L874" s="128"/>
      <c r="M874" s="130"/>
      <c r="N874" s="130"/>
      <c r="O874" s="130"/>
      <c r="P874" s="128"/>
      <c r="Q874" s="128"/>
      <c r="R874" s="128"/>
      <c r="S874" s="298"/>
      <c r="T874" s="4"/>
      <c r="U874" s="4"/>
      <c r="V874" s="4"/>
      <c r="W874" s="4"/>
      <c r="X874" s="4"/>
      <c r="Y874" s="128"/>
      <c r="Z874" s="128"/>
      <c r="AA874" s="128"/>
      <c r="AB874" s="4"/>
      <c r="AC874" s="4"/>
      <c r="AD874" s="4"/>
      <c r="AE874" s="4"/>
      <c r="AF874" s="4"/>
      <c r="AG874" s="4"/>
      <c r="AH874" s="4"/>
      <c r="AI874" s="4"/>
      <c r="AJ874" s="246"/>
      <c r="AK874" s="246"/>
      <c r="AL874" s="129"/>
      <c r="AM874" s="129"/>
      <c r="AN874" s="129"/>
      <c r="AO874" s="246"/>
      <c r="AP874" s="246"/>
      <c r="AQ874" s="249"/>
      <c r="AR874" s="4"/>
      <c r="AS874" s="4"/>
      <c r="AT874" s="4"/>
      <c r="AU874" s="4"/>
      <c r="AV874" s="4"/>
      <c r="AW874" s="4"/>
      <c r="AX874" s="4"/>
      <c r="AY874" s="128"/>
      <c r="AZ874" s="4"/>
      <c r="BA874" s="4"/>
      <c r="BB874" s="4"/>
      <c r="BC874" s="4"/>
      <c r="BD874" s="4"/>
      <c r="BE874" s="4"/>
      <c r="BF874" s="4"/>
      <c r="BG874" s="4"/>
      <c r="BH874" s="4"/>
      <c r="BI874" s="567"/>
    </row>
    <row r="875" spans="1:61" ht="12.75" customHeight="1" x14ac:dyDescent="0.25">
      <c r="A875" s="4"/>
      <c r="B875" s="4"/>
      <c r="C875" s="4"/>
      <c r="D875" s="4"/>
      <c r="E875" s="128"/>
      <c r="F875" s="128"/>
      <c r="G875" s="753"/>
      <c r="H875" s="128"/>
      <c r="I875" s="128"/>
      <c r="J875" s="130"/>
      <c r="K875" s="128"/>
      <c r="L875" s="128"/>
      <c r="M875" s="130"/>
      <c r="N875" s="130"/>
      <c r="O875" s="130"/>
      <c r="P875" s="128"/>
      <c r="Q875" s="128"/>
      <c r="R875" s="128"/>
      <c r="S875" s="298"/>
      <c r="T875" s="4"/>
      <c r="U875" s="4"/>
      <c r="V875" s="4"/>
      <c r="W875" s="4"/>
      <c r="X875" s="4"/>
      <c r="Y875" s="128"/>
      <c r="Z875" s="128"/>
      <c r="AA875" s="128"/>
      <c r="AB875" s="4"/>
      <c r="AC875" s="4"/>
      <c r="AD875" s="4"/>
      <c r="AE875" s="4"/>
      <c r="AF875" s="4"/>
      <c r="AG875" s="4"/>
      <c r="AH875" s="4"/>
      <c r="AI875" s="4"/>
      <c r="AJ875" s="246"/>
      <c r="AK875" s="246"/>
      <c r="AL875" s="129"/>
      <c r="AM875" s="129"/>
      <c r="AN875" s="129"/>
      <c r="AO875" s="246"/>
      <c r="AP875" s="246"/>
      <c r="AQ875" s="249"/>
      <c r="AR875" s="4"/>
      <c r="AS875" s="4"/>
      <c r="AT875" s="4"/>
      <c r="AU875" s="4"/>
      <c r="AV875" s="4"/>
      <c r="AW875" s="4"/>
      <c r="AX875" s="4"/>
      <c r="AY875" s="128"/>
      <c r="AZ875" s="4"/>
      <c r="BA875" s="4"/>
      <c r="BB875" s="4"/>
      <c r="BC875" s="4"/>
      <c r="BD875" s="4"/>
      <c r="BE875" s="4"/>
      <c r="BF875" s="4"/>
      <c r="BG875" s="4"/>
      <c r="BH875" s="4"/>
      <c r="BI875" s="567"/>
    </row>
    <row r="876" spans="1:61" ht="12.75" customHeight="1" x14ac:dyDescent="0.25">
      <c r="A876" s="4"/>
      <c r="B876" s="4"/>
      <c r="C876" s="4"/>
      <c r="D876" s="4"/>
      <c r="E876" s="128"/>
      <c r="F876" s="128"/>
      <c r="G876" s="753"/>
      <c r="H876" s="128"/>
      <c r="I876" s="128"/>
      <c r="J876" s="130"/>
      <c r="K876" s="128"/>
      <c r="L876" s="128"/>
      <c r="M876" s="130"/>
      <c r="N876" s="130"/>
      <c r="O876" s="130"/>
      <c r="P876" s="128"/>
      <c r="Q876" s="128"/>
      <c r="R876" s="128"/>
      <c r="S876" s="298"/>
      <c r="T876" s="4"/>
      <c r="U876" s="4"/>
      <c r="V876" s="4"/>
      <c r="W876" s="4"/>
      <c r="X876" s="4"/>
      <c r="Y876" s="128"/>
      <c r="Z876" s="128"/>
      <c r="AA876" s="128"/>
      <c r="AB876" s="4"/>
      <c r="AC876" s="4"/>
      <c r="AD876" s="4"/>
      <c r="AE876" s="4"/>
      <c r="AF876" s="4"/>
      <c r="AG876" s="4"/>
      <c r="AH876" s="4"/>
      <c r="AI876" s="4"/>
      <c r="AJ876" s="246"/>
      <c r="AK876" s="246"/>
      <c r="AL876" s="129"/>
      <c r="AM876" s="129"/>
      <c r="AN876" s="129"/>
      <c r="AO876" s="246"/>
      <c r="AP876" s="246"/>
      <c r="AQ876" s="249"/>
      <c r="AR876" s="4"/>
      <c r="AS876" s="4"/>
      <c r="AT876" s="4"/>
      <c r="AU876" s="4"/>
      <c r="AV876" s="4"/>
      <c r="AW876" s="4"/>
      <c r="AX876" s="4"/>
      <c r="AY876" s="128"/>
      <c r="AZ876" s="4"/>
      <c r="BA876" s="4"/>
      <c r="BB876" s="4"/>
      <c r="BC876" s="4"/>
      <c r="BD876" s="4"/>
      <c r="BE876" s="4"/>
      <c r="BF876" s="4"/>
      <c r="BG876" s="4"/>
      <c r="BH876" s="4"/>
      <c r="BI876" s="567"/>
    </row>
    <row r="877" spans="1:61" ht="12.75" customHeight="1" x14ac:dyDescent="0.25">
      <c r="A877" s="4"/>
      <c r="B877" s="4"/>
      <c r="C877" s="4"/>
      <c r="D877" s="4"/>
      <c r="E877" s="128"/>
      <c r="F877" s="128"/>
      <c r="G877" s="753"/>
      <c r="H877" s="128"/>
      <c r="I877" s="128"/>
      <c r="J877" s="130"/>
      <c r="K877" s="128"/>
      <c r="L877" s="128"/>
      <c r="M877" s="130"/>
      <c r="N877" s="130"/>
      <c r="O877" s="130"/>
      <c r="P877" s="128"/>
      <c r="Q877" s="128"/>
      <c r="R877" s="128"/>
      <c r="S877" s="298"/>
      <c r="T877" s="4"/>
      <c r="U877" s="4"/>
      <c r="V877" s="4"/>
      <c r="W877" s="4"/>
      <c r="X877" s="4"/>
      <c r="Y877" s="128"/>
      <c r="Z877" s="128"/>
      <c r="AA877" s="128"/>
      <c r="AB877" s="4"/>
      <c r="AC877" s="4"/>
      <c r="AD877" s="4"/>
      <c r="AE877" s="4"/>
      <c r="AF877" s="4"/>
      <c r="AG877" s="4"/>
      <c r="AH877" s="4"/>
      <c r="AI877" s="4"/>
      <c r="AJ877" s="246"/>
      <c r="AK877" s="246"/>
      <c r="AL877" s="129"/>
      <c r="AM877" s="129"/>
      <c r="AN877" s="129"/>
      <c r="AO877" s="246"/>
      <c r="AP877" s="246"/>
      <c r="AQ877" s="249"/>
      <c r="AR877" s="4"/>
      <c r="AS877" s="4"/>
      <c r="AT877" s="4"/>
      <c r="AU877" s="4"/>
      <c r="AV877" s="4"/>
      <c r="AW877" s="4"/>
      <c r="AX877" s="4"/>
      <c r="AY877" s="128"/>
      <c r="AZ877" s="4"/>
      <c r="BA877" s="4"/>
      <c r="BB877" s="4"/>
      <c r="BC877" s="4"/>
      <c r="BD877" s="4"/>
      <c r="BE877" s="4"/>
      <c r="BF877" s="4"/>
      <c r="BG877" s="4"/>
      <c r="BH877" s="4"/>
      <c r="BI877" s="567"/>
    </row>
    <row r="878" spans="1:61" ht="12.75" customHeight="1" x14ac:dyDescent="0.25">
      <c r="A878" s="4"/>
      <c r="B878" s="4"/>
      <c r="C878" s="4"/>
      <c r="D878" s="4"/>
      <c r="E878" s="128"/>
      <c r="F878" s="128"/>
      <c r="G878" s="753"/>
      <c r="H878" s="128"/>
      <c r="I878" s="128"/>
      <c r="J878" s="130"/>
      <c r="K878" s="128"/>
      <c r="L878" s="128"/>
      <c r="M878" s="130"/>
      <c r="N878" s="130"/>
      <c r="O878" s="130"/>
      <c r="P878" s="128"/>
      <c r="Q878" s="128"/>
      <c r="R878" s="128"/>
      <c r="S878" s="298"/>
      <c r="T878" s="4"/>
      <c r="U878" s="4"/>
      <c r="V878" s="4"/>
      <c r="W878" s="4"/>
      <c r="X878" s="4"/>
      <c r="Y878" s="128"/>
      <c r="Z878" s="128"/>
      <c r="AA878" s="128"/>
      <c r="AB878" s="4"/>
      <c r="AC878" s="4"/>
      <c r="AD878" s="4"/>
      <c r="AE878" s="4"/>
      <c r="AF878" s="4"/>
      <c r="AG878" s="4"/>
      <c r="AH878" s="4"/>
      <c r="AI878" s="4"/>
      <c r="AJ878" s="246"/>
      <c r="AK878" s="246"/>
      <c r="AL878" s="129"/>
      <c r="AM878" s="129"/>
      <c r="AN878" s="129"/>
      <c r="AO878" s="246"/>
      <c r="AP878" s="246"/>
      <c r="AQ878" s="249"/>
      <c r="AR878" s="4"/>
      <c r="AS878" s="4"/>
      <c r="AT878" s="4"/>
      <c r="AU878" s="4"/>
      <c r="AV878" s="4"/>
      <c r="AW878" s="4"/>
      <c r="AX878" s="4"/>
      <c r="AY878" s="128"/>
      <c r="AZ878" s="4"/>
      <c r="BA878" s="4"/>
      <c r="BB878" s="4"/>
      <c r="BC878" s="4"/>
      <c r="BD878" s="4"/>
      <c r="BE878" s="4"/>
      <c r="BF878" s="4"/>
      <c r="BG878" s="4"/>
      <c r="BH878" s="4"/>
      <c r="BI878" s="567"/>
    </row>
    <row r="879" spans="1:61" ht="12.75" customHeight="1" x14ac:dyDescent="0.25">
      <c r="A879" s="4"/>
      <c r="B879" s="4"/>
      <c r="C879" s="4"/>
      <c r="D879" s="4"/>
      <c r="E879" s="128"/>
      <c r="F879" s="128"/>
      <c r="G879" s="753"/>
      <c r="H879" s="128"/>
      <c r="I879" s="128"/>
      <c r="J879" s="130"/>
      <c r="K879" s="128"/>
      <c r="L879" s="128"/>
      <c r="M879" s="130"/>
      <c r="N879" s="130"/>
      <c r="O879" s="130"/>
      <c r="P879" s="128"/>
      <c r="Q879" s="128"/>
      <c r="R879" s="128"/>
      <c r="S879" s="298"/>
      <c r="T879" s="4"/>
      <c r="U879" s="4"/>
      <c r="V879" s="4"/>
      <c r="W879" s="4"/>
      <c r="X879" s="4"/>
      <c r="Y879" s="128"/>
      <c r="Z879" s="128"/>
      <c r="AA879" s="128"/>
      <c r="AB879" s="4"/>
      <c r="AC879" s="4"/>
      <c r="AD879" s="4"/>
      <c r="AE879" s="4"/>
      <c r="AF879" s="4"/>
      <c r="AG879" s="4"/>
      <c r="AH879" s="4"/>
      <c r="AI879" s="4"/>
      <c r="AJ879" s="246"/>
      <c r="AK879" s="246"/>
      <c r="AL879" s="129"/>
      <c r="AM879" s="129"/>
      <c r="AN879" s="129"/>
      <c r="AO879" s="246"/>
      <c r="AP879" s="246"/>
      <c r="AQ879" s="249"/>
      <c r="AR879" s="4"/>
      <c r="AS879" s="4"/>
      <c r="AT879" s="4"/>
      <c r="AU879" s="4"/>
      <c r="AV879" s="4"/>
      <c r="AW879" s="4"/>
      <c r="AX879" s="4"/>
      <c r="AY879" s="128"/>
      <c r="AZ879" s="4"/>
      <c r="BA879" s="4"/>
      <c r="BB879" s="4"/>
      <c r="BC879" s="4"/>
      <c r="BD879" s="4"/>
      <c r="BE879" s="4"/>
      <c r="BF879" s="4"/>
      <c r="BG879" s="4"/>
      <c r="BH879" s="4"/>
      <c r="BI879" s="567"/>
    </row>
    <row r="880" spans="1:61" ht="12.75" customHeight="1" x14ac:dyDescent="0.25">
      <c r="A880" s="4"/>
      <c r="B880" s="4"/>
      <c r="C880" s="4"/>
      <c r="D880" s="4"/>
      <c r="E880" s="128"/>
      <c r="F880" s="128"/>
      <c r="G880" s="753"/>
      <c r="H880" s="128"/>
      <c r="I880" s="128"/>
      <c r="J880" s="130"/>
      <c r="K880" s="128"/>
      <c r="L880" s="128"/>
      <c r="M880" s="130"/>
      <c r="N880" s="130"/>
      <c r="O880" s="130"/>
      <c r="P880" s="128"/>
      <c r="Q880" s="128"/>
      <c r="R880" s="128"/>
      <c r="S880" s="298"/>
      <c r="T880" s="4"/>
      <c r="U880" s="4"/>
      <c r="V880" s="4"/>
      <c r="W880" s="4"/>
      <c r="X880" s="4"/>
      <c r="Y880" s="128"/>
      <c r="Z880" s="128"/>
      <c r="AA880" s="128"/>
      <c r="AB880" s="4"/>
      <c r="AC880" s="4"/>
      <c r="AD880" s="4"/>
      <c r="AE880" s="4"/>
      <c r="AF880" s="4"/>
      <c r="AG880" s="4"/>
      <c r="AH880" s="4"/>
      <c r="AI880" s="4"/>
      <c r="AJ880" s="246"/>
      <c r="AK880" s="246"/>
      <c r="AL880" s="129"/>
      <c r="AM880" s="129"/>
      <c r="AN880" s="129"/>
      <c r="AO880" s="246"/>
      <c r="AP880" s="246"/>
      <c r="AQ880" s="249"/>
      <c r="AR880" s="4"/>
      <c r="AS880" s="4"/>
      <c r="AT880" s="4"/>
      <c r="AU880" s="4"/>
      <c r="AV880" s="4"/>
      <c r="AW880" s="4"/>
      <c r="AX880" s="4"/>
      <c r="AY880" s="128"/>
      <c r="AZ880" s="4"/>
      <c r="BA880" s="4"/>
      <c r="BB880" s="4"/>
      <c r="BC880" s="4"/>
      <c r="BD880" s="4"/>
      <c r="BE880" s="4"/>
      <c r="BF880" s="4"/>
      <c r="BG880" s="4"/>
      <c r="BH880" s="4"/>
      <c r="BI880" s="567"/>
    </row>
    <row r="881" spans="1:61" ht="12.75" customHeight="1" x14ac:dyDescent="0.25">
      <c r="A881" s="4"/>
      <c r="B881" s="4"/>
      <c r="C881" s="4"/>
      <c r="D881" s="4"/>
      <c r="E881" s="128"/>
      <c r="F881" s="128"/>
      <c r="G881" s="753"/>
      <c r="H881" s="128"/>
      <c r="I881" s="128"/>
      <c r="J881" s="130"/>
      <c r="K881" s="128"/>
      <c r="L881" s="128"/>
      <c r="M881" s="130"/>
      <c r="N881" s="130"/>
      <c r="O881" s="130"/>
      <c r="P881" s="128"/>
      <c r="Q881" s="128"/>
      <c r="R881" s="128"/>
      <c r="S881" s="298"/>
      <c r="T881" s="4"/>
      <c r="U881" s="4"/>
      <c r="V881" s="4"/>
      <c r="W881" s="4"/>
      <c r="X881" s="4"/>
      <c r="Y881" s="128"/>
      <c r="Z881" s="128"/>
      <c r="AA881" s="128"/>
      <c r="AB881" s="4"/>
      <c r="AC881" s="4"/>
      <c r="AD881" s="4"/>
      <c r="AE881" s="4"/>
      <c r="AF881" s="4"/>
      <c r="AG881" s="4"/>
      <c r="AH881" s="4"/>
      <c r="AI881" s="4"/>
      <c r="AJ881" s="246"/>
      <c r="AK881" s="246"/>
      <c r="AL881" s="129"/>
      <c r="AM881" s="129"/>
      <c r="AN881" s="129"/>
      <c r="AO881" s="246"/>
      <c r="AP881" s="246"/>
      <c r="AQ881" s="249"/>
      <c r="AR881" s="4"/>
      <c r="AS881" s="4"/>
      <c r="AT881" s="4"/>
      <c r="AU881" s="4"/>
      <c r="AV881" s="4"/>
      <c r="AW881" s="4"/>
      <c r="AX881" s="4"/>
      <c r="AY881" s="128"/>
      <c r="AZ881" s="4"/>
      <c r="BA881" s="4"/>
      <c r="BB881" s="4"/>
      <c r="BC881" s="4"/>
      <c r="BD881" s="4"/>
      <c r="BE881" s="4"/>
      <c r="BF881" s="4"/>
      <c r="BG881" s="4"/>
      <c r="BH881" s="4"/>
      <c r="BI881" s="567"/>
    </row>
    <row r="882" spans="1:61" ht="12.75" customHeight="1" x14ac:dyDescent="0.25">
      <c r="A882" s="4"/>
      <c r="B882" s="4"/>
      <c r="C882" s="4"/>
      <c r="D882" s="4"/>
      <c r="E882" s="128"/>
      <c r="F882" s="128"/>
      <c r="G882" s="753"/>
      <c r="H882" s="128"/>
      <c r="I882" s="128"/>
      <c r="J882" s="130"/>
      <c r="K882" s="128"/>
      <c r="L882" s="128"/>
      <c r="M882" s="130"/>
      <c r="N882" s="130"/>
      <c r="O882" s="130"/>
      <c r="P882" s="128"/>
      <c r="Q882" s="128"/>
      <c r="R882" s="128"/>
      <c r="S882" s="298"/>
      <c r="T882" s="4"/>
      <c r="U882" s="4"/>
      <c r="V882" s="4"/>
      <c r="W882" s="4"/>
      <c r="X882" s="4"/>
      <c r="Y882" s="128"/>
      <c r="Z882" s="128"/>
      <c r="AA882" s="128"/>
      <c r="AB882" s="4"/>
      <c r="AC882" s="4"/>
      <c r="AD882" s="4"/>
      <c r="AE882" s="4"/>
      <c r="AF882" s="4"/>
      <c r="AG882" s="4"/>
      <c r="AH882" s="4"/>
      <c r="AI882" s="4"/>
      <c r="AJ882" s="246"/>
      <c r="AK882" s="246"/>
      <c r="AL882" s="129"/>
      <c r="AM882" s="129"/>
      <c r="AN882" s="129"/>
      <c r="AO882" s="246"/>
      <c r="AP882" s="246"/>
      <c r="AQ882" s="249"/>
      <c r="AR882" s="4"/>
      <c r="AS882" s="4"/>
      <c r="AT882" s="4"/>
      <c r="AU882" s="4"/>
      <c r="AV882" s="4"/>
      <c r="AW882" s="4"/>
      <c r="AX882" s="4"/>
      <c r="AY882" s="128"/>
      <c r="AZ882" s="4"/>
      <c r="BA882" s="4"/>
      <c r="BB882" s="4"/>
      <c r="BC882" s="4"/>
      <c r="BD882" s="4"/>
      <c r="BE882" s="4"/>
      <c r="BF882" s="4"/>
      <c r="BG882" s="4"/>
      <c r="BH882" s="4"/>
      <c r="BI882" s="567"/>
    </row>
    <row r="883" spans="1:61" ht="12.75" customHeight="1" x14ac:dyDescent="0.25">
      <c r="A883" s="4"/>
      <c r="B883" s="4"/>
      <c r="C883" s="4"/>
      <c r="D883" s="4"/>
      <c r="E883" s="128"/>
      <c r="F883" s="128"/>
      <c r="G883" s="753"/>
      <c r="H883" s="128"/>
      <c r="I883" s="128"/>
      <c r="J883" s="130"/>
      <c r="K883" s="128"/>
      <c r="L883" s="128"/>
      <c r="M883" s="130"/>
      <c r="N883" s="130"/>
      <c r="O883" s="130"/>
      <c r="P883" s="128"/>
      <c r="Q883" s="128"/>
      <c r="R883" s="128"/>
      <c r="S883" s="298"/>
      <c r="T883" s="4"/>
      <c r="U883" s="4"/>
      <c r="V883" s="4"/>
      <c r="W883" s="4"/>
      <c r="X883" s="4"/>
      <c r="Y883" s="128"/>
      <c r="Z883" s="128"/>
      <c r="AA883" s="128"/>
      <c r="AB883" s="4"/>
      <c r="AC883" s="4"/>
      <c r="AD883" s="4"/>
      <c r="AE883" s="4"/>
      <c r="AF883" s="4"/>
      <c r="AG883" s="4"/>
      <c r="AH883" s="4"/>
      <c r="AI883" s="4"/>
      <c r="AJ883" s="246"/>
      <c r="AK883" s="246"/>
      <c r="AL883" s="129"/>
      <c r="AM883" s="129"/>
      <c r="AN883" s="129"/>
      <c r="AO883" s="246"/>
      <c r="AP883" s="246"/>
      <c r="AQ883" s="249"/>
      <c r="AR883" s="4"/>
      <c r="AS883" s="4"/>
      <c r="AT883" s="4"/>
      <c r="AU883" s="4"/>
      <c r="AV883" s="4"/>
      <c r="AW883" s="4"/>
      <c r="AX883" s="4"/>
      <c r="AY883" s="128"/>
      <c r="AZ883" s="4"/>
      <c r="BA883" s="4"/>
      <c r="BB883" s="4"/>
      <c r="BC883" s="4"/>
      <c r="BD883" s="4"/>
      <c r="BE883" s="4"/>
      <c r="BF883" s="4"/>
      <c r="BG883" s="4"/>
      <c r="BH883" s="4"/>
      <c r="BI883" s="567"/>
    </row>
    <row r="884" spans="1:61" ht="12.75" customHeight="1" x14ac:dyDescent="0.25">
      <c r="A884" s="4"/>
      <c r="B884" s="4"/>
      <c r="C884" s="4"/>
      <c r="D884" s="4"/>
      <c r="E884" s="128"/>
      <c r="F884" s="128"/>
      <c r="G884" s="753"/>
      <c r="H884" s="128"/>
      <c r="I884" s="128"/>
      <c r="J884" s="130"/>
      <c r="K884" s="128"/>
      <c r="L884" s="128"/>
      <c r="M884" s="130"/>
      <c r="N884" s="130"/>
      <c r="O884" s="130"/>
      <c r="P884" s="128"/>
      <c r="Q884" s="128"/>
      <c r="R884" s="128"/>
      <c r="S884" s="298"/>
      <c r="T884" s="4"/>
      <c r="U884" s="4"/>
      <c r="V884" s="4"/>
      <c r="W884" s="4"/>
      <c r="X884" s="4"/>
      <c r="Y884" s="128"/>
      <c r="Z884" s="128"/>
      <c r="AA884" s="128"/>
      <c r="AB884" s="4"/>
      <c r="AC884" s="4"/>
      <c r="AD884" s="4"/>
      <c r="AE884" s="4"/>
      <c r="AF884" s="4"/>
      <c r="AG884" s="4"/>
      <c r="AH884" s="4"/>
      <c r="AI884" s="4"/>
      <c r="AJ884" s="246"/>
      <c r="AK884" s="246"/>
      <c r="AL884" s="129"/>
      <c r="AM884" s="129"/>
      <c r="AN884" s="129"/>
      <c r="AO884" s="246"/>
      <c r="AP884" s="246"/>
      <c r="AQ884" s="249"/>
      <c r="AR884" s="4"/>
      <c r="AS884" s="4"/>
      <c r="AT884" s="4"/>
      <c r="AU884" s="4"/>
      <c r="AV884" s="4"/>
      <c r="AW884" s="4"/>
      <c r="AX884" s="4"/>
      <c r="AY884" s="128"/>
      <c r="AZ884" s="4"/>
      <c r="BA884" s="4"/>
      <c r="BB884" s="4"/>
      <c r="BC884" s="4"/>
      <c r="BD884" s="4"/>
      <c r="BE884" s="4"/>
      <c r="BF884" s="4"/>
      <c r="BG884" s="4"/>
      <c r="BH884" s="4"/>
      <c r="BI884" s="567"/>
    </row>
    <row r="885" spans="1:61" ht="12.75" customHeight="1" x14ac:dyDescent="0.25">
      <c r="A885" s="4"/>
      <c r="B885" s="4"/>
      <c r="C885" s="4"/>
      <c r="D885" s="4"/>
      <c r="E885" s="128"/>
      <c r="F885" s="128"/>
      <c r="G885" s="753"/>
      <c r="H885" s="128"/>
      <c r="I885" s="128"/>
      <c r="J885" s="130"/>
      <c r="K885" s="128"/>
      <c r="L885" s="128"/>
      <c r="M885" s="130"/>
      <c r="N885" s="130"/>
      <c r="O885" s="130"/>
      <c r="P885" s="128"/>
      <c r="Q885" s="128"/>
      <c r="R885" s="128"/>
      <c r="S885" s="298"/>
      <c r="T885" s="4"/>
      <c r="U885" s="4"/>
      <c r="V885" s="4"/>
      <c r="W885" s="4"/>
      <c r="X885" s="4"/>
      <c r="Y885" s="128"/>
      <c r="Z885" s="128"/>
      <c r="AA885" s="128"/>
      <c r="AB885" s="4"/>
      <c r="AC885" s="4"/>
      <c r="AD885" s="4"/>
      <c r="AE885" s="4"/>
      <c r="AF885" s="4"/>
      <c r="AG885" s="4"/>
      <c r="AH885" s="4"/>
      <c r="AI885" s="4"/>
      <c r="AJ885" s="246"/>
      <c r="AK885" s="246"/>
      <c r="AL885" s="129"/>
      <c r="AM885" s="129"/>
      <c r="AN885" s="129"/>
      <c r="AO885" s="246"/>
      <c r="AP885" s="246"/>
      <c r="AQ885" s="249"/>
      <c r="AR885" s="4"/>
      <c r="AS885" s="4"/>
      <c r="AT885" s="4"/>
      <c r="AU885" s="4"/>
      <c r="AV885" s="4"/>
      <c r="AW885" s="4"/>
      <c r="AX885" s="4"/>
      <c r="AY885" s="128"/>
      <c r="AZ885" s="4"/>
      <c r="BA885" s="4"/>
      <c r="BB885" s="4"/>
      <c r="BC885" s="4"/>
      <c r="BD885" s="4"/>
      <c r="BE885" s="4"/>
      <c r="BF885" s="4"/>
      <c r="BG885" s="4"/>
      <c r="BH885" s="4"/>
      <c r="BI885" s="567"/>
    </row>
    <row r="886" spans="1:61" ht="12.75" customHeight="1" x14ac:dyDescent="0.25">
      <c r="A886" s="4"/>
      <c r="B886" s="4"/>
      <c r="C886" s="4"/>
      <c r="D886" s="4"/>
      <c r="E886" s="128"/>
      <c r="F886" s="128"/>
      <c r="G886" s="753"/>
      <c r="H886" s="128"/>
      <c r="I886" s="128"/>
      <c r="J886" s="130"/>
      <c r="K886" s="128"/>
      <c r="L886" s="128"/>
      <c r="M886" s="130"/>
      <c r="N886" s="130"/>
      <c r="O886" s="130"/>
      <c r="P886" s="128"/>
      <c r="Q886" s="128"/>
      <c r="R886" s="128"/>
      <c r="S886" s="298"/>
      <c r="T886" s="4"/>
      <c r="U886" s="4"/>
      <c r="V886" s="4"/>
      <c r="W886" s="4"/>
      <c r="X886" s="4"/>
      <c r="Y886" s="128"/>
      <c r="Z886" s="128"/>
      <c r="AA886" s="128"/>
      <c r="AB886" s="4"/>
      <c r="AC886" s="4"/>
      <c r="AD886" s="4"/>
      <c r="AE886" s="4"/>
      <c r="AF886" s="4"/>
      <c r="AG886" s="4"/>
      <c r="AH886" s="4"/>
      <c r="AI886" s="4"/>
      <c r="AJ886" s="246"/>
      <c r="AK886" s="246"/>
      <c r="AL886" s="129"/>
      <c r="AM886" s="129"/>
      <c r="AN886" s="129"/>
      <c r="AO886" s="246"/>
      <c r="AP886" s="246"/>
      <c r="AQ886" s="249"/>
      <c r="AR886" s="4"/>
      <c r="AS886" s="4"/>
      <c r="AT886" s="4"/>
      <c r="AU886" s="4"/>
      <c r="AV886" s="4"/>
      <c r="AW886" s="4"/>
      <c r="AX886" s="4"/>
      <c r="AY886" s="128"/>
      <c r="AZ886" s="4"/>
      <c r="BA886" s="4"/>
      <c r="BB886" s="4"/>
      <c r="BC886" s="4"/>
      <c r="BD886" s="4"/>
      <c r="BE886" s="4"/>
      <c r="BF886" s="4"/>
      <c r="BG886" s="4"/>
      <c r="BH886" s="4"/>
      <c r="BI886" s="567"/>
    </row>
    <row r="887" spans="1:61" ht="12.75" customHeight="1" x14ac:dyDescent="0.25">
      <c r="A887" s="4"/>
      <c r="B887" s="4"/>
      <c r="C887" s="4"/>
      <c r="D887" s="4"/>
      <c r="E887" s="128"/>
      <c r="F887" s="128"/>
      <c r="G887" s="753"/>
      <c r="H887" s="128"/>
      <c r="I887" s="128"/>
      <c r="J887" s="130"/>
      <c r="K887" s="128"/>
      <c r="L887" s="128"/>
      <c r="M887" s="130"/>
      <c r="N887" s="130"/>
      <c r="O887" s="130"/>
      <c r="P887" s="128"/>
      <c r="Q887" s="128"/>
      <c r="R887" s="128"/>
      <c r="S887" s="298"/>
      <c r="T887" s="4"/>
      <c r="U887" s="4"/>
      <c r="V887" s="4"/>
      <c r="W887" s="4"/>
      <c r="X887" s="4"/>
      <c r="Y887" s="128"/>
      <c r="Z887" s="128"/>
      <c r="AA887" s="128"/>
      <c r="AB887" s="4"/>
      <c r="AC887" s="4"/>
      <c r="AD887" s="4"/>
      <c r="AE887" s="4"/>
      <c r="AF887" s="4"/>
      <c r="AG887" s="4"/>
      <c r="AH887" s="4"/>
      <c r="AI887" s="4"/>
      <c r="AJ887" s="246"/>
      <c r="AK887" s="246"/>
      <c r="AL887" s="129"/>
      <c r="AM887" s="129"/>
      <c r="AN887" s="129"/>
      <c r="AO887" s="246"/>
      <c r="AP887" s="246"/>
      <c r="AQ887" s="249"/>
      <c r="AR887" s="4"/>
      <c r="AS887" s="4"/>
      <c r="AT887" s="4"/>
      <c r="AU887" s="4"/>
      <c r="AV887" s="4"/>
      <c r="AW887" s="4"/>
      <c r="AX887" s="4"/>
      <c r="AY887" s="128"/>
      <c r="AZ887" s="4"/>
      <c r="BA887" s="4"/>
      <c r="BB887" s="4"/>
      <c r="BC887" s="4"/>
      <c r="BD887" s="4"/>
      <c r="BE887" s="4"/>
      <c r="BF887" s="4"/>
      <c r="BG887" s="4"/>
      <c r="BH887" s="4"/>
      <c r="BI887" s="567"/>
    </row>
    <row r="888" spans="1:61" ht="12.75" customHeight="1" x14ac:dyDescent="0.25">
      <c r="A888" s="4"/>
      <c r="B888" s="4"/>
      <c r="C888" s="4"/>
      <c r="D888" s="4"/>
      <c r="E888" s="128"/>
      <c r="F888" s="128"/>
      <c r="G888" s="753"/>
      <c r="H888" s="128"/>
      <c r="I888" s="128"/>
      <c r="J888" s="130"/>
      <c r="K888" s="128"/>
      <c r="L888" s="128"/>
      <c r="M888" s="130"/>
      <c r="N888" s="130"/>
      <c r="O888" s="130"/>
      <c r="P888" s="128"/>
      <c r="Q888" s="128"/>
      <c r="R888" s="128"/>
      <c r="S888" s="298"/>
      <c r="T888" s="4"/>
      <c r="U888" s="4"/>
      <c r="V888" s="4"/>
      <c r="W888" s="4"/>
      <c r="X888" s="4"/>
      <c r="Y888" s="128"/>
      <c r="Z888" s="128"/>
      <c r="AA888" s="128"/>
      <c r="AB888" s="4"/>
      <c r="AC888" s="4"/>
      <c r="AD888" s="4"/>
      <c r="AE888" s="4"/>
      <c r="AF888" s="4"/>
      <c r="AG888" s="4"/>
      <c r="AH888" s="4"/>
      <c r="AI888" s="4"/>
      <c r="AJ888" s="246"/>
      <c r="AK888" s="246"/>
      <c r="AL888" s="129"/>
      <c r="AM888" s="129"/>
      <c r="AN888" s="129"/>
      <c r="AO888" s="246"/>
      <c r="AP888" s="246"/>
      <c r="AQ888" s="249"/>
      <c r="AR888" s="4"/>
      <c r="AS888" s="4"/>
      <c r="AT888" s="4"/>
      <c r="AU888" s="4"/>
      <c r="AV888" s="4"/>
      <c r="AW888" s="4"/>
      <c r="AX888" s="4"/>
      <c r="AY888" s="128"/>
      <c r="AZ888" s="4"/>
      <c r="BA888" s="4"/>
      <c r="BB888" s="4"/>
      <c r="BC888" s="4"/>
      <c r="BD888" s="4"/>
      <c r="BE888" s="4"/>
      <c r="BF888" s="4"/>
      <c r="BG888" s="4"/>
      <c r="BH888" s="4"/>
      <c r="BI888" s="567"/>
    </row>
    <row r="889" spans="1:61" ht="12.75" customHeight="1" x14ac:dyDescent="0.25">
      <c r="A889" s="4"/>
      <c r="B889" s="4"/>
      <c r="C889" s="4"/>
      <c r="D889" s="4"/>
      <c r="E889" s="128"/>
      <c r="F889" s="128"/>
      <c r="G889" s="753"/>
      <c r="H889" s="128"/>
      <c r="I889" s="128"/>
      <c r="J889" s="130"/>
      <c r="K889" s="128"/>
      <c r="L889" s="128"/>
      <c r="M889" s="130"/>
      <c r="N889" s="130"/>
      <c r="O889" s="130"/>
      <c r="P889" s="128"/>
      <c r="Q889" s="128"/>
      <c r="R889" s="128"/>
      <c r="S889" s="298"/>
      <c r="T889" s="4"/>
      <c r="U889" s="4"/>
      <c r="V889" s="4"/>
      <c r="W889" s="4"/>
      <c r="X889" s="4"/>
      <c r="Y889" s="128"/>
      <c r="Z889" s="128"/>
      <c r="AA889" s="128"/>
      <c r="AB889" s="4"/>
      <c r="AC889" s="4"/>
      <c r="AD889" s="4"/>
      <c r="AE889" s="4"/>
      <c r="AF889" s="4"/>
      <c r="AG889" s="4"/>
      <c r="AH889" s="4"/>
      <c r="AI889" s="4"/>
      <c r="AJ889" s="246"/>
      <c r="AK889" s="246"/>
      <c r="AL889" s="129"/>
      <c r="AM889" s="129"/>
      <c r="AN889" s="129"/>
      <c r="AO889" s="246"/>
      <c r="AP889" s="246"/>
      <c r="AQ889" s="249"/>
      <c r="AR889" s="4"/>
      <c r="AS889" s="4"/>
      <c r="AT889" s="4"/>
      <c r="AU889" s="4"/>
      <c r="AV889" s="4"/>
      <c r="AW889" s="4"/>
      <c r="AX889" s="4"/>
      <c r="AY889" s="128"/>
      <c r="AZ889" s="4"/>
      <c r="BA889" s="4"/>
      <c r="BB889" s="4"/>
      <c r="BC889" s="4"/>
      <c r="BD889" s="4"/>
      <c r="BE889" s="4"/>
      <c r="BF889" s="4"/>
      <c r="BG889" s="4"/>
      <c r="BH889" s="4"/>
      <c r="BI889" s="567"/>
    </row>
    <row r="890" spans="1:61" ht="12.75" customHeight="1" x14ac:dyDescent="0.25">
      <c r="A890" s="4"/>
      <c r="B890" s="4"/>
      <c r="C890" s="4"/>
      <c r="D890" s="4"/>
      <c r="E890" s="128"/>
      <c r="F890" s="128"/>
      <c r="G890" s="753"/>
      <c r="H890" s="128"/>
      <c r="I890" s="128"/>
      <c r="J890" s="130"/>
      <c r="K890" s="128"/>
      <c r="L890" s="128"/>
      <c r="M890" s="130"/>
      <c r="N890" s="130"/>
      <c r="O890" s="130"/>
      <c r="P890" s="128"/>
      <c r="Q890" s="128"/>
      <c r="R890" s="128"/>
      <c r="S890" s="298"/>
      <c r="T890" s="4"/>
      <c r="U890" s="4"/>
      <c r="V890" s="4"/>
      <c r="W890" s="4"/>
      <c r="X890" s="4"/>
      <c r="Y890" s="128"/>
      <c r="Z890" s="128"/>
      <c r="AA890" s="128"/>
      <c r="AB890" s="4"/>
      <c r="AC890" s="4"/>
      <c r="AD890" s="4"/>
      <c r="AE890" s="4"/>
      <c r="AF890" s="4"/>
      <c r="AG890" s="4"/>
      <c r="AH890" s="4"/>
      <c r="AI890" s="4"/>
      <c r="AJ890" s="246"/>
      <c r="AK890" s="246"/>
      <c r="AL890" s="129"/>
      <c r="AM890" s="129"/>
      <c r="AN890" s="129"/>
      <c r="AO890" s="246"/>
      <c r="AP890" s="246"/>
      <c r="AQ890" s="249"/>
      <c r="AR890" s="4"/>
      <c r="AS890" s="4"/>
      <c r="AT890" s="4"/>
      <c r="AU890" s="4"/>
      <c r="AV890" s="4"/>
      <c r="AW890" s="4"/>
      <c r="AX890" s="4"/>
      <c r="AY890" s="128"/>
      <c r="AZ890" s="4"/>
      <c r="BA890" s="4"/>
      <c r="BB890" s="4"/>
      <c r="BC890" s="4"/>
      <c r="BD890" s="4"/>
      <c r="BE890" s="4"/>
      <c r="BF890" s="4"/>
      <c r="BG890" s="4"/>
      <c r="BH890" s="4"/>
      <c r="BI890" s="567"/>
    </row>
    <row r="891" spans="1:61" ht="12.75" customHeight="1" x14ac:dyDescent="0.25">
      <c r="A891" s="4"/>
      <c r="B891" s="4"/>
      <c r="C891" s="4"/>
      <c r="D891" s="4"/>
      <c r="E891" s="128"/>
      <c r="F891" s="128"/>
      <c r="G891" s="753"/>
      <c r="H891" s="128"/>
      <c r="I891" s="128"/>
      <c r="J891" s="130"/>
      <c r="K891" s="128"/>
      <c r="L891" s="128"/>
      <c r="M891" s="130"/>
      <c r="N891" s="130"/>
      <c r="O891" s="130"/>
      <c r="P891" s="128"/>
      <c r="Q891" s="128"/>
      <c r="R891" s="128"/>
      <c r="S891" s="298"/>
      <c r="T891" s="4"/>
      <c r="U891" s="4"/>
      <c r="V891" s="4"/>
      <c r="W891" s="4"/>
      <c r="X891" s="4"/>
      <c r="Y891" s="128"/>
      <c r="Z891" s="128"/>
      <c r="AA891" s="128"/>
      <c r="AB891" s="4"/>
      <c r="AC891" s="4"/>
      <c r="AD891" s="4"/>
      <c r="AE891" s="4"/>
      <c r="AF891" s="4"/>
      <c r="AG891" s="4"/>
      <c r="AH891" s="4"/>
      <c r="AI891" s="4"/>
      <c r="AJ891" s="246"/>
      <c r="AK891" s="246"/>
      <c r="AL891" s="129"/>
      <c r="AM891" s="129"/>
      <c r="AN891" s="129"/>
      <c r="AO891" s="246"/>
      <c r="AP891" s="246"/>
      <c r="AQ891" s="249"/>
      <c r="AR891" s="4"/>
      <c r="AS891" s="4"/>
      <c r="AT891" s="4"/>
      <c r="AU891" s="4"/>
      <c r="AV891" s="4"/>
      <c r="AW891" s="4"/>
      <c r="AX891" s="4"/>
      <c r="AY891" s="128"/>
      <c r="AZ891" s="4"/>
      <c r="BA891" s="4"/>
      <c r="BB891" s="4"/>
      <c r="BC891" s="4"/>
      <c r="BD891" s="4"/>
      <c r="BE891" s="4"/>
      <c r="BF891" s="4"/>
      <c r="BG891" s="4"/>
      <c r="BH891" s="4"/>
      <c r="BI891" s="567"/>
    </row>
    <row r="892" spans="1:61" ht="12.75" customHeight="1" x14ac:dyDescent="0.25">
      <c r="A892" s="4"/>
      <c r="B892" s="4"/>
      <c r="C892" s="4"/>
      <c r="D892" s="4"/>
      <c r="E892" s="128"/>
      <c r="F892" s="128"/>
      <c r="G892" s="753"/>
      <c r="H892" s="128"/>
      <c r="I892" s="128"/>
      <c r="J892" s="130"/>
      <c r="K892" s="128"/>
      <c r="L892" s="128"/>
      <c r="M892" s="130"/>
      <c r="N892" s="130"/>
      <c r="O892" s="130"/>
      <c r="P892" s="128"/>
      <c r="Q892" s="128"/>
      <c r="R892" s="128"/>
      <c r="S892" s="298"/>
      <c r="T892" s="4"/>
      <c r="U892" s="4"/>
      <c r="V892" s="4"/>
      <c r="W892" s="4"/>
      <c r="X892" s="4"/>
      <c r="Y892" s="128"/>
      <c r="Z892" s="128"/>
      <c r="AA892" s="128"/>
      <c r="AB892" s="4"/>
      <c r="AC892" s="4"/>
      <c r="AD892" s="4"/>
      <c r="AE892" s="4"/>
      <c r="AF892" s="4"/>
      <c r="AG892" s="4"/>
      <c r="AH892" s="4"/>
      <c r="AI892" s="4"/>
      <c r="AJ892" s="246"/>
      <c r="AK892" s="246"/>
      <c r="AL892" s="129"/>
      <c r="AM892" s="129"/>
      <c r="AN892" s="129"/>
      <c r="AO892" s="246"/>
      <c r="AP892" s="246"/>
      <c r="AQ892" s="249"/>
      <c r="AR892" s="4"/>
      <c r="AS892" s="4"/>
      <c r="AT892" s="4"/>
      <c r="AU892" s="4"/>
      <c r="AV892" s="4"/>
      <c r="AW892" s="4"/>
      <c r="AX892" s="4"/>
      <c r="AY892" s="128"/>
      <c r="AZ892" s="4"/>
      <c r="BA892" s="4"/>
      <c r="BB892" s="4"/>
      <c r="BC892" s="4"/>
      <c r="BD892" s="4"/>
      <c r="BE892" s="4"/>
      <c r="BF892" s="4"/>
      <c r="BG892" s="4"/>
      <c r="BH892" s="4"/>
      <c r="BI892" s="567"/>
    </row>
    <row r="893" spans="1:61" ht="12.75" customHeight="1" x14ac:dyDescent="0.25">
      <c r="A893" s="4"/>
      <c r="B893" s="4"/>
      <c r="C893" s="4"/>
      <c r="D893" s="4"/>
      <c r="E893" s="128"/>
      <c r="F893" s="128"/>
      <c r="G893" s="753"/>
      <c r="H893" s="128"/>
      <c r="I893" s="128"/>
      <c r="J893" s="130"/>
      <c r="K893" s="128"/>
      <c r="L893" s="128"/>
      <c r="M893" s="130"/>
      <c r="N893" s="130"/>
      <c r="O893" s="130"/>
      <c r="P893" s="128"/>
      <c r="Q893" s="128"/>
      <c r="R893" s="128"/>
      <c r="S893" s="298"/>
      <c r="T893" s="4"/>
      <c r="U893" s="4"/>
      <c r="V893" s="4"/>
      <c r="W893" s="4"/>
      <c r="X893" s="4"/>
      <c r="Y893" s="128"/>
      <c r="Z893" s="128"/>
      <c r="AA893" s="128"/>
      <c r="AB893" s="4"/>
      <c r="AC893" s="4"/>
      <c r="AD893" s="4"/>
      <c r="AE893" s="4"/>
      <c r="AF893" s="4"/>
      <c r="AG893" s="4"/>
      <c r="AH893" s="4"/>
      <c r="AI893" s="4"/>
      <c r="AJ893" s="246"/>
      <c r="AK893" s="246"/>
      <c r="AL893" s="129"/>
      <c r="AM893" s="129"/>
      <c r="AN893" s="129"/>
      <c r="AO893" s="246"/>
      <c r="AP893" s="246"/>
      <c r="AQ893" s="249"/>
      <c r="AR893" s="4"/>
      <c r="AS893" s="4"/>
      <c r="AT893" s="4"/>
      <c r="AU893" s="4"/>
      <c r="AV893" s="4"/>
      <c r="AW893" s="4"/>
      <c r="AX893" s="4"/>
      <c r="AY893" s="128"/>
      <c r="AZ893" s="4"/>
      <c r="BA893" s="4"/>
      <c r="BB893" s="4"/>
      <c r="BC893" s="4"/>
      <c r="BD893" s="4"/>
      <c r="BE893" s="4"/>
      <c r="BF893" s="4"/>
      <c r="BG893" s="4"/>
      <c r="BH893" s="4"/>
      <c r="BI893" s="567"/>
    </row>
    <row r="894" spans="1:61" ht="12.75" customHeight="1" x14ac:dyDescent="0.25">
      <c r="A894" s="4"/>
      <c r="B894" s="4"/>
      <c r="C894" s="4"/>
      <c r="D894" s="4"/>
      <c r="E894" s="128"/>
      <c r="F894" s="128"/>
      <c r="G894" s="753"/>
      <c r="H894" s="128"/>
      <c r="I894" s="128"/>
      <c r="J894" s="130"/>
      <c r="K894" s="128"/>
      <c r="L894" s="128"/>
      <c r="M894" s="130"/>
      <c r="N894" s="130"/>
      <c r="O894" s="130"/>
      <c r="P894" s="128"/>
      <c r="Q894" s="128"/>
      <c r="R894" s="128"/>
      <c r="S894" s="298"/>
      <c r="T894" s="4"/>
      <c r="U894" s="4"/>
      <c r="V894" s="4"/>
      <c r="W894" s="4"/>
      <c r="X894" s="4"/>
      <c r="Y894" s="128"/>
      <c r="Z894" s="128"/>
      <c r="AA894" s="128"/>
      <c r="AB894" s="4"/>
      <c r="AC894" s="4"/>
      <c r="AD894" s="4"/>
      <c r="AE894" s="4"/>
      <c r="AF894" s="4"/>
      <c r="AG894" s="4"/>
      <c r="AH894" s="4"/>
      <c r="AI894" s="4"/>
      <c r="AJ894" s="246"/>
      <c r="AK894" s="246"/>
      <c r="AL894" s="129"/>
      <c r="AM894" s="129"/>
      <c r="AN894" s="129"/>
      <c r="AO894" s="246"/>
      <c r="AP894" s="246"/>
      <c r="AQ894" s="249"/>
      <c r="AR894" s="4"/>
      <c r="AS894" s="4"/>
      <c r="AT894" s="4"/>
      <c r="AU894" s="4"/>
      <c r="AV894" s="4"/>
      <c r="AW894" s="4"/>
      <c r="AX894" s="4"/>
      <c r="AY894" s="128"/>
      <c r="AZ894" s="4"/>
      <c r="BA894" s="4"/>
      <c r="BB894" s="4"/>
      <c r="BC894" s="4"/>
      <c r="BD894" s="4"/>
      <c r="BE894" s="4"/>
      <c r="BF894" s="4"/>
      <c r="BG894" s="4"/>
      <c r="BH894" s="4"/>
      <c r="BI894" s="567"/>
    </row>
    <row r="895" spans="1:61" ht="12.75" customHeight="1" x14ac:dyDescent="0.25">
      <c r="A895" s="4"/>
      <c r="B895" s="4"/>
      <c r="C895" s="4"/>
      <c r="D895" s="4"/>
      <c r="E895" s="128"/>
      <c r="F895" s="128"/>
      <c r="G895" s="753"/>
      <c r="H895" s="128"/>
      <c r="I895" s="128"/>
      <c r="J895" s="130"/>
      <c r="K895" s="128"/>
      <c r="L895" s="128"/>
      <c r="M895" s="130"/>
      <c r="N895" s="130"/>
      <c r="O895" s="130"/>
      <c r="P895" s="128"/>
      <c r="Q895" s="128"/>
      <c r="R895" s="128"/>
      <c r="S895" s="298"/>
      <c r="T895" s="4"/>
      <c r="U895" s="4"/>
      <c r="V895" s="4"/>
      <c r="W895" s="4"/>
      <c r="X895" s="4"/>
      <c r="Y895" s="128"/>
      <c r="Z895" s="128"/>
      <c r="AA895" s="128"/>
      <c r="AB895" s="4"/>
      <c r="AC895" s="4"/>
      <c r="AD895" s="4"/>
      <c r="AE895" s="4"/>
      <c r="AF895" s="4"/>
      <c r="AG895" s="4"/>
      <c r="AH895" s="4"/>
      <c r="AI895" s="4"/>
      <c r="AJ895" s="246"/>
      <c r="AK895" s="246"/>
      <c r="AL895" s="129"/>
      <c r="AM895" s="129"/>
      <c r="AN895" s="129"/>
      <c r="AO895" s="246"/>
      <c r="AP895" s="246"/>
      <c r="AQ895" s="249"/>
      <c r="AR895" s="4"/>
      <c r="AS895" s="4"/>
      <c r="AT895" s="4"/>
      <c r="AU895" s="4"/>
      <c r="AV895" s="4"/>
      <c r="AW895" s="4"/>
      <c r="AX895" s="4"/>
      <c r="AY895" s="128"/>
      <c r="AZ895" s="4"/>
      <c r="BA895" s="4"/>
      <c r="BB895" s="4"/>
      <c r="BC895" s="4"/>
      <c r="BD895" s="4"/>
      <c r="BE895" s="4"/>
      <c r="BF895" s="4"/>
      <c r="BG895" s="4"/>
      <c r="BH895" s="4"/>
      <c r="BI895" s="567"/>
    </row>
    <row r="896" spans="1:61" ht="12.75" customHeight="1" x14ac:dyDescent="0.25">
      <c r="A896" s="4"/>
      <c r="B896" s="4"/>
      <c r="C896" s="4"/>
      <c r="D896" s="4"/>
      <c r="E896" s="128"/>
      <c r="F896" s="128"/>
      <c r="G896" s="753"/>
      <c r="H896" s="128"/>
      <c r="I896" s="128"/>
      <c r="J896" s="130"/>
      <c r="K896" s="128"/>
      <c r="L896" s="128"/>
      <c r="M896" s="130"/>
      <c r="N896" s="130"/>
      <c r="O896" s="130"/>
      <c r="P896" s="128"/>
      <c r="Q896" s="128"/>
      <c r="R896" s="128"/>
      <c r="S896" s="298"/>
      <c r="T896" s="4"/>
      <c r="U896" s="4"/>
      <c r="V896" s="4"/>
      <c r="W896" s="4"/>
      <c r="X896" s="4"/>
      <c r="Y896" s="128"/>
      <c r="Z896" s="128"/>
      <c r="AA896" s="128"/>
      <c r="AB896" s="4"/>
      <c r="AC896" s="4"/>
      <c r="AD896" s="4"/>
      <c r="AE896" s="4"/>
      <c r="AF896" s="4"/>
      <c r="AG896" s="4"/>
      <c r="AH896" s="4"/>
      <c r="AI896" s="4"/>
      <c r="AJ896" s="246"/>
      <c r="AK896" s="246"/>
      <c r="AL896" s="129"/>
      <c r="AM896" s="129"/>
      <c r="AN896" s="129"/>
      <c r="AO896" s="246"/>
      <c r="AP896" s="246"/>
      <c r="AQ896" s="249"/>
      <c r="AR896" s="4"/>
      <c r="AS896" s="4"/>
      <c r="AT896" s="4"/>
      <c r="AU896" s="4"/>
      <c r="AV896" s="4"/>
      <c r="AW896" s="4"/>
      <c r="AX896" s="4"/>
      <c r="AY896" s="128"/>
      <c r="AZ896" s="4"/>
      <c r="BA896" s="4"/>
      <c r="BB896" s="4"/>
      <c r="BC896" s="4"/>
      <c r="BD896" s="4"/>
      <c r="BE896" s="4"/>
      <c r="BF896" s="4"/>
      <c r="BG896" s="4"/>
      <c r="BH896" s="4"/>
      <c r="BI896" s="567"/>
    </row>
    <row r="897" spans="1:61" ht="12.75" customHeight="1" x14ac:dyDescent="0.25">
      <c r="A897" s="4"/>
      <c r="B897" s="4"/>
      <c r="C897" s="4"/>
      <c r="D897" s="4"/>
      <c r="E897" s="128"/>
      <c r="F897" s="128"/>
      <c r="G897" s="753"/>
      <c r="H897" s="128"/>
      <c r="I897" s="128"/>
      <c r="J897" s="130"/>
      <c r="K897" s="128"/>
      <c r="L897" s="128"/>
      <c r="M897" s="130"/>
      <c r="N897" s="130"/>
      <c r="O897" s="130"/>
      <c r="P897" s="128"/>
      <c r="Q897" s="128"/>
      <c r="R897" s="128"/>
      <c r="S897" s="298"/>
      <c r="T897" s="4"/>
      <c r="U897" s="4"/>
      <c r="V897" s="4"/>
      <c r="W897" s="4"/>
      <c r="X897" s="4"/>
      <c r="Y897" s="128"/>
      <c r="Z897" s="128"/>
      <c r="AA897" s="128"/>
      <c r="AB897" s="4"/>
      <c r="AC897" s="4"/>
      <c r="AD897" s="4"/>
      <c r="AE897" s="4"/>
      <c r="AF897" s="4"/>
      <c r="AG897" s="4"/>
      <c r="AH897" s="4"/>
      <c r="AI897" s="4"/>
      <c r="AJ897" s="246"/>
      <c r="AK897" s="246"/>
      <c r="AL897" s="129"/>
      <c r="AM897" s="129"/>
      <c r="AN897" s="129"/>
      <c r="AO897" s="246"/>
      <c r="AP897" s="246"/>
      <c r="AQ897" s="249"/>
      <c r="AR897" s="4"/>
      <c r="AS897" s="4"/>
      <c r="AT897" s="4"/>
      <c r="AU897" s="4"/>
      <c r="AV897" s="4"/>
      <c r="AW897" s="4"/>
      <c r="AX897" s="4"/>
      <c r="AY897" s="128"/>
      <c r="AZ897" s="4"/>
      <c r="BA897" s="4"/>
      <c r="BB897" s="4"/>
      <c r="BC897" s="4"/>
      <c r="BD897" s="4"/>
      <c r="BE897" s="4"/>
      <c r="BF897" s="4"/>
      <c r="BG897" s="4"/>
      <c r="BH897" s="4"/>
      <c r="BI897" s="567"/>
    </row>
    <row r="898" spans="1:61" ht="12.75" customHeight="1" x14ac:dyDescent="0.25">
      <c r="A898" s="4"/>
      <c r="B898" s="4"/>
      <c r="C898" s="4"/>
      <c r="D898" s="4"/>
      <c r="E898" s="128"/>
      <c r="F898" s="128"/>
      <c r="G898" s="753"/>
      <c r="H898" s="128"/>
      <c r="I898" s="128"/>
      <c r="J898" s="130"/>
      <c r="K898" s="128"/>
      <c r="L898" s="128"/>
      <c r="M898" s="130"/>
      <c r="N898" s="130"/>
      <c r="O898" s="130"/>
      <c r="P898" s="128"/>
      <c r="Q898" s="128"/>
      <c r="R898" s="128"/>
      <c r="S898" s="298"/>
      <c r="T898" s="4"/>
      <c r="U898" s="4"/>
      <c r="V898" s="4"/>
      <c r="W898" s="4"/>
      <c r="X898" s="4"/>
      <c r="Y898" s="128"/>
      <c r="Z898" s="128"/>
      <c r="AA898" s="128"/>
      <c r="AB898" s="4"/>
      <c r="AC898" s="4"/>
      <c r="AD898" s="4"/>
      <c r="AE898" s="4"/>
      <c r="AF898" s="4"/>
      <c r="AG898" s="4"/>
      <c r="AH898" s="4"/>
      <c r="AI898" s="4"/>
      <c r="AJ898" s="246"/>
      <c r="AK898" s="246"/>
      <c r="AL898" s="129"/>
      <c r="AM898" s="129"/>
      <c r="AN898" s="129"/>
      <c r="AO898" s="246"/>
      <c r="AP898" s="246"/>
      <c r="AQ898" s="249"/>
      <c r="AR898" s="4"/>
      <c r="AS898" s="4"/>
      <c r="AT898" s="4"/>
      <c r="AU898" s="4"/>
      <c r="AV898" s="4"/>
      <c r="AW898" s="4"/>
      <c r="AX898" s="4"/>
      <c r="AY898" s="128"/>
      <c r="AZ898" s="4"/>
      <c r="BA898" s="4"/>
      <c r="BB898" s="4"/>
      <c r="BC898" s="4"/>
      <c r="BD898" s="4"/>
      <c r="BE898" s="4"/>
      <c r="BF898" s="4"/>
      <c r="BG898" s="4"/>
      <c r="BH898" s="4"/>
      <c r="BI898" s="567"/>
    </row>
    <row r="899" spans="1:61" ht="12.75" customHeight="1" x14ac:dyDescent="0.25">
      <c r="A899" s="4"/>
      <c r="B899" s="4"/>
      <c r="C899" s="4"/>
      <c r="D899" s="4"/>
      <c r="E899" s="128"/>
      <c r="F899" s="128"/>
      <c r="G899" s="753"/>
      <c r="H899" s="128"/>
      <c r="I899" s="128"/>
      <c r="J899" s="130"/>
      <c r="K899" s="128"/>
      <c r="L899" s="128"/>
      <c r="M899" s="130"/>
      <c r="N899" s="130"/>
      <c r="O899" s="130"/>
      <c r="P899" s="128"/>
      <c r="Q899" s="128"/>
      <c r="R899" s="128"/>
      <c r="S899" s="298"/>
      <c r="T899" s="4"/>
      <c r="U899" s="4"/>
      <c r="V899" s="4"/>
      <c r="W899" s="4"/>
      <c r="X899" s="4"/>
      <c r="Y899" s="128"/>
      <c r="Z899" s="128"/>
      <c r="AA899" s="128"/>
      <c r="AB899" s="4"/>
      <c r="AC899" s="4"/>
      <c r="AD899" s="4"/>
      <c r="AE899" s="4"/>
      <c r="AF899" s="4"/>
      <c r="AG899" s="4"/>
      <c r="AH899" s="4"/>
      <c r="AI899" s="4"/>
      <c r="AJ899" s="246"/>
      <c r="AK899" s="246"/>
      <c r="AL899" s="129"/>
      <c r="AM899" s="129"/>
      <c r="AN899" s="129"/>
      <c r="AO899" s="246"/>
      <c r="AP899" s="246"/>
      <c r="AQ899" s="249"/>
      <c r="AR899" s="4"/>
      <c r="AS899" s="4"/>
      <c r="AT899" s="4"/>
      <c r="AU899" s="4"/>
      <c r="AV899" s="4"/>
      <c r="AW899" s="4"/>
      <c r="AX899" s="4"/>
      <c r="AY899" s="128"/>
      <c r="AZ899" s="4"/>
      <c r="BA899" s="4"/>
      <c r="BB899" s="4"/>
      <c r="BC899" s="4"/>
      <c r="BD899" s="4"/>
      <c r="BE899" s="4"/>
      <c r="BF899" s="4"/>
      <c r="BG899" s="4"/>
      <c r="BH899" s="4"/>
      <c r="BI899" s="567"/>
    </row>
    <row r="900" spans="1:61" ht="12.75" customHeight="1" x14ac:dyDescent="0.25">
      <c r="A900" s="4"/>
      <c r="B900" s="4"/>
      <c r="C900" s="4"/>
      <c r="D900" s="4"/>
      <c r="E900" s="128"/>
      <c r="F900" s="128"/>
      <c r="G900" s="753"/>
      <c r="H900" s="128"/>
      <c r="I900" s="128"/>
      <c r="J900" s="130"/>
      <c r="K900" s="128"/>
      <c r="L900" s="128"/>
      <c r="M900" s="130"/>
      <c r="N900" s="130"/>
      <c r="O900" s="130"/>
      <c r="P900" s="128"/>
      <c r="Q900" s="128"/>
      <c r="R900" s="128"/>
      <c r="S900" s="298"/>
      <c r="T900" s="4"/>
      <c r="U900" s="4"/>
      <c r="V900" s="4"/>
      <c r="W900" s="4"/>
      <c r="X900" s="4"/>
      <c r="Y900" s="128"/>
      <c r="Z900" s="128"/>
      <c r="AA900" s="128"/>
      <c r="AB900" s="4"/>
      <c r="AC900" s="4"/>
      <c r="AD900" s="4"/>
      <c r="AE900" s="4"/>
      <c r="AF900" s="4"/>
      <c r="AG900" s="4"/>
      <c r="AH900" s="4"/>
      <c r="AI900" s="4"/>
      <c r="AJ900" s="246"/>
      <c r="AK900" s="246"/>
      <c r="AL900" s="129"/>
      <c r="AM900" s="129"/>
      <c r="AN900" s="129"/>
      <c r="AO900" s="246"/>
      <c r="AP900" s="246"/>
      <c r="AQ900" s="249"/>
      <c r="AR900" s="4"/>
      <c r="AS900" s="4"/>
      <c r="AT900" s="4"/>
      <c r="AU900" s="4"/>
      <c r="AV900" s="4"/>
      <c r="AW900" s="4"/>
      <c r="AX900" s="4"/>
      <c r="AY900" s="128"/>
      <c r="AZ900" s="4"/>
      <c r="BA900" s="4"/>
      <c r="BB900" s="4"/>
      <c r="BC900" s="4"/>
      <c r="BD900" s="4"/>
      <c r="BE900" s="4"/>
      <c r="BF900" s="4"/>
      <c r="BG900" s="4"/>
      <c r="BH900" s="4"/>
      <c r="BI900" s="567"/>
    </row>
    <row r="901" spans="1:61" ht="12.75" customHeight="1" x14ac:dyDescent="0.25">
      <c r="A901" s="4"/>
      <c r="B901" s="4"/>
      <c r="C901" s="4"/>
      <c r="D901" s="4"/>
      <c r="E901" s="128"/>
      <c r="F901" s="128"/>
      <c r="G901" s="753"/>
      <c r="H901" s="128"/>
      <c r="I901" s="128"/>
      <c r="J901" s="130"/>
      <c r="K901" s="128"/>
      <c r="L901" s="128"/>
      <c r="M901" s="130"/>
      <c r="N901" s="130"/>
      <c r="O901" s="130"/>
      <c r="P901" s="128"/>
      <c r="Q901" s="128"/>
      <c r="R901" s="128"/>
      <c r="S901" s="298"/>
      <c r="T901" s="4"/>
      <c r="U901" s="4"/>
      <c r="V901" s="4"/>
      <c r="W901" s="4"/>
      <c r="X901" s="4"/>
      <c r="Y901" s="128"/>
      <c r="Z901" s="128"/>
      <c r="AA901" s="128"/>
      <c r="AB901" s="4"/>
      <c r="AC901" s="4"/>
      <c r="AD901" s="4"/>
      <c r="AE901" s="4"/>
      <c r="AF901" s="4"/>
      <c r="AG901" s="4"/>
      <c r="AH901" s="4"/>
      <c r="AI901" s="4"/>
      <c r="AJ901" s="246"/>
      <c r="AK901" s="246"/>
      <c r="AL901" s="129"/>
      <c r="AM901" s="129"/>
      <c r="AN901" s="129"/>
      <c r="AO901" s="246"/>
      <c r="AP901" s="246"/>
      <c r="AQ901" s="249"/>
      <c r="AR901" s="4"/>
      <c r="AS901" s="4"/>
      <c r="AT901" s="4"/>
      <c r="AU901" s="4"/>
      <c r="AV901" s="4"/>
      <c r="AW901" s="4"/>
      <c r="AX901" s="4"/>
      <c r="AY901" s="128"/>
      <c r="AZ901" s="4"/>
      <c r="BA901" s="4"/>
      <c r="BB901" s="4"/>
      <c r="BC901" s="4"/>
      <c r="BD901" s="4"/>
      <c r="BE901" s="4"/>
      <c r="BF901" s="4"/>
      <c r="BG901" s="4"/>
      <c r="BH901" s="4"/>
      <c r="BI901" s="567"/>
    </row>
    <row r="902" spans="1:61" ht="12.75" customHeight="1" x14ac:dyDescent="0.25">
      <c r="A902" s="4"/>
      <c r="B902" s="4"/>
      <c r="C902" s="4"/>
      <c r="D902" s="4"/>
      <c r="E902" s="128"/>
      <c r="F902" s="128"/>
      <c r="G902" s="753"/>
      <c r="H902" s="128"/>
      <c r="I902" s="128"/>
      <c r="J902" s="130"/>
      <c r="K902" s="128"/>
      <c r="L902" s="128"/>
      <c r="M902" s="130"/>
      <c r="N902" s="130"/>
      <c r="O902" s="130"/>
      <c r="P902" s="128"/>
      <c r="Q902" s="128"/>
      <c r="R902" s="128"/>
      <c r="S902" s="298"/>
      <c r="T902" s="4"/>
      <c r="U902" s="4"/>
      <c r="V902" s="4"/>
      <c r="W902" s="4"/>
      <c r="X902" s="4"/>
      <c r="Y902" s="128"/>
      <c r="Z902" s="128"/>
      <c r="AA902" s="128"/>
      <c r="AB902" s="4"/>
      <c r="AC902" s="4"/>
      <c r="AD902" s="4"/>
      <c r="AE902" s="4"/>
      <c r="AF902" s="4"/>
      <c r="AG902" s="4"/>
      <c r="AH902" s="4"/>
      <c r="AI902" s="4"/>
      <c r="AJ902" s="246"/>
      <c r="AK902" s="246"/>
      <c r="AL902" s="129"/>
      <c r="AM902" s="129"/>
      <c r="AN902" s="129"/>
      <c r="AO902" s="246"/>
      <c r="AP902" s="246"/>
      <c r="AQ902" s="249"/>
      <c r="AR902" s="4"/>
      <c r="AS902" s="4"/>
      <c r="AT902" s="4"/>
      <c r="AU902" s="4"/>
      <c r="AV902" s="4"/>
      <c r="AW902" s="4"/>
      <c r="AX902" s="4"/>
      <c r="AY902" s="128"/>
      <c r="AZ902" s="4"/>
      <c r="BA902" s="4"/>
      <c r="BB902" s="4"/>
      <c r="BC902" s="4"/>
      <c r="BD902" s="4"/>
      <c r="BE902" s="4"/>
      <c r="BF902" s="4"/>
      <c r="BG902" s="4"/>
      <c r="BH902" s="4"/>
      <c r="BI902" s="567"/>
    </row>
    <row r="903" spans="1:61" ht="12.75" customHeight="1" x14ac:dyDescent="0.25">
      <c r="A903" s="4"/>
      <c r="B903" s="4"/>
      <c r="C903" s="4"/>
      <c r="D903" s="4"/>
      <c r="E903" s="128"/>
      <c r="F903" s="128"/>
      <c r="G903" s="753"/>
      <c r="H903" s="128"/>
      <c r="I903" s="128"/>
      <c r="J903" s="130"/>
      <c r="K903" s="128"/>
      <c r="L903" s="128"/>
      <c r="M903" s="130"/>
      <c r="N903" s="130"/>
      <c r="O903" s="130"/>
      <c r="P903" s="128"/>
      <c r="Q903" s="128"/>
      <c r="R903" s="128"/>
      <c r="S903" s="298"/>
      <c r="T903" s="4"/>
      <c r="U903" s="4"/>
      <c r="V903" s="4"/>
      <c r="W903" s="4"/>
      <c r="X903" s="4"/>
      <c r="Y903" s="128"/>
      <c r="Z903" s="128"/>
      <c r="AA903" s="128"/>
      <c r="AB903" s="4"/>
      <c r="AC903" s="4"/>
      <c r="AD903" s="4"/>
      <c r="AE903" s="4"/>
      <c r="AF903" s="4"/>
      <c r="AG903" s="4"/>
      <c r="AH903" s="4"/>
      <c r="AI903" s="4"/>
      <c r="AJ903" s="246"/>
      <c r="AK903" s="246"/>
      <c r="AL903" s="129"/>
      <c r="AM903" s="129"/>
      <c r="AN903" s="129"/>
      <c r="AO903" s="246"/>
      <c r="AP903" s="246"/>
      <c r="AQ903" s="249"/>
      <c r="AR903" s="4"/>
      <c r="AS903" s="4"/>
      <c r="AT903" s="4"/>
      <c r="AU903" s="4"/>
      <c r="AV903" s="4"/>
      <c r="AW903" s="4"/>
      <c r="AX903" s="4"/>
      <c r="AY903" s="128"/>
      <c r="AZ903" s="4"/>
      <c r="BA903" s="4"/>
      <c r="BB903" s="4"/>
      <c r="BC903" s="4"/>
      <c r="BD903" s="4"/>
      <c r="BE903" s="4"/>
      <c r="BF903" s="4"/>
      <c r="BG903" s="4"/>
      <c r="BH903" s="4"/>
      <c r="BI903" s="567"/>
    </row>
    <row r="904" spans="1:61" ht="12.75" customHeight="1" x14ac:dyDescent="0.25">
      <c r="A904" s="4"/>
      <c r="B904" s="4"/>
      <c r="C904" s="4"/>
      <c r="D904" s="4"/>
      <c r="E904" s="128"/>
      <c r="F904" s="128"/>
      <c r="G904" s="753"/>
      <c r="H904" s="128"/>
      <c r="I904" s="128"/>
      <c r="J904" s="130"/>
      <c r="K904" s="128"/>
      <c r="L904" s="128"/>
      <c r="M904" s="130"/>
      <c r="N904" s="130"/>
      <c r="O904" s="130"/>
      <c r="P904" s="128"/>
      <c r="Q904" s="128"/>
      <c r="R904" s="128"/>
      <c r="S904" s="298"/>
      <c r="T904" s="4"/>
      <c r="U904" s="4"/>
      <c r="V904" s="4"/>
      <c r="W904" s="4"/>
      <c r="X904" s="4"/>
      <c r="Y904" s="128"/>
      <c r="Z904" s="128"/>
      <c r="AA904" s="128"/>
      <c r="AB904" s="4"/>
      <c r="AC904" s="4"/>
      <c r="AD904" s="4"/>
      <c r="AE904" s="4"/>
      <c r="AF904" s="4"/>
      <c r="AG904" s="4"/>
      <c r="AH904" s="4"/>
      <c r="AI904" s="4"/>
      <c r="AJ904" s="246"/>
      <c r="AK904" s="246"/>
      <c r="AL904" s="129"/>
      <c r="AM904" s="129"/>
      <c r="AN904" s="129"/>
      <c r="AO904" s="246"/>
      <c r="AP904" s="246"/>
      <c r="AQ904" s="249"/>
      <c r="AR904" s="4"/>
      <c r="AS904" s="4"/>
      <c r="AT904" s="4"/>
      <c r="AU904" s="4"/>
      <c r="AV904" s="4"/>
      <c r="AW904" s="4"/>
      <c r="AX904" s="4"/>
      <c r="AY904" s="128"/>
      <c r="AZ904" s="4"/>
      <c r="BA904" s="4"/>
      <c r="BB904" s="4"/>
      <c r="BC904" s="4"/>
      <c r="BD904" s="4"/>
      <c r="BE904" s="4"/>
      <c r="BF904" s="4"/>
      <c r="BG904" s="4"/>
      <c r="BH904" s="4"/>
      <c r="BI904" s="567"/>
    </row>
    <row r="905" spans="1:61" ht="12.75" customHeight="1" x14ac:dyDescent="0.25">
      <c r="A905" s="4"/>
      <c r="B905" s="4"/>
      <c r="C905" s="4"/>
      <c r="D905" s="4"/>
      <c r="E905" s="128"/>
      <c r="F905" s="128"/>
      <c r="G905" s="753"/>
      <c r="H905" s="128"/>
      <c r="I905" s="128"/>
      <c r="J905" s="130"/>
      <c r="K905" s="128"/>
      <c r="L905" s="128"/>
      <c r="M905" s="130"/>
      <c r="N905" s="130"/>
      <c r="O905" s="130"/>
      <c r="P905" s="128"/>
      <c r="Q905" s="128"/>
      <c r="R905" s="128"/>
      <c r="S905" s="298"/>
      <c r="T905" s="4"/>
      <c r="U905" s="4"/>
      <c r="V905" s="4"/>
      <c r="W905" s="4"/>
      <c r="X905" s="4"/>
      <c r="Y905" s="128"/>
      <c r="Z905" s="128"/>
      <c r="AA905" s="128"/>
      <c r="AB905" s="4"/>
      <c r="AC905" s="4"/>
      <c r="AD905" s="4"/>
      <c r="AE905" s="4"/>
      <c r="AF905" s="4"/>
      <c r="AG905" s="4"/>
      <c r="AH905" s="4"/>
      <c r="AI905" s="4"/>
      <c r="AJ905" s="246"/>
      <c r="AK905" s="246"/>
      <c r="AL905" s="129"/>
      <c r="AM905" s="129"/>
      <c r="AN905" s="129"/>
      <c r="AO905" s="246"/>
      <c r="AP905" s="246"/>
      <c r="AQ905" s="249"/>
      <c r="AR905" s="4"/>
      <c r="AS905" s="4"/>
      <c r="AT905" s="4"/>
      <c r="AU905" s="4"/>
      <c r="AV905" s="4"/>
      <c r="AW905" s="4"/>
      <c r="AX905" s="4"/>
      <c r="AY905" s="128"/>
      <c r="AZ905" s="4"/>
      <c r="BA905" s="4"/>
      <c r="BB905" s="4"/>
      <c r="BC905" s="4"/>
      <c r="BD905" s="4"/>
      <c r="BE905" s="4"/>
      <c r="BF905" s="4"/>
      <c r="BG905" s="4"/>
      <c r="BH905" s="4"/>
      <c r="BI905" s="567"/>
    </row>
    <row r="906" spans="1:61" ht="12.75" customHeight="1" x14ac:dyDescent="0.25">
      <c r="A906" s="4"/>
      <c r="B906" s="4"/>
      <c r="C906" s="4"/>
      <c r="D906" s="4"/>
      <c r="E906" s="128"/>
      <c r="F906" s="128"/>
      <c r="G906" s="753"/>
      <c r="H906" s="128"/>
      <c r="I906" s="128"/>
      <c r="J906" s="130"/>
      <c r="K906" s="128"/>
      <c r="L906" s="128"/>
      <c r="M906" s="130"/>
      <c r="N906" s="130"/>
      <c r="O906" s="130"/>
      <c r="P906" s="128"/>
      <c r="Q906" s="128"/>
      <c r="R906" s="128"/>
      <c r="S906" s="298"/>
      <c r="T906" s="4"/>
      <c r="U906" s="4"/>
      <c r="V906" s="4"/>
      <c r="W906" s="4"/>
      <c r="X906" s="4"/>
      <c r="Y906" s="128"/>
      <c r="Z906" s="128"/>
      <c r="AA906" s="128"/>
      <c r="AB906" s="4"/>
      <c r="AC906" s="4"/>
      <c r="AD906" s="4"/>
      <c r="AE906" s="4"/>
      <c r="AF906" s="4"/>
      <c r="AG906" s="4"/>
      <c r="AH906" s="4"/>
      <c r="AI906" s="4"/>
      <c r="AJ906" s="246"/>
      <c r="AK906" s="246"/>
      <c r="AL906" s="129"/>
      <c r="AM906" s="129"/>
      <c r="AN906" s="129"/>
      <c r="AO906" s="246"/>
      <c r="AP906" s="246"/>
      <c r="AQ906" s="249"/>
      <c r="AR906" s="4"/>
      <c r="AS906" s="4"/>
      <c r="AT906" s="4"/>
      <c r="AU906" s="4"/>
      <c r="AV906" s="4"/>
      <c r="AW906" s="4"/>
      <c r="AX906" s="4"/>
      <c r="AY906" s="128"/>
      <c r="AZ906" s="4"/>
      <c r="BA906" s="4"/>
      <c r="BB906" s="4"/>
      <c r="BC906" s="4"/>
      <c r="BD906" s="4"/>
      <c r="BE906" s="4"/>
      <c r="BF906" s="4"/>
      <c r="BG906" s="4"/>
      <c r="BH906" s="4"/>
      <c r="BI906" s="567"/>
    </row>
    <row r="907" spans="1:61" ht="12.75" customHeight="1" x14ac:dyDescent="0.25">
      <c r="A907" s="4"/>
      <c r="B907" s="4"/>
      <c r="C907" s="4"/>
      <c r="D907" s="4"/>
      <c r="E907" s="128"/>
      <c r="F907" s="128"/>
      <c r="G907" s="753"/>
      <c r="H907" s="128"/>
      <c r="I907" s="128"/>
      <c r="J907" s="130"/>
      <c r="K907" s="128"/>
      <c r="L907" s="128"/>
      <c r="M907" s="130"/>
      <c r="N907" s="130"/>
      <c r="O907" s="130"/>
      <c r="P907" s="128"/>
      <c r="Q907" s="128"/>
      <c r="R907" s="128"/>
      <c r="S907" s="298"/>
      <c r="T907" s="4"/>
      <c r="U907" s="4"/>
      <c r="V907" s="4"/>
      <c r="W907" s="4"/>
      <c r="X907" s="4"/>
      <c r="Y907" s="128"/>
      <c r="Z907" s="128"/>
      <c r="AA907" s="128"/>
      <c r="AB907" s="4"/>
      <c r="AC907" s="4"/>
      <c r="AD907" s="4"/>
      <c r="AE907" s="4"/>
      <c r="AF907" s="4"/>
      <c r="AG907" s="4"/>
      <c r="AH907" s="4"/>
      <c r="AI907" s="4"/>
      <c r="AJ907" s="246"/>
      <c r="AK907" s="246"/>
      <c r="AL907" s="129"/>
      <c r="AM907" s="129"/>
      <c r="AN907" s="129"/>
      <c r="AO907" s="246"/>
      <c r="AP907" s="246"/>
      <c r="AQ907" s="249"/>
      <c r="AR907" s="4"/>
      <c r="AS907" s="4"/>
      <c r="AT907" s="4"/>
      <c r="AU907" s="4"/>
      <c r="AV907" s="4"/>
      <c r="AW907" s="4"/>
      <c r="AX907" s="4"/>
      <c r="AY907" s="128"/>
      <c r="AZ907" s="4"/>
      <c r="BA907" s="4"/>
      <c r="BB907" s="4"/>
      <c r="BC907" s="4"/>
      <c r="BD907" s="4"/>
      <c r="BE907" s="4"/>
      <c r="BF907" s="4"/>
      <c r="BG907" s="4"/>
      <c r="BH907" s="4"/>
      <c r="BI907" s="567"/>
    </row>
    <row r="908" spans="1:61" ht="12.75" customHeight="1" x14ac:dyDescent="0.25">
      <c r="A908" s="4"/>
      <c r="B908" s="4"/>
      <c r="C908" s="4"/>
      <c r="D908" s="4"/>
      <c r="E908" s="128"/>
      <c r="F908" s="128"/>
      <c r="G908" s="753"/>
      <c r="H908" s="128"/>
      <c r="I908" s="128"/>
      <c r="J908" s="130"/>
      <c r="K908" s="128"/>
      <c r="L908" s="128"/>
      <c r="M908" s="130"/>
      <c r="N908" s="130"/>
      <c r="O908" s="130"/>
      <c r="P908" s="128"/>
      <c r="Q908" s="128"/>
      <c r="R908" s="128"/>
      <c r="S908" s="298"/>
      <c r="T908" s="4"/>
      <c r="U908" s="4"/>
      <c r="V908" s="4"/>
      <c r="W908" s="4"/>
      <c r="X908" s="4"/>
      <c r="Y908" s="128"/>
      <c r="Z908" s="128"/>
      <c r="AA908" s="128"/>
      <c r="AB908" s="4"/>
      <c r="AC908" s="4"/>
      <c r="AD908" s="4"/>
      <c r="AE908" s="4"/>
      <c r="AF908" s="4"/>
      <c r="AG908" s="4"/>
      <c r="AH908" s="4"/>
      <c r="AI908" s="4"/>
      <c r="AJ908" s="246"/>
      <c r="AK908" s="246"/>
      <c r="AL908" s="129"/>
      <c r="AM908" s="129"/>
      <c r="AN908" s="129"/>
      <c r="AO908" s="246"/>
      <c r="AP908" s="246"/>
      <c r="AQ908" s="249"/>
      <c r="AR908" s="4"/>
      <c r="AS908" s="4"/>
      <c r="AT908" s="4"/>
      <c r="AU908" s="4"/>
      <c r="AV908" s="4"/>
      <c r="AW908" s="4"/>
      <c r="AX908" s="4"/>
      <c r="AY908" s="128"/>
      <c r="AZ908" s="4"/>
      <c r="BA908" s="4"/>
      <c r="BB908" s="4"/>
      <c r="BC908" s="4"/>
      <c r="BD908" s="4"/>
      <c r="BE908" s="4"/>
      <c r="BF908" s="4"/>
      <c r="BG908" s="4"/>
      <c r="BH908" s="4"/>
      <c r="BI908" s="567"/>
    </row>
    <row r="909" spans="1:61" ht="12.75" customHeight="1" x14ac:dyDescent="0.25">
      <c r="A909" s="4"/>
      <c r="B909" s="4"/>
      <c r="C909" s="4"/>
      <c r="D909" s="4"/>
      <c r="E909" s="128"/>
      <c r="F909" s="128"/>
      <c r="G909" s="753"/>
      <c r="H909" s="128"/>
      <c r="I909" s="128"/>
      <c r="J909" s="130"/>
      <c r="K909" s="128"/>
      <c r="L909" s="128"/>
      <c r="M909" s="130"/>
      <c r="N909" s="130"/>
      <c r="O909" s="130"/>
      <c r="P909" s="128"/>
      <c r="Q909" s="128"/>
      <c r="R909" s="128"/>
      <c r="S909" s="298"/>
      <c r="T909" s="4"/>
      <c r="U909" s="4"/>
      <c r="V909" s="4"/>
      <c r="W909" s="4"/>
      <c r="X909" s="4"/>
      <c r="Y909" s="128"/>
      <c r="Z909" s="128"/>
      <c r="AA909" s="128"/>
      <c r="AB909" s="4"/>
      <c r="AC909" s="4"/>
      <c r="AD909" s="4"/>
      <c r="AE909" s="4"/>
      <c r="AF909" s="4"/>
      <c r="AG909" s="4"/>
      <c r="AH909" s="4"/>
      <c r="AI909" s="4"/>
      <c r="AJ909" s="246"/>
      <c r="AK909" s="246"/>
      <c r="AL909" s="129"/>
      <c r="AM909" s="129"/>
      <c r="AN909" s="129"/>
      <c r="AO909" s="246"/>
      <c r="AP909" s="246"/>
      <c r="AQ909" s="249"/>
      <c r="AR909" s="4"/>
      <c r="AS909" s="4"/>
      <c r="AT909" s="4"/>
      <c r="AU909" s="4"/>
      <c r="AV909" s="4"/>
      <c r="AW909" s="4"/>
      <c r="AX909" s="4"/>
      <c r="AY909" s="128"/>
      <c r="AZ909" s="4"/>
      <c r="BA909" s="4"/>
      <c r="BB909" s="4"/>
      <c r="BC909" s="4"/>
      <c r="BD909" s="4"/>
      <c r="BE909" s="4"/>
      <c r="BF909" s="4"/>
      <c r="BG909" s="4"/>
      <c r="BH909" s="4"/>
      <c r="BI909" s="567"/>
    </row>
    <row r="910" spans="1:61" ht="12.75" customHeight="1" x14ac:dyDescent="0.25">
      <c r="A910" s="4"/>
      <c r="B910" s="4"/>
      <c r="C910" s="4"/>
      <c r="D910" s="4"/>
      <c r="E910" s="128"/>
      <c r="F910" s="128"/>
      <c r="G910" s="753"/>
      <c r="H910" s="128"/>
      <c r="I910" s="128"/>
      <c r="J910" s="130"/>
      <c r="K910" s="128"/>
      <c r="L910" s="128"/>
      <c r="M910" s="130"/>
      <c r="N910" s="130"/>
      <c r="O910" s="130"/>
      <c r="P910" s="128"/>
      <c r="Q910" s="128"/>
      <c r="R910" s="128"/>
      <c r="S910" s="298"/>
      <c r="T910" s="4"/>
      <c r="U910" s="4"/>
      <c r="V910" s="4"/>
      <c r="W910" s="4"/>
      <c r="X910" s="4"/>
      <c r="Y910" s="128"/>
      <c r="Z910" s="128"/>
      <c r="AA910" s="128"/>
      <c r="AB910" s="4"/>
      <c r="AC910" s="4"/>
      <c r="AD910" s="4"/>
      <c r="AE910" s="4"/>
      <c r="AF910" s="4"/>
      <c r="AG910" s="4"/>
      <c r="AH910" s="4"/>
      <c r="AI910" s="4"/>
      <c r="AJ910" s="246"/>
      <c r="AK910" s="246"/>
      <c r="AL910" s="129"/>
      <c r="AM910" s="129"/>
      <c r="AN910" s="129"/>
      <c r="AO910" s="246"/>
      <c r="AP910" s="246"/>
      <c r="AQ910" s="249"/>
      <c r="AR910" s="4"/>
      <c r="AS910" s="4"/>
      <c r="AT910" s="4"/>
      <c r="AU910" s="4"/>
      <c r="AV910" s="4"/>
      <c r="AW910" s="4"/>
      <c r="AX910" s="4"/>
      <c r="AY910" s="128"/>
      <c r="AZ910" s="4"/>
      <c r="BA910" s="4"/>
      <c r="BB910" s="4"/>
      <c r="BC910" s="4"/>
      <c r="BD910" s="4"/>
      <c r="BE910" s="4"/>
      <c r="BF910" s="4"/>
      <c r="BG910" s="4"/>
      <c r="BH910" s="4"/>
      <c r="BI910" s="567"/>
    </row>
    <row r="911" spans="1:61" ht="12.75" customHeight="1" x14ac:dyDescent="0.25">
      <c r="A911" s="4"/>
      <c r="B911" s="4"/>
      <c r="C911" s="4"/>
      <c r="D911" s="4"/>
      <c r="E911" s="128"/>
      <c r="F911" s="128"/>
      <c r="G911" s="753"/>
      <c r="H911" s="128"/>
      <c r="I911" s="128"/>
      <c r="J911" s="130"/>
      <c r="K911" s="128"/>
      <c r="L911" s="128"/>
      <c r="M911" s="130"/>
      <c r="N911" s="130"/>
      <c r="O911" s="130"/>
      <c r="P911" s="128"/>
      <c r="Q911" s="128"/>
      <c r="R911" s="128"/>
      <c r="S911" s="298"/>
      <c r="T911" s="4"/>
      <c r="U911" s="4"/>
      <c r="V911" s="4"/>
      <c r="W911" s="4"/>
      <c r="X911" s="4"/>
      <c r="Y911" s="128"/>
      <c r="Z911" s="128"/>
      <c r="AA911" s="128"/>
      <c r="AB911" s="4"/>
      <c r="AC911" s="4"/>
      <c r="AD911" s="4"/>
      <c r="AE911" s="4"/>
      <c r="AF911" s="4"/>
      <c r="AG911" s="4"/>
      <c r="AH911" s="4"/>
      <c r="AI911" s="4"/>
      <c r="AJ911" s="246"/>
      <c r="AK911" s="246"/>
      <c r="AL911" s="129"/>
      <c r="AM911" s="129"/>
      <c r="AN911" s="129"/>
      <c r="AO911" s="246"/>
      <c r="AP911" s="246"/>
      <c r="AQ911" s="249"/>
      <c r="AR911" s="4"/>
      <c r="AS911" s="4"/>
      <c r="AT911" s="4"/>
      <c r="AU911" s="4"/>
      <c r="AV911" s="4"/>
      <c r="AW911" s="4"/>
      <c r="AX911" s="4"/>
      <c r="AY911" s="128"/>
      <c r="AZ911" s="4"/>
      <c r="BA911" s="4"/>
      <c r="BB911" s="4"/>
      <c r="BC911" s="4"/>
      <c r="BD911" s="4"/>
      <c r="BE911" s="4"/>
      <c r="BF911" s="4"/>
      <c r="BG911" s="4"/>
      <c r="BH911" s="4"/>
      <c r="BI911" s="567"/>
    </row>
    <row r="912" spans="1:61" ht="12.75" customHeight="1" x14ac:dyDescent="0.25">
      <c r="A912" s="4"/>
      <c r="B912" s="4"/>
      <c r="C912" s="4"/>
      <c r="D912" s="4"/>
      <c r="E912" s="128"/>
      <c r="F912" s="128"/>
      <c r="G912" s="753"/>
      <c r="H912" s="128"/>
      <c r="I912" s="128"/>
      <c r="J912" s="130"/>
      <c r="K912" s="128"/>
      <c r="L912" s="128"/>
      <c r="M912" s="130"/>
      <c r="N912" s="130"/>
      <c r="O912" s="130"/>
      <c r="P912" s="128"/>
      <c r="Q912" s="128"/>
      <c r="R912" s="128"/>
      <c r="S912" s="298"/>
      <c r="T912" s="4"/>
      <c r="U912" s="4"/>
      <c r="V912" s="4"/>
      <c r="W912" s="4"/>
      <c r="X912" s="4"/>
      <c r="Y912" s="128"/>
      <c r="Z912" s="128"/>
      <c r="AA912" s="128"/>
      <c r="AB912" s="4"/>
      <c r="AC912" s="4"/>
      <c r="AD912" s="4"/>
      <c r="AE912" s="4"/>
      <c r="AF912" s="4"/>
      <c r="AG912" s="4"/>
      <c r="AH912" s="4"/>
      <c r="AI912" s="4"/>
      <c r="AJ912" s="246"/>
      <c r="AK912" s="246"/>
      <c r="AL912" s="129"/>
      <c r="AM912" s="129"/>
      <c r="AN912" s="129"/>
      <c r="AO912" s="246"/>
      <c r="AP912" s="246"/>
      <c r="AQ912" s="249"/>
      <c r="AR912" s="4"/>
      <c r="AS912" s="4"/>
      <c r="AT912" s="4"/>
      <c r="AU912" s="4"/>
      <c r="AV912" s="4"/>
      <c r="AW912" s="4"/>
      <c r="AX912" s="4"/>
      <c r="AY912" s="128"/>
      <c r="AZ912" s="4"/>
      <c r="BA912" s="4"/>
      <c r="BB912" s="4"/>
      <c r="BC912" s="4"/>
      <c r="BD912" s="4"/>
      <c r="BE912" s="4"/>
      <c r="BF912" s="4"/>
      <c r="BG912" s="4"/>
      <c r="BH912" s="4"/>
      <c r="BI912" s="567"/>
    </row>
    <row r="913" spans="1:61" ht="12.75" customHeight="1" x14ac:dyDescent="0.25">
      <c r="A913" s="4"/>
      <c r="B913" s="4"/>
      <c r="C913" s="4"/>
      <c r="D913" s="4"/>
      <c r="E913" s="128"/>
      <c r="F913" s="128"/>
      <c r="G913" s="753"/>
      <c r="H913" s="128"/>
      <c r="I913" s="128"/>
      <c r="J913" s="130"/>
      <c r="K913" s="128"/>
      <c r="L913" s="128"/>
      <c r="M913" s="130"/>
      <c r="N913" s="130"/>
      <c r="O913" s="130"/>
      <c r="P913" s="128"/>
      <c r="Q913" s="128"/>
      <c r="R913" s="128"/>
      <c r="S913" s="298"/>
      <c r="T913" s="4"/>
      <c r="U913" s="4"/>
      <c r="V913" s="4"/>
      <c r="W913" s="4"/>
      <c r="X913" s="4"/>
      <c r="Y913" s="128"/>
      <c r="Z913" s="128"/>
      <c r="AA913" s="128"/>
      <c r="AB913" s="4"/>
      <c r="AC913" s="4"/>
      <c r="AD913" s="4"/>
      <c r="AE913" s="4"/>
      <c r="AF913" s="4"/>
      <c r="AG913" s="4"/>
      <c r="AH913" s="4"/>
      <c r="AI913" s="4"/>
      <c r="AJ913" s="246"/>
      <c r="AK913" s="246"/>
      <c r="AL913" s="129"/>
      <c r="AM913" s="129"/>
      <c r="AN913" s="129"/>
      <c r="AO913" s="246"/>
      <c r="AP913" s="246"/>
      <c r="AQ913" s="249"/>
      <c r="AR913" s="4"/>
      <c r="AS913" s="4"/>
      <c r="AT913" s="4"/>
      <c r="AU913" s="4"/>
      <c r="AV913" s="4"/>
      <c r="AW913" s="4"/>
      <c r="AX913" s="4"/>
      <c r="AY913" s="128"/>
      <c r="AZ913" s="4"/>
      <c r="BA913" s="4"/>
      <c r="BB913" s="4"/>
      <c r="BC913" s="4"/>
      <c r="BD913" s="4"/>
      <c r="BE913" s="4"/>
      <c r="BF913" s="4"/>
      <c r="BG913" s="4"/>
      <c r="BH913" s="4"/>
      <c r="BI913" s="567"/>
    </row>
    <row r="914" spans="1:61" ht="12.75" customHeight="1" x14ac:dyDescent="0.25">
      <c r="A914" s="4"/>
      <c r="B914" s="4"/>
      <c r="C914" s="4"/>
      <c r="D914" s="4"/>
      <c r="E914" s="128"/>
      <c r="F914" s="128"/>
      <c r="G914" s="753"/>
      <c r="H914" s="128"/>
      <c r="I914" s="128"/>
      <c r="J914" s="130"/>
      <c r="K914" s="128"/>
      <c r="L914" s="128"/>
      <c r="M914" s="130"/>
      <c r="N914" s="130"/>
      <c r="O914" s="130"/>
      <c r="P914" s="128"/>
      <c r="Q914" s="128"/>
      <c r="R914" s="128"/>
      <c r="S914" s="298"/>
      <c r="T914" s="4"/>
      <c r="U914" s="4"/>
      <c r="V914" s="4"/>
      <c r="W914" s="4"/>
      <c r="X914" s="4"/>
      <c r="Y914" s="128"/>
      <c r="Z914" s="128"/>
      <c r="AA914" s="128"/>
      <c r="AB914" s="4"/>
      <c r="AC914" s="4"/>
      <c r="AD914" s="4"/>
      <c r="AE914" s="4"/>
      <c r="AF914" s="4"/>
      <c r="AG914" s="4"/>
      <c r="AH914" s="4"/>
      <c r="AI914" s="4"/>
      <c r="AJ914" s="246"/>
      <c r="AK914" s="246"/>
      <c r="AL914" s="129"/>
      <c r="AM914" s="129"/>
      <c r="AN914" s="129"/>
      <c r="AO914" s="246"/>
      <c r="AP914" s="246"/>
      <c r="AQ914" s="249"/>
      <c r="AR914" s="4"/>
      <c r="AS914" s="4"/>
      <c r="AT914" s="4"/>
      <c r="AU914" s="4"/>
      <c r="AV914" s="4"/>
      <c r="AW914" s="4"/>
      <c r="AX914" s="4"/>
      <c r="AY914" s="128"/>
      <c r="AZ914" s="4"/>
      <c r="BA914" s="4"/>
      <c r="BB914" s="4"/>
      <c r="BC914" s="4"/>
      <c r="BD914" s="4"/>
      <c r="BE914" s="4"/>
      <c r="BF914" s="4"/>
      <c r="BG914" s="4"/>
      <c r="BH914" s="4"/>
      <c r="BI914" s="567"/>
    </row>
    <row r="915" spans="1:61" ht="12.75" customHeight="1" x14ac:dyDescent="0.25">
      <c r="A915" s="4"/>
      <c r="B915" s="4"/>
      <c r="C915" s="4"/>
      <c r="D915" s="4"/>
      <c r="E915" s="128"/>
      <c r="F915" s="128"/>
      <c r="G915" s="753"/>
      <c r="H915" s="128"/>
      <c r="I915" s="128"/>
      <c r="J915" s="130"/>
      <c r="K915" s="128"/>
      <c r="L915" s="128"/>
      <c r="M915" s="130"/>
      <c r="N915" s="130"/>
      <c r="O915" s="130"/>
      <c r="P915" s="128"/>
      <c r="Q915" s="128"/>
      <c r="R915" s="128"/>
      <c r="S915" s="298"/>
      <c r="T915" s="4"/>
      <c r="U915" s="4"/>
      <c r="V915" s="4"/>
      <c r="W915" s="4"/>
      <c r="X915" s="4"/>
      <c r="Y915" s="128"/>
      <c r="Z915" s="128"/>
      <c r="AA915" s="128"/>
      <c r="AB915" s="4"/>
      <c r="AC915" s="4"/>
      <c r="AD915" s="4"/>
      <c r="AE915" s="4"/>
      <c r="AF915" s="4"/>
      <c r="AG915" s="4"/>
      <c r="AH915" s="4"/>
      <c r="AI915" s="4"/>
      <c r="AJ915" s="246"/>
      <c r="AK915" s="246"/>
      <c r="AL915" s="129"/>
      <c r="AM915" s="129"/>
      <c r="AN915" s="129"/>
      <c r="AO915" s="246"/>
      <c r="AP915" s="246"/>
      <c r="AQ915" s="249"/>
      <c r="AR915" s="4"/>
      <c r="AS915" s="4"/>
      <c r="AT915" s="4"/>
      <c r="AU915" s="4"/>
      <c r="AV915" s="4"/>
      <c r="AW915" s="4"/>
      <c r="AX915" s="4"/>
      <c r="AY915" s="128"/>
      <c r="AZ915" s="4"/>
      <c r="BA915" s="4"/>
      <c r="BB915" s="4"/>
      <c r="BC915" s="4"/>
      <c r="BD915" s="4"/>
      <c r="BE915" s="4"/>
      <c r="BF915" s="4"/>
      <c r="BG915" s="4"/>
      <c r="BH915" s="4"/>
      <c r="BI915" s="567"/>
    </row>
    <row r="916" spans="1:61" ht="12.75" customHeight="1" x14ac:dyDescent="0.25">
      <c r="A916" s="4"/>
      <c r="B916" s="4"/>
      <c r="C916" s="4"/>
      <c r="D916" s="4"/>
      <c r="E916" s="128"/>
      <c r="F916" s="128"/>
      <c r="G916" s="753"/>
      <c r="H916" s="128"/>
      <c r="I916" s="128"/>
      <c r="J916" s="130"/>
      <c r="K916" s="128"/>
      <c r="L916" s="128"/>
      <c r="M916" s="130"/>
      <c r="N916" s="130"/>
      <c r="O916" s="130"/>
      <c r="P916" s="128"/>
      <c r="Q916" s="128"/>
      <c r="R916" s="128"/>
      <c r="S916" s="298"/>
      <c r="T916" s="4"/>
      <c r="U916" s="4"/>
      <c r="V916" s="4"/>
      <c r="W916" s="4"/>
      <c r="X916" s="4"/>
      <c r="Y916" s="128"/>
      <c r="Z916" s="128"/>
      <c r="AA916" s="128"/>
      <c r="AB916" s="4"/>
      <c r="AC916" s="4"/>
      <c r="AD916" s="4"/>
      <c r="AE916" s="4"/>
      <c r="AF916" s="4"/>
      <c r="AG916" s="4"/>
      <c r="AH916" s="4"/>
      <c r="AI916" s="4"/>
      <c r="AJ916" s="246"/>
      <c r="AK916" s="246"/>
      <c r="AL916" s="129"/>
      <c r="AM916" s="129"/>
      <c r="AN916" s="129"/>
      <c r="AO916" s="246"/>
      <c r="AP916" s="246"/>
      <c r="AQ916" s="249"/>
      <c r="AR916" s="4"/>
      <c r="AS916" s="4"/>
      <c r="AT916" s="4"/>
      <c r="AU916" s="4"/>
      <c r="AV916" s="4"/>
      <c r="AW916" s="4"/>
      <c r="AX916" s="4"/>
      <c r="AY916" s="128"/>
      <c r="AZ916" s="4"/>
      <c r="BA916" s="4"/>
      <c r="BB916" s="4"/>
      <c r="BC916" s="4"/>
      <c r="BD916" s="4"/>
      <c r="BE916" s="4"/>
      <c r="BF916" s="4"/>
      <c r="BG916" s="4"/>
      <c r="BH916" s="4"/>
      <c r="BI916" s="567"/>
    </row>
    <row r="917" spans="1:61" ht="12.75" customHeight="1" x14ac:dyDescent="0.25">
      <c r="A917" s="4"/>
      <c r="B917" s="4"/>
      <c r="C917" s="4"/>
      <c r="D917" s="4"/>
      <c r="E917" s="128"/>
      <c r="F917" s="128"/>
      <c r="G917" s="753"/>
      <c r="H917" s="128"/>
      <c r="I917" s="128"/>
      <c r="J917" s="130"/>
      <c r="K917" s="128"/>
      <c r="L917" s="128"/>
      <c r="M917" s="130"/>
      <c r="N917" s="130"/>
      <c r="O917" s="130"/>
      <c r="P917" s="128"/>
      <c r="Q917" s="128"/>
      <c r="R917" s="128"/>
      <c r="S917" s="298"/>
      <c r="T917" s="4"/>
      <c r="U917" s="4"/>
      <c r="V917" s="4"/>
      <c r="W917" s="4"/>
      <c r="X917" s="4"/>
      <c r="Y917" s="128"/>
      <c r="Z917" s="128"/>
      <c r="AA917" s="128"/>
      <c r="AB917" s="4"/>
      <c r="AC917" s="4"/>
      <c r="AD917" s="4"/>
      <c r="AE917" s="4"/>
      <c r="AF917" s="4"/>
      <c r="AG917" s="4"/>
      <c r="AH917" s="4"/>
      <c r="AI917" s="4"/>
      <c r="AJ917" s="246"/>
      <c r="AK917" s="246"/>
      <c r="AL917" s="129"/>
      <c r="AM917" s="129"/>
      <c r="AN917" s="129"/>
      <c r="AO917" s="246"/>
      <c r="AP917" s="246"/>
      <c r="AQ917" s="249"/>
      <c r="AR917" s="4"/>
      <c r="AS917" s="4"/>
      <c r="AT917" s="4"/>
      <c r="AU917" s="4"/>
      <c r="AV917" s="4"/>
      <c r="AW917" s="4"/>
      <c r="AX917" s="4"/>
      <c r="AY917" s="128"/>
      <c r="AZ917" s="4"/>
      <c r="BA917" s="4"/>
      <c r="BB917" s="4"/>
      <c r="BC917" s="4"/>
      <c r="BD917" s="4"/>
      <c r="BE917" s="4"/>
      <c r="BF917" s="4"/>
      <c r="BG917" s="4"/>
      <c r="BH917" s="4"/>
      <c r="BI917" s="567"/>
    </row>
    <row r="918" spans="1:61" ht="12.75" customHeight="1" x14ac:dyDescent="0.25">
      <c r="A918" s="4"/>
      <c r="B918" s="4"/>
      <c r="C918" s="4"/>
      <c r="D918" s="4"/>
      <c r="E918" s="128"/>
      <c r="F918" s="128"/>
      <c r="G918" s="753"/>
      <c r="H918" s="128"/>
      <c r="I918" s="128"/>
      <c r="J918" s="130"/>
      <c r="K918" s="128"/>
      <c r="L918" s="128"/>
      <c r="M918" s="130"/>
      <c r="N918" s="130"/>
      <c r="O918" s="130"/>
      <c r="P918" s="128"/>
      <c r="Q918" s="128"/>
      <c r="R918" s="128"/>
      <c r="S918" s="298"/>
      <c r="T918" s="4"/>
      <c r="U918" s="4"/>
      <c r="V918" s="4"/>
      <c r="W918" s="4"/>
      <c r="X918" s="4"/>
      <c r="Y918" s="128"/>
      <c r="Z918" s="128"/>
      <c r="AA918" s="128"/>
      <c r="AB918" s="4"/>
      <c r="AC918" s="4"/>
      <c r="AD918" s="4"/>
      <c r="AE918" s="4"/>
      <c r="AF918" s="4"/>
      <c r="AG918" s="4"/>
      <c r="AH918" s="4"/>
      <c r="AI918" s="4"/>
      <c r="AJ918" s="246"/>
      <c r="AK918" s="246"/>
      <c r="AL918" s="129"/>
      <c r="AM918" s="129"/>
      <c r="AN918" s="129"/>
      <c r="AO918" s="246"/>
      <c r="AP918" s="246"/>
      <c r="AQ918" s="249"/>
      <c r="AR918" s="4"/>
      <c r="AS918" s="4"/>
      <c r="AT918" s="4"/>
      <c r="AU918" s="4"/>
      <c r="AV918" s="4"/>
      <c r="AW918" s="4"/>
      <c r="AX918" s="4"/>
      <c r="AY918" s="128"/>
      <c r="AZ918" s="4"/>
      <c r="BA918" s="4"/>
      <c r="BB918" s="4"/>
      <c r="BC918" s="4"/>
      <c r="BD918" s="4"/>
      <c r="BE918" s="4"/>
      <c r="BF918" s="4"/>
      <c r="BG918" s="4"/>
      <c r="BH918" s="4"/>
      <c r="BI918" s="567"/>
    </row>
    <row r="919" spans="1:61" ht="12.75" customHeight="1" x14ac:dyDescent="0.25">
      <c r="A919" s="4"/>
      <c r="B919" s="4"/>
      <c r="C919" s="4"/>
      <c r="D919" s="4"/>
      <c r="E919" s="128"/>
      <c r="F919" s="128"/>
      <c r="G919" s="753"/>
      <c r="H919" s="128"/>
      <c r="I919" s="128"/>
      <c r="J919" s="130"/>
      <c r="K919" s="128"/>
      <c r="L919" s="128"/>
      <c r="M919" s="130"/>
      <c r="N919" s="130"/>
      <c r="O919" s="130"/>
      <c r="P919" s="128"/>
      <c r="Q919" s="128"/>
      <c r="R919" s="128"/>
      <c r="S919" s="298"/>
      <c r="T919" s="4"/>
      <c r="U919" s="4"/>
      <c r="V919" s="4"/>
      <c r="W919" s="4"/>
      <c r="X919" s="4"/>
      <c r="Y919" s="128"/>
      <c r="Z919" s="128"/>
      <c r="AA919" s="128"/>
      <c r="AB919" s="4"/>
      <c r="AC919" s="4"/>
      <c r="AD919" s="4"/>
      <c r="AE919" s="4"/>
      <c r="AF919" s="4"/>
      <c r="AG919" s="4"/>
      <c r="AH919" s="4"/>
      <c r="AI919" s="4"/>
      <c r="AJ919" s="246"/>
      <c r="AK919" s="246"/>
      <c r="AL919" s="129"/>
      <c r="AM919" s="129"/>
      <c r="AN919" s="129"/>
      <c r="AO919" s="246"/>
      <c r="AP919" s="246"/>
      <c r="AQ919" s="249"/>
      <c r="AR919" s="4"/>
      <c r="AS919" s="4"/>
      <c r="AT919" s="4"/>
      <c r="AU919" s="4"/>
      <c r="AV919" s="4"/>
      <c r="AW919" s="4"/>
      <c r="AX919" s="4"/>
      <c r="AY919" s="128"/>
      <c r="AZ919" s="4"/>
      <c r="BA919" s="4"/>
      <c r="BB919" s="4"/>
      <c r="BC919" s="4"/>
      <c r="BD919" s="4"/>
      <c r="BE919" s="4"/>
      <c r="BF919" s="4"/>
      <c r="BG919" s="4"/>
      <c r="BH919" s="4"/>
      <c r="BI919" s="567"/>
    </row>
    <row r="920" spans="1:61" ht="12.75" customHeight="1" x14ac:dyDescent="0.25">
      <c r="A920" s="4"/>
      <c r="B920" s="4"/>
      <c r="C920" s="4"/>
      <c r="D920" s="4"/>
      <c r="E920" s="128"/>
      <c r="F920" s="128"/>
      <c r="G920" s="753"/>
      <c r="H920" s="128"/>
      <c r="I920" s="128"/>
      <c r="J920" s="130"/>
      <c r="K920" s="128"/>
      <c r="L920" s="128"/>
      <c r="M920" s="130"/>
      <c r="N920" s="130"/>
      <c r="O920" s="130"/>
      <c r="P920" s="128"/>
      <c r="Q920" s="128"/>
      <c r="R920" s="128"/>
      <c r="S920" s="298"/>
      <c r="T920" s="4"/>
      <c r="U920" s="4"/>
      <c r="V920" s="4"/>
      <c r="W920" s="4"/>
      <c r="X920" s="4"/>
      <c r="Y920" s="128"/>
      <c r="Z920" s="128"/>
      <c r="AA920" s="128"/>
      <c r="AB920" s="4"/>
      <c r="AC920" s="4"/>
      <c r="AD920" s="4"/>
      <c r="AE920" s="4"/>
      <c r="AF920" s="4"/>
      <c r="AG920" s="4"/>
      <c r="AH920" s="4"/>
      <c r="AI920" s="4"/>
      <c r="AJ920" s="246"/>
      <c r="AK920" s="246"/>
      <c r="AL920" s="129"/>
      <c r="AM920" s="129"/>
      <c r="AN920" s="129"/>
      <c r="AO920" s="246"/>
      <c r="AP920" s="246"/>
      <c r="AQ920" s="249"/>
      <c r="AR920" s="4"/>
      <c r="AS920" s="4"/>
      <c r="AT920" s="4"/>
      <c r="AU920" s="4"/>
      <c r="AV920" s="4"/>
      <c r="AW920" s="4"/>
      <c r="AX920" s="4"/>
      <c r="AY920" s="128"/>
      <c r="AZ920" s="4"/>
      <c r="BA920" s="4"/>
      <c r="BB920" s="4"/>
      <c r="BC920" s="4"/>
      <c r="BD920" s="4"/>
      <c r="BE920" s="4"/>
      <c r="BF920" s="4"/>
      <c r="BG920" s="4"/>
      <c r="BH920" s="4"/>
      <c r="BI920" s="567"/>
    </row>
    <row r="921" spans="1:61" ht="12.75" customHeight="1" x14ac:dyDescent="0.25">
      <c r="A921" s="4"/>
      <c r="B921" s="4"/>
      <c r="C921" s="4"/>
      <c r="D921" s="4"/>
      <c r="E921" s="128"/>
      <c r="F921" s="128"/>
      <c r="G921" s="753"/>
      <c r="H921" s="128"/>
      <c r="I921" s="128"/>
      <c r="J921" s="130"/>
      <c r="K921" s="128"/>
      <c r="L921" s="128"/>
      <c r="M921" s="130"/>
      <c r="N921" s="130"/>
      <c r="O921" s="130"/>
      <c r="P921" s="128"/>
      <c r="Q921" s="128"/>
      <c r="R921" s="128"/>
      <c r="S921" s="298"/>
      <c r="T921" s="4"/>
      <c r="U921" s="4"/>
      <c r="V921" s="4"/>
      <c r="W921" s="4"/>
      <c r="X921" s="4"/>
      <c r="Y921" s="128"/>
      <c r="Z921" s="128"/>
      <c r="AA921" s="128"/>
      <c r="AB921" s="4"/>
      <c r="AC921" s="4"/>
      <c r="AD921" s="4"/>
      <c r="AE921" s="4"/>
      <c r="AF921" s="4"/>
      <c r="AG921" s="4"/>
      <c r="AH921" s="4"/>
      <c r="AI921" s="4"/>
      <c r="AJ921" s="246"/>
      <c r="AK921" s="246"/>
      <c r="AL921" s="129"/>
      <c r="AM921" s="129"/>
      <c r="AN921" s="129"/>
      <c r="AO921" s="246"/>
      <c r="AP921" s="246"/>
      <c r="AQ921" s="249"/>
      <c r="AR921" s="4"/>
      <c r="AS921" s="4"/>
      <c r="AT921" s="4"/>
      <c r="AU921" s="4"/>
      <c r="AV921" s="4"/>
      <c r="AW921" s="4"/>
      <c r="AX921" s="4"/>
      <c r="AY921" s="128"/>
      <c r="AZ921" s="4"/>
      <c r="BA921" s="4"/>
      <c r="BB921" s="4"/>
      <c r="BC921" s="4"/>
      <c r="BD921" s="4"/>
      <c r="BE921" s="4"/>
      <c r="BF921" s="4"/>
      <c r="BG921" s="4"/>
      <c r="BH921" s="4"/>
      <c r="BI921" s="567"/>
    </row>
    <row r="922" spans="1:61" ht="12.75" customHeight="1" x14ac:dyDescent="0.25">
      <c r="A922" s="4"/>
      <c r="B922" s="4"/>
      <c r="C922" s="4"/>
      <c r="D922" s="4"/>
      <c r="E922" s="128"/>
      <c r="F922" s="128"/>
      <c r="G922" s="753"/>
      <c r="H922" s="128"/>
      <c r="I922" s="128"/>
      <c r="J922" s="130"/>
      <c r="K922" s="128"/>
      <c r="L922" s="128"/>
      <c r="M922" s="130"/>
      <c r="N922" s="130"/>
      <c r="O922" s="130"/>
      <c r="P922" s="128"/>
      <c r="Q922" s="128"/>
      <c r="R922" s="128"/>
      <c r="S922" s="298"/>
      <c r="T922" s="4"/>
      <c r="U922" s="4"/>
      <c r="V922" s="4"/>
      <c r="W922" s="4"/>
      <c r="X922" s="4"/>
      <c r="Y922" s="128"/>
      <c r="Z922" s="128"/>
      <c r="AA922" s="128"/>
      <c r="AB922" s="4"/>
      <c r="AC922" s="4"/>
      <c r="AD922" s="4"/>
      <c r="AE922" s="4"/>
      <c r="AF922" s="4"/>
      <c r="AG922" s="4"/>
      <c r="AH922" s="4"/>
      <c r="AI922" s="4"/>
      <c r="AJ922" s="246"/>
      <c r="AK922" s="246"/>
      <c r="AL922" s="129"/>
      <c r="AM922" s="129"/>
      <c r="AN922" s="129"/>
      <c r="AO922" s="246"/>
      <c r="AP922" s="246"/>
      <c r="AQ922" s="249"/>
      <c r="AR922" s="4"/>
      <c r="AS922" s="4"/>
      <c r="AT922" s="4"/>
      <c r="AU922" s="4"/>
      <c r="AV922" s="4"/>
      <c r="AW922" s="4"/>
      <c r="AX922" s="4"/>
      <c r="AY922" s="128"/>
      <c r="AZ922" s="4"/>
      <c r="BA922" s="4"/>
      <c r="BB922" s="4"/>
      <c r="BC922" s="4"/>
      <c r="BD922" s="4"/>
      <c r="BE922" s="4"/>
      <c r="BF922" s="4"/>
      <c r="BG922" s="4"/>
      <c r="BH922" s="4"/>
      <c r="BI922" s="567"/>
    </row>
    <row r="923" spans="1:61" ht="12.75" customHeight="1" x14ac:dyDescent="0.25">
      <c r="A923" s="4"/>
      <c r="B923" s="4"/>
      <c r="C923" s="4"/>
      <c r="D923" s="4"/>
      <c r="E923" s="128"/>
      <c r="F923" s="128"/>
      <c r="G923" s="753"/>
      <c r="H923" s="128"/>
      <c r="I923" s="128"/>
      <c r="J923" s="130"/>
      <c r="K923" s="128"/>
      <c r="L923" s="128"/>
      <c r="M923" s="130"/>
      <c r="N923" s="130"/>
      <c r="O923" s="130"/>
      <c r="P923" s="128"/>
      <c r="Q923" s="128"/>
      <c r="R923" s="128"/>
      <c r="S923" s="298"/>
      <c r="T923" s="4"/>
      <c r="U923" s="4"/>
      <c r="V923" s="4"/>
      <c r="W923" s="4"/>
      <c r="X923" s="4"/>
      <c r="Y923" s="128"/>
      <c r="Z923" s="128"/>
      <c r="AA923" s="128"/>
      <c r="AB923" s="4"/>
      <c r="AC923" s="4"/>
      <c r="AD923" s="4"/>
      <c r="AE923" s="4"/>
      <c r="AF923" s="4"/>
      <c r="AG923" s="4"/>
      <c r="AH923" s="4"/>
      <c r="AI923" s="4"/>
      <c r="AJ923" s="246"/>
      <c r="AK923" s="246"/>
      <c r="AL923" s="129"/>
      <c r="AM923" s="129"/>
      <c r="AN923" s="129"/>
      <c r="AO923" s="246"/>
      <c r="AP923" s="246"/>
      <c r="AQ923" s="249"/>
      <c r="AR923" s="4"/>
      <c r="AS923" s="4"/>
      <c r="AT923" s="4"/>
      <c r="AU923" s="4"/>
      <c r="AV923" s="4"/>
      <c r="AW923" s="4"/>
      <c r="AX923" s="4"/>
      <c r="AY923" s="128"/>
      <c r="AZ923" s="4"/>
      <c r="BA923" s="4"/>
      <c r="BB923" s="4"/>
      <c r="BC923" s="4"/>
      <c r="BD923" s="4"/>
      <c r="BE923" s="4"/>
      <c r="BF923" s="4"/>
      <c r="BG923" s="4"/>
      <c r="BH923" s="4"/>
      <c r="BI923" s="567"/>
    </row>
    <row r="924" spans="1:61" ht="12.75" customHeight="1" x14ac:dyDescent="0.25">
      <c r="A924" s="4"/>
      <c r="B924" s="4"/>
      <c r="C924" s="4"/>
      <c r="D924" s="4"/>
      <c r="E924" s="128"/>
      <c r="F924" s="128"/>
      <c r="G924" s="753"/>
      <c r="H924" s="128"/>
      <c r="I924" s="128"/>
      <c r="J924" s="130"/>
      <c r="K924" s="128"/>
      <c r="L924" s="128"/>
      <c r="M924" s="130"/>
      <c r="N924" s="130"/>
      <c r="O924" s="130"/>
      <c r="P924" s="128"/>
      <c r="Q924" s="128"/>
      <c r="R924" s="128"/>
      <c r="S924" s="298"/>
      <c r="T924" s="4"/>
      <c r="U924" s="4"/>
      <c r="V924" s="4"/>
      <c r="W924" s="4"/>
      <c r="X924" s="4"/>
      <c r="Y924" s="128"/>
      <c r="Z924" s="128"/>
      <c r="AA924" s="128"/>
      <c r="AB924" s="4"/>
      <c r="AC924" s="4"/>
      <c r="AD924" s="4"/>
      <c r="AE924" s="4"/>
      <c r="AF924" s="4"/>
      <c r="AG924" s="4"/>
      <c r="AH924" s="4"/>
      <c r="AI924" s="4"/>
      <c r="AJ924" s="246"/>
      <c r="AK924" s="246"/>
      <c r="AL924" s="129"/>
      <c r="AM924" s="129"/>
      <c r="AN924" s="129"/>
      <c r="AO924" s="246"/>
      <c r="AP924" s="246"/>
      <c r="AQ924" s="249"/>
      <c r="AR924" s="4"/>
      <c r="AS924" s="4"/>
      <c r="AT924" s="4"/>
      <c r="AU924" s="4"/>
      <c r="AV924" s="4"/>
      <c r="AW924" s="4"/>
      <c r="AX924" s="4"/>
      <c r="AY924" s="128"/>
      <c r="AZ924" s="4"/>
      <c r="BA924" s="4"/>
      <c r="BB924" s="4"/>
      <c r="BC924" s="4"/>
      <c r="BD924" s="4"/>
      <c r="BE924" s="4"/>
      <c r="BF924" s="4"/>
      <c r="BG924" s="4"/>
      <c r="BH924" s="4"/>
      <c r="BI924" s="567"/>
    </row>
    <row r="925" spans="1:61" ht="12.75" customHeight="1" x14ac:dyDescent="0.25">
      <c r="A925" s="4"/>
      <c r="B925" s="4"/>
      <c r="C925" s="4"/>
      <c r="D925" s="4"/>
      <c r="E925" s="128"/>
      <c r="F925" s="128"/>
      <c r="G925" s="753"/>
      <c r="H925" s="128"/>
      <c r="I925" s="128"/>
      <c r="J925" s="130"/>
      <c r="K925" s="128"/>
      <c r="L925" s="128"/>
      <c r="M925" s="130"/>
      <c r="N925" s="130"/>
      <c r="O925" s="130"/>
      <c r="P925" s="128"/>
      <c r="Q925" s="128"/>
      <c r="R925" s="128"/>
      <c r="S925" s="298"/>
      <c r="T925" s="4"/>
      <c r="U925" s="4"/>
      <c r="V925" s="4"/>
      <c r="W925" s="4"/>
      <c r="X925" s="4"/>
      <c r="Y925" s="128"/>
      <c r="Z925" s="128"/>
      <c r="AA925" s="128"/>
      <c r="AB925" s="4"/>
      <c r="AC925" s="4"/>
      <c r="AD925" s="4"/>
      <c r="AE925" s="4"/>
      <c r="AF925" s="4"/>
      <c r="AG925" s="4"/>
      <c r="AH925" s="4"/>
      <c r="AI925" s="4"/>
      <c r="AJ925" s="246"/>
      <c r="AK925" s="246"/>
      <c r="AL925" s="129"/>
      <c r="AM925" s="129"/>
      <c r="AN925" s="129"/>
      <c r="AO925" s="246"/>
      <c r="AP925" s="246"/>
      <c r="AQ925" s="249"/>
      <c r="AR925" s="4"/>
      <c r="AS925" s="4"/>
      <c r="AT925" s="4"/>
      <c r="AU925" s="4"/>
      <c r="AV925" s="4"/>
      <c r="AW925" s="4"/>
      <c r="AX925" s="4"/>
      <c r="AY925" s="128"/>
      <c r="AZ925" s="4"/>
      <c r="BA925" s="4"/>
      <c r="BB925" s="4"/>
      <c r="BC925" s="4"/>
      <c r="BD925" s="4"/>
      <c r="BE925" s="4"/>
      <c r="BF925" s="4"/>
      <c r="BG925" s="4"/>
      <c r="BH925" s="4"/>
      <c r="BI925" s="567"/>
    </row>
    <row r="926" spans="1:61" ht="12.75" customHeight="1" x14ac:dyDescent="0.25">
      <c r="A926" s="4"/>
      <c r="B926" s="4"/>
      <c r="C926" s="4"/>
      <c r="D926" s="4"/>
      <c r="E926" s="128"/>
      <c r="F926" s="128"/>
      <c r="G926" s="753"/>
      <c r="H926" s="128"/>
      <c r="I926" s="128"/>
      <c r="J926" s="130"/>
      <c r="K926" s="128"/>
      <c r="L926" s="128"/>
      <c r="M926" s="130"/>
      <c r="N926" s="130"/>
      <c r="O926" s="130"/>
      <c r="P926" s="128"/>
      <c r="Q926" s="128"/>
      <c r="R926" s="128"/>
      <c r="S926" s="298"/>
      <c r="T926" s="4"/>
      <c r="U926" s="4"/>
      <c r="V926" s="4"/>
      <c r="W926" s="4"/>
      <c r="X926" s="4"/>
      <c r="Y926" s="128"/>
      <c r="Z926" s="128"/>
      <c r="AA926" s="128"/>
      <c r="AB926" s="4"/>
      <c r="AC926" s="4"/>
      <c r="AD926" s="4"/>
      <c r="AE926" s="4"/>
      <c r="AF926" s="4"/>
      <c r="AG926" s="4"/>
      <c r="AH926" s="4"/>
      <c r="AI926" s="4"/>
      <c r="AJ926" s="246"/>
      <c r="AK926" s="246"/>
      <c r="AL926" s="129"/>
      <c r="AM926" s="129"/>
      <c r="AN926" s="129"/>
      <c r="AO926" s="246"/>
      <c r="AP926" s="246"/>
      <c r="AQ926" s="249"/>
      <c r="AR926" s="4"/>
      <c r="AS926" s="4"/>
      <c r="AT926" s="4"/>
      <c r="AU926" s="4"/>
      <c r="AV926" s="4"/>
      <c r="AW926" s="4"/>
      <c r="AX926" s="4"/>
      <c r="AY926" s="128"/>
      <c r="AZ926" s="4"/>
      <c r="BA926" s="4"/>
      <c r="BB926" s="4"/>
      <c r="BC926" s="4"/>
      <c r="BD926" s="4"/>
      <c r="BE926" s="4"/>
      <c r="BF926" s="4"/>
      <c r="BG926" s="4"/>
      <c r="BH926" s="4"/>
      <c r="BI926" s="567"/>
    </row>
    <row r="927" spans="1:61" ht="12.75" customHeight="1" x14ac:dyDescent="0.25">
      <c r="A927" s="4"/>
      <c r="B927" s="4"/>
      <c r="C927" s="4"/>
      <c r="D927" s="4"/>
      <c r="E927" s="128"/>
      <c r="F927" s="128"/>
      <c r="G927" s="753"/>
      <c r="H927" s="128"/>
      <c r="I927" s="128"/>
      <c r="J927" s="130"/>
      <c r="K927" s="128"/>
      <c r="L927" s="128"/>
      <c r="M927" s="130"/>
      <c r="N927" s="130"/>
      <c r="O927" s="130"/>
      <c r="P927" s="128"/>
      <c r="Q927" s="128"/>
      <c r="R927" s="128"/>
      <c r="S927" s="298"/>
      <c r="T927" s="4"/>
      <c r="U927" s="4"/>
      <c r="V927" s="4"/>
      <c r="W927" s="4"/>
      <c r="X927" s="4"/>
      <c r="Y927" s="128"/>
      <c r="Z927" s="128"/>
      <c r="AA927" s="128"/>
      <c r="AB927" s="4"/>
      <c r="AC927" s="4"/>
      <c r="AD927" s="4"/>
      <c r="AE927" s="4"/>
      <c r="AF927" s="4"/>
      <c r="AG927" s="4"/>
      <c r="AH927" s="4"/>
      <c r="AI927" s="4"/>
      <c r="AJ927" s="246"/>
      <c r="AK927" s="246"/>
      <c r="AL927" s="129"/>
      <c r="AM927" s="129"/>
      <c r="AN927" s="129"/>
      <c r="AO927" s="246"/>
      <c r="AP927" s="246"/>
      <c r="AQ927" s="249"/>
      <c r="AR927" s="4"/>
      <c r="AS927" s="4"/>
      <c r="AT927" s="4"/>
      <c r="AU927" s="4"/>
      <c r="AV927" s="4"/>
      <c r="AW927" s="4"/>
      <c r="AX927" s="4"/>
      <c r="AY927" s="128"/>
      <c r="AZ927" s="4"/>
      <c r="BA927" s="4"/>
      <c r="BB927" s="4"/>
      <c r="BC927" s="4"/>
      <c r="BD927" s="4"/>
      <c r="BE927" s="4"/>
      <c r="BF927" s="4"/>
      <c r="BG927" s="4"/>
      <c r="BH927" s="4"/>
      <c r="BI927" s="567"/>
    </row>
    <row r="928" spans="1:61" ht="12.75" customHeight="1" x14ac:dyDescent="0.25">
      <c r="A928" s="4"/>
      <c r="B928" s="4"/>
      <c r="C928" s="4"/>
      <c r="D928" s="4"/>
      <c r="E928" s="128"/>
      <c r="F928" s="128"/>
      <c r="G928" s="753"/>
      <c r="H928" s="128"/>
      <c r="I928" s="128"/>
      <c r="J928" s="130"/>
      <c r="K928" s="128"/>
      <c r="L928" s="128"/>
      <c r="M928" s="130"/>
      <c r="N928" s="130"/>
      <c r="O928" s="130"/>
      <c r="P928" s="128"/>
      <c r="Q928" s="128"/>
      <c r="R928" s="128"/>
      <c r="S928" s="298"/>
      <c r="T928" s="4"/>
      <c r="U928" s="4"/>
      <c r="V928" s="4"/>
      <c r="W928" s="4"/>
      <c r="X928" s="4"/>
      <c r="Y928" s="128"/>
      <c r="Z928" s="128"/>
      <c r="AA928" s="128"/>
      <c r="AB928" s="4"/>
      <c r="AC928" s="4"/>
      <c r="AD928" s="4"/>
      <c r="AE928" s="4"/>
      <c r="AF928" s="4"/>
      <c r="AG928" s="4"/>
      <c r="AH928" s="4"/>
      <c r="AI928" s="4"/>
      <c r="AJ928" s="246"/>
      <c r="AK928" s="246"/>
      <c r="AL928" s="129"/>
      <c r="AM928" s="129"/>
      <c r="AN928" s="129"/>
      <c r="AO928" s="246"/>
      <c r="AP928" s="246"/>
      <c r="AQ928" s="249"/>
      <c r="AR928" s="4"/>
      <c r="AS928" s="4"/>
      <c r="AT928" s="4"/>
      <c r="AU928" s="4"/>
      <c r="AV928" s="4"/>
      <c r="AW928" s="4"/>
      <c r="AX928" s="4"/>
      <c r="AY928" s="128"/>
      <c r="AZ928" s="4"/>
      <c r="BA928" s="4"/>
      <c r="BB928" s="4"/>
      <c r="BC928" s="4"/>
      <c r="BD928" s="4"/>
      <c r="BE928" s="4"/>
      <c r="BF928" s="4"/>
      <c r="BG928" s="4"/>
      <c r="BH928" s="4"/>
      <c r="BI928" s="567"/>
    </row>
    <row r="929" spans="1:61" ht="12.75" customHeight="1" x14ac:dyDescent="0.25">
      <c r="A929" s="4"/>
      <c r="B929" s="4"/>
      <c r="C929" s="4"/>
      <c r="D929" s="4"/>
      <c r="E929" s="128"/>
      <c r="F929" s="128"/>
      <c r="G929" s="753"/>
      <c r="H929" s="128"/>
      <c r="I929" s="128"/>
      <c r="J929" s="130"/>
      <c r="K929" s="128"/>
      <c r="L929" s="128"/>
      <c r="M929" s="130"/>
      <c r="N929" s="130"/>
      <c r="O929" s="130"/>
      <c r="P929" s="128"/>
      <c r="Q929" s="128"/>
      <c r="R929" s="128"/>
      <c r="S929" s="298"/>
      <c r="T929" s="4"/>
      <c r="U929" s="4"/>
      <c r="V929" s="4"/>
      <c r="W929" s="4"/>
      <c r="X929" s="4"/>
      <c r="Y929" s="128"/>
      <c r="Z929" s="128"/>
      <c r="AA929" s="128"/>
      <c r="AB929" s="4"/>
      <c r="AC929" s="4"/>
      <c r="AD929" s="4"/>
      <c r="AE929" s="4"/>
      <c r="AF929" s="4"/>
      <c r="AG929" s="4"/>
      <c r="AH929" s="4"/>
      <c r="AI929" s="4"/>
      <c r="AJ929" s="246"/>
      <c r="AK929" s="246"/>
      <c r="AL929" s="129"/>
      <c r="AM929" s="129"/>
      <c r="AN929" s="129"/>
      <c r="AO929" s="246"/>
      <c r="AP929" s="246"/>
      <c r="AQ929" s="249"/>
      <c r="AR929" s="4"/>
      <c r="AS929" s="4"/>
      <c r="AT929" s="4"/>
      <c r="AU929" s="4"/>
      <c r="AV929" s="4"/>
      <c r="AW929" s="4"/>
      <c r="AX929" s="4"/>
      <c r="AY929" s="128"/>
      <c r="AZ929" s="4"/>
      <c r="BA929" s="4"/>
      <c r="BB929" s="4"/>
      <c r="BC929" s="4"/>
      <c r="BD929" s="4"/>
      <c r="BE929" s="4"/>
      <c r="BF929" s="4"/>
      <c r="BG929" s="4"/>
      <c r="BH929" s="4"/>
      <c r="BI929" s="567"/>
    </row>
    <row r="930" spans="1:61" ht="12.75" customHeight="1" x14ac:dyDescent="0.25">
      <c r="A930" s="4"/>
      <c r="B930" s="4"/>
      <c r="C930" s="4"/>
      <c r="D930" s="4"/>
      <c r="E930" s="128"/>
      <c r="F930" s="128"/>
      <c r="G930" s="753"/>
      <c r="H930" s="128"/>
      <c r="I930" s="128"/>
      <c r="J930" s="130"/>
      <c r="K930" s="128"/>
      <c r="L930" s="128"/>
      <c r="M930" s="130"/>
      <c r="N930" s="130"/>
      <c r="O930" s="130"/>
      <c r="P930" s="128"/>
      <c r="Q930" s="128"/>
      <c r="R930" s="128"/>
      <c r="S930" s="298"/>
      <c r="T930" s="4"/>
      <c r="U930" s="4"/>
      <c r="V930" s="4"/>
      <c r="W930" s="4"/>
      <c r="X930" s="4"/>
      <c r="Y930" s="128"/>
      <c r="Z930" s="128"/>
      <c r="AA930" s="128"/>
      <c r="AB930" s="4"/>
      <c r="AC930" s="4"/>
      <c r="AD930" s="4"/>
      <c r="AE930" s="4"/>
      <c r="AF930" s="4"/>
      <c r="AG930" s="4"/>
      <c r="AH930" s="4"/>
      <c r="AI930" s="4"/>
      <c r="AJ930" s="246"/>
      <c r="AK930" s="246"/>
      <c r="AL930" s="129"/>
      <c r="AM930" s="129"/>
      <c r="AN930" s="129"/>
      <c r="AO930" s="246"/>
      <c r="AP930" s="246"/>
      <c r="AQ930" s="249"/>
      <c r="AR930" s="4"/>
      <c r="AS930" s="4"/>
      <c r="AT930" s="4"/>
      <c r="AU930" s="4"/>
      <c r="AV930" s="4"/>
      <c r="AW930" s="4"/>
      <c r="AX930" s="4"/>
      <c r="AY930" s="128"/>
      <c r="AZ930" s="4"/>
      <c r="BA930" s="4"/>
      <c r="BB930" s="4"/>
      <c r="BC930" s="4"/>
      <c r="BD930" s="4"/>
      <c r="BE930" s="4"/>
      <c r="BF930" s="4"/>
      <c r="BG930" s="4"/>
      <c r="BH930" s="4"/>
      <c r="BI930" s="567"/>
    </row>
    <row r="931" spans="1:61" ht="12.75" customHeight="1" x14ac:dyDescent="0.25">
      <c r="A931" s="4"/>
      <c r="B931" s="4"/>
      <c r="C931" s="4"/>
      <c r="D931" s="4"/>
      <c r="E931" s="128"/>
      <c r="F931" s="128"/>
      <c r="G931" s="753"/>
      <c r="H931" s="128"/>
      <c r="I931" s="128"/>
      <c r="J931" s="130"/>
      <c r="K931" s="128"/>
      <c r="L931" s="128"/>
      <c r="M931" s="130"/>
      <c r="N931" s="130"/>
      <c r="O931" s="130"/>
      <c r="P931" s="128"/>
      <c r="Q931" s="128"/>
      <c r="R931" s="128"/>
      <c r="S931" s="298"/>
      <c r="T931" s="4"/>
      <c r="U931" s="4"/>
      <c r="V931" s="4"/>
      <c r="W931" s="4"/>
      <c r="X931" s="4"/>
      <c r="Y931" s="128"/>
      <c r="Z931" s="128"/>
      <c r="AA931" s="128"/>
      <c r="AB931" s="4"/>
      <c r="AC931" s="4"/>
      <c r="AD931" s="4"/>
      <c r="AE931" s="4"/>
      <c r="AF931" s="4"/>
      <c r="AG931" s="4"/>
      <c r="AH931" s="4"/>
      <c r="AI931" s="4"/>
      <c r="AJ931" s="246"/>
      <c r="AK931" s="246"/>
      <c r="AL931" s="129"/>
      <c r="AM931" s="129"/>
      <c r="AN931" s="129"/>
      <c r="AO931" s="246"/>
      <c r="AP931" s="246"/>
      <c r="AQ931" s="249"/>
      <c r="AR931" s="4"/>
      <c r="AS931" s="4"/>
      <c r="AT931" s="4"/>
      <c r="AU931" s="4"/>
      <c r="AV931" s="4"/>
      <c r="AW931" s="4"/>
      <c r="AX931" s="4"/>
      <c r="AY931" s="128"/>
      <c r="AZ931" s="4"/>
      <c r="BA931" s="4"/>
      <c r="BB931" s="4"/>
      <c r="BC931" s="4"/>
      <c r="BD931" s="4"/>
      <c r="BE931" s="4"/>
      <c r="BF931" s="4"/>
      <c r="BG931" s="4"/>
      <c r="BH931" s="4"/>
      <c r="BI931" s="567"/>
    </row>
    <row r="932" spans="1:61" ht="12.75" customHeight="1" x14ac:dyDescent="0.25">
      <c r="A932" s="4"/>
      <c r="B932" s="4"/>
      <c r="C932" s="4"/>
      <c r="D932" s="4"/>
      <c r="E932" s="128"/>
      <c r="F932" s="128"/>
      <c r="G932" s="753"/>
      <c r="H932" s="128"/>
      <c r="I932" s="128"/>
      <c r="J932" s="130"/>
      <c r="K932" s="128"/>
      <c r="L932" s="128"/>
      <c r="M932" s="130"/>
      <c r="N932" s="130"/>
      <c r="O932" s="130"/>
      <c r="P932" s="128"/>
      <c r="Q932" s="128"/>
      <c r="R932" s="128"/>
      <c r="S932" s="298"/>
      <c r="T932" s="4"/>
      <c r="U932" s="4"/>
      <c r="V932" s="4"/>
      <c r="W932" s="4"/>
      <c r="X932" s="4"/>
      <c r="Y932" s="128"/>
      <c r="Z932" s="128"/>
      <c r="AA932" s="128"/>
      <c r="AB932" s="4"/>
      <c r="AC932" s="4"/>
      <c r="AD932" s="4"/>
      <c r="AE932" s="4"/>
      <c r="AF932" s="4"/>
      <c r="AG932" s="4"/>
      <c r="AH932" s="4"/>
      <c r="AI932" s="4"/>
      <c r="AJ932" s="246"/>
      <c r="AK932" s="246"/>
      <c r="AL932" s="129"/>
      <c r="AM932" s="129"/>
      <c r="AN932" s="129"/>
      <c r="AO932" s="246"/>
      <c r="AP932" s="246"/>
      <c r="AQ932" s="249"/>
      <c r="AR932" s="4"/>
      <c r="AS932" s="4"/>
      <c r="AT932" s="4"/>
      <c r="AU932" s="4"/>
      <c r="AV932" s="4"/>
      <c r="AW932" s="4"/>
      <c r="AX932" s="4"/>
      <c r="AY932" s="128"/>
      <c r="AZ932" s="4"/>
      <c r="BA932" s="4"/>
      <c r="BB932" s="4"/>
      <c r="BC932" s="4"/>
      <c r="BD932" s="4"/>
      <c r="BE932" s="4"/>
      <c r="BF932" s="4"/>
      <c r="BG932" s="4"/>
      <c r="BH932" s="4"/>
      <c r="BI932" s="567"/>
    </row>
    <row r="933" spans="1:61" ht="12.75" customHeight="1" x14ac:dyDescent="0.25">
      <c r="A933" s="4"/>
      <c r="B933" s="4"/>
      <c r="C933" s="4"/>
      <c r="D933" s="4"/>
      <c r="E933" s="128"/>
      <c r="F933" s="128"/>
      <c r="G933" s="753"/>
      <c r="H933" s="128"/>
      <c r="I933" s="128"/>
      <c r="J933" s="130"/>
      <c r="K933" s="128"/>
      <c r="L933" s="128"/>
      <c r="M933" s="130"/>
      <c r="N933" s="130"/>
      <c r="O933" s="130"/>
      <c r="P933" s="128"/>
      <c r="Q933" s="128"/>
      <c r="R933" s="128"/>
      <c r="S933" s="298"/>
      <c r="T933" s="4"/>
      <c r="U933" s="4"/>
      <c r="V933" s="4"/>
      <c r="W933" s="4"/>
      <c r="X933" s="4"/>
      <c r="Y933" s="128"/>
      <c r="Z933" s="128"/>
      <c r="AA933" s="128"/>
      <c r="AB933" s="4"/>
      <c r="AC933" s="4"/>
      <c r="AD933" s="4"/>
      <c r="AE933" s="4"/>
      <c r="AF933" s="4"/>
      <c r="AG933" s="4"/>
      <c r="AH933" s="4"/>
      <c r="AI933" s="4"/>
      <c r="AJ933" s="246"/>
      <c r="AK933" s="246"/>
      <c r="AL933" s="129"/>
      <c r="AM933" s="129"/>
      <c r="AN933" s="129"/>
      <c r="AO933" s="246"/>
      <c r="AP933" s="246"/>
      <c r="AQ933" s="249"/>
      <c r="AR933" s="4"/>
      <c r="AS933" s="4"/>
      <c r="AT933" s="4"/>
      <c r="AU933" s="4"/>
      <c r="AV933" s="4"/>
      <c r="AW933" s="4"/>
      <c r="AX933" s="4"/>
      <c r="AY933" s="128"/>
      <c r="AZ933" s="4"/>
      <c r="BA933" s="4"/>
      <c r="BB933" s="4"/>
      <c r="BC933" s="4"/>
      <c r="BD933" s="4"/>
      <c r="BE933" s="4"/>
      <c r="BF933" s="4"/>
      <c r="BG933" s="4"/>
      <c r="BH933" s="4"/>
      <c r="BI933" s="567"/>
    </row>
    <row r="934" spans="1:61" ht="12.75" customHeight="1" x14ac:dyDescent="0.25">
      <c r="A934" s="4"/>
      <c r="B934" s="4"/>
      <c r="C934" s="4"/>
      <c r="D934" s="4"/>
      <c r="E934" s="128"/>
      <c r="F934" s="128"/>
      <c r="G934" s="753"/>
      <c r="H934" s="128"/>
      <c r="I934" s="128"/>
      <c r="J934" s="130"/>
      <c r="K934" s="128"/>
      <c r="L934" s="128"/>
      <c r="M934" s="130"/>
      <c r="N934" s="130"/>
      <c r="O934" s="130"/>
      <c r="P934" s="128"/>
      <c r="Q934" s="128"/>
      <c r="R934" s="128"/>
      <c r="S934" s="298"/>
      <c r="T934" s="4"/>
      <c r="U934" s="4"/>
      <c r="V934" s="4"/>
      <c r="W934" s="4"/>
      <c r="X934" s="4"/>
      <c r="Y934" s="128"/>
      <c r="Z934" s="128"/>
      <c r="AA934" s="128"/>
      <c r="AB934" s="4"/>
      <c r="AC934" s="4"/>
      <c r="AD934" s="4"/>
      <c r="AE934" s="4"/>
      <c r="AF934" s="4"/>
      <c r="AG934" s="4"/>
      <c r="AH934" s="4"/>
      <c r="AI934" s="4"/>
      <c r="AJ934" s="246"/>
      <c r="AK934" s="246"/>
      <c r="AL934" s="129"/>
      <c r="AM934" s="129"/>
      <c r="AN934" s="129"/>
      <c r="AO934" s="246"/>
      <c r="AP934" s="246"/>
      <c r="AQ934" s="249"/>
      <c r="AR934" s="4"/>
      <c r="AS934" s="4"/>
      <c r="AT934" s="4"/>
      <c r="AU934" s="4"/>
      <c r="AV934" s="4"/>
      <c r="AW934" s="4"/>
      <c r="AX934" s="4"/>
      <c r="AY934" s="128"/>
      <c r="AZ934" s="4"/>
      <c r="BA934" s="4"/>
      <c r="BB934" s="4"/>
      <c r="BC934" s="4"/>
      <c r="BD934" s="4"/>
      <c r="BE934" s="4"/>
      <c r="BF934" s="4"/>
      <c r="BG934" s="4"/>
      <c r="BH934" s="4"/>
      <c r="BI934" s="567"/>
    </row>
    <row r="935" spans="1:61" ht="12.75" customHeight="1" x14ac:dyDescent="0.25">
      <c r="A935" s="4"/>
      <c r="B935" s="4"/>
      <c r="C935" s="4"/>
      <c r="D935" s="4"/>
      <c r="E935" s="128"/>
      <c r="F935" s="128"/>
      <c r="G935" s="753"/>
      <c r="H935" s="128"/>
      <c r="I935" s="128"/>
      <c r="J935" s="130"/>
      <c r="K935" s="128"/>
      <c r="L935" s="128"/>
      <c r="M935" s="130"/>
      <c r="N935" s="130"/>
      <c r="O935" s="130"/>
      <c r="P935" s="128"/>
      <c r="Q935" s="128"/>
      <c r="R935" s="128"/>
      <c r="S935" s="298"/>
      <c r="T935" s="4"/>
      <c r="U935" s="4"/>
      <c r="V935" s="4"/>
      <c r="W935" s="4"/>
      <c r="X935" s="4"/>
      <c r="Y935" s="128"/>
      <c r="Z935" s="128"/>
      <c r="AA935" s="128"/>
      <c r="AB935" s="4"/>
      <c r="AC935" s="4"/>
      <c r="AD935" s="4"/>
      <c r="AE935" s="4"/>
      <c r="AF935" s="4"/>
      <c r="AG935" s="4"/>
      <c r="AH935" s="4"/>
      <c r="AI935" s="4"/>
      <c r="AJ935" s="246"/>
      <c r="AK935" s="246"/>
      <c r="AL935" s="129"/>
      <c r="AM935" s="129"/>
      <c r="AN935" s="129"/>
      <c r="AO935" s="246"/>
      <c r="AP935" s="246"/>
      <c r="AQ935" s="249"/>
      <c r="AR935" s="4"/>
      <c r="AS935" s="4"/>
      <c r="AT935" s="4"/>
      <c r="AU935" s="4"/>
      <c r="AV935" s="4"/>
      <c r="AW935" s="4"/>
      <c r="AX935" s="4"/>
      <c r="AY935" s="128"/>
      <c r="AZ935" s="4"/>
      <c r="BA935" s="4"/>
      <c r="BB935" s="4"/>
      <c r="BC935" s="4"/>
      <c r="BD935" s="4"/>
      <c r="BE935" s="4"/>
      <c r="BF935" s="4"/>
      <c r="BG935" s="4"/>
      <c r="BH935" s="4"/>
      <c r="BI935" s="567"/>
    </row>
    <row r="936" spans="1:61" ht="12.75" customHeight="1" x14ac:dyDescent="0.25">
      <c r="A936" s="4"/>
      <c r="B936" s="4"/>
      <c r="C936" s="4"/>
      <c r="D936" s="4"/>
      <c r="E936" s="128"/>
      <c r="F936" s="128"/>
      <c r="G936" s="753"/>
      <c r="H936" s="128"/>
      <c r="I936" s="128"/>
      <c r="J936" s="130"/>
      <c r="K936" s="128"/>
      <c r="L936" s="128"/>
      <c r="M936" s="130"/>
      <c r="N936" s="130"/>
      <c r="O936" s="130"/>
      <c r="P936" s="128"/>
      <c r="Q936" s="128"/>
      <c r="R936" s="128"/>
      <c r="S936" s="298"/>
      <c r="T936" s="4"/>
      <c r="U936" s="4"/>
      <c r="V936" s="4"/>
      <c r="W936" s="4"/>
      <c r="X936" s="4"/>
      <c r="Y936" s="128"/>
      <c r="Z936" s="128"/>
      <c r="AA936" s="128"/>
      <c r="AB936" s="4"/>
      <c r="AC936" s="4"/>
      <c r="AD936" s="4"/>
      <c r="AE936" s="4"/>
      <c r="AF936" s="4"/>
      <c r="AG936" s="4"/>
      <c r="AH936" s="4"/>
      <c r="AI936" s="4"/>
      <c r="AJ936" s="246"/>
      <c r="AK936" s="246"/>
      <c r="AL936" s="129"/>
      <c r="AM936" s="129"/>
      <c r="AN936" s="129"/>
      <c r="AO936" s="246"/>
      <c r="AP936" s="246"/>
      <c r="AQ936" s="249"/>
      <c r="AR936" s="4"/>
      <c r="AS936" s="4"/>
      <c r="AT936" s="4"/>
      <c r="AU936" s="4"/>
      <c r="AV936" s="4"/>
      <c r="AW936" s="4"/>
      <c r="AX936" s="4"/>
      <c r="AY936" s="128"/>
      <c r="AZ936" s="4"/>
      <c r="BA936" s="4"/>
      <c r="BB936" s="4"/>
      <c r="BC936" s="4"/>
      <c r="BD936" s="4"/>
      <c r="BE936" s="4"/>
      <c r="BF936" s="4"/>
      <c r="BG936" s="4"/>
      <c r="BH936" s="4"/>
      <c r="BI936" s="567"/>
    </row>
    <row r="937" spans="1:61" ht="12.75" customHeight="1" x14ac:dyDescent="0.25">
      <c r="A937" s="4"/>
      <c r="B937" s="4"/>
      <c r="C937" s="4"/>
      <c r="D937" s="4"/>
      <c r="E937" s="128"/>
      <c r="F937" s="128"/>
      <c r="G937" s="753"/>
      <c r="H937" s="128"/>
      <c r="I937" s="128"/>
      <c r="J937" s="130"/>
      <c r="K937" s="128"/>
      <c r="L937" s="128"/>
      <c r="M937" s="130"/>
      <c r="N937" s="130"/>
      <c r="O937" s="130"/>
      <c r="P937" s="128"/>
      <c r="Q937" s="128"/>
      <c r="R937" s="128"/>
      <c r="S937" s="298"/>
      <c r="T937" s="4"/>
      <c r="U937" s="4"/>
      <c r="V937" s="4"/>
      <c r="W937" s="4"/>
      <c r="X937" s="4"/>
      <c r="Y937" s="128"/>
      <c r="Z937" s="128"/>
      <c r="AA937" s="128"/>
      <c r="AB937" s="4"/>
      <c r="AC937" s="4"/>
      <c r="AD937" s="4"/>
      <c r="AE937" s="4"/>
      <c r="AF937" s="4"/>
      <c r="AG937" s="4"/>
      <c r="AH937" s="4"/>
      <c r="AI937" s="4"/>
      <c r="AJ937" s="246"/>
      <c r="AK937" s="246"/>
      <c r="AL937" s="129"/>
      <c r="AM937" s="129"/>
      <c r="AN937" s="129"/>
      <c r="AO937" s="246"/>
      <c r="AP937" s="246"/>
      <c r="AQ937" s="249"/>
      <c r="AR937" s="4"/>
      <c r="AS937" s="4"/>
      <c r="AT937" s="4"/>
      <c r="AU937" s="4"/>
      <c r="AV937" s="4"/>
      <c r="AW937" s="4"/>
      <c r="AX937" s="4"/>
      <c r="AY937" s="128"/>
      <c r="AZ937" s="4"/>
      <c r="BA937" s="4"/>
      <c r="BB937" s="4"/>
      <c r="BC937" s="4"/>
      <c r="BD937" s="4"/>
      <c r="BE937" s="4"/>
      <c r="BF937" s="4"/>
      <c r="BG937" s="4"/>
      <c r="BH937" s="4"/>
      <c r="BI937" s="567"/>
    </row>
    <row r="938" spans="1:61" ht="12.75" customHeight="1" x14ac:dyDescent="0.25">
      <c r="A938" s="4"/>
      <c r="B938" s="4"/>
      <c r="C938" s="4"/>
      <c r="D938" s="4"/>
      <c r="E938" s="128"/>
      <c r="F938" s="128"/>
      <c r="G938" s="753"/>
      <c r="H938" s="128"/>
      <c r="I938" s="128"/>
      <c r="J938" s="130"/>
      <c r="K938" s="128"/>
      <c r="L938" s="128"/>
      <c r="M938" s="130"/>
      <c r="N938" s="130"/>
      <c r="O938" s="130"/>
      <c r="P938" s="128"/>
      <c r="Q938" s="128"/>
      <c r="R938" s="128"/>
      <c r="S938" s="298"/>
      <c r="T938" s="4"/>
      <c r="U938" s="4"/>
      <c r="V938" s="4"/>
      <c r="W938" s="4"/>
      <c r="X938" s="4"/>
      <c r="Y938" s="128"/>
      <c r="Z938" s="128"/>
      <c r="AA938" s="128"/>
      <c r="AB938" s="4"/>
      <c r="AC938" s="4"/>
      <c r="AD938" s="4"/>
      <c r="AE938" s="4"/>
      <c r="AF938" s="4"/>
      <c r="AG938" s="4"/>
      <c r="AH938" s="4"/>
      <c r="AI938" s="4"/>
      <c r="AJ938" s="246"/>
      <c r="AK938" s="246"/>
      <c r="AL938" s="129"/>
      <c r="AM938" s="129"/>
      <c r="AN938" s="129"/>
      <c r="AO938" s="246"/>
      <c r="AP938" s="246"/>
      <c r="AQ938" s="249"/>
      <c r="AR938" s="4"/>
      <c r="AS938" s="4"/>
      <c r="AT938" s="4"/>
      <c r="AU938" s="4"/>
      <c r="AV938" s="4"/>
      <c r="AW938" s="4"/>
      <c r="AX938" s="4"/>
      <c r="AY938" s="128"/>
      <c r="AZ938" s="4"/>
      <c r="BA938" s="4"/>
      <c r="BB938" s="4"/>
      <c r="BC938" s="4"/>
      <c r="BD938" s="4"/>
      <c r="BE938" s="4"/>
      <c r="BF938" s="4"/>
      <c r="BG938" s="4"/>
      <c r="BH938" s="4"/>
      <c r="BI938" s="567"/>
    </row>
    <row r="939" spans="1:61" ht="12.75" customHeight="1" x14ac:dyDescent="0.25">
      <c r="A939" s="4"/>
      <c r="B939" s="4"/>
      <c r="C939" s="4"/>
      <c r="D939" s="4"/>
      <c r="E939" s="128"/>
      <c r="F939" s="128"/>
      <c r="G939" s="753"/>
      <c r="H939" s="128"/>
      <c r="I939" s="128"/>
      <c r="J939" s="130"/>
      <c r="K939" s="128"/>
      <c r="L939" s="128"/>
      <c r="M939" s="130"/>
      <c r="N939" s="130"/>
      <c r="O939" s="130"/>
      <c r="P939" s="128"/>
      <c r="Q939" s="128"/>
      <c r="R939" s="128"/>
      <c r="S939" s="298"/>
      <c r="T939" s="4"/>
      <c r="U939" s="4"/>
      <c r="V939" s="4"/>
      <c r="W939" s="4"/>
      <c r="X939" s="4"/>
      <c r="Y939" s="128"/>
      <c r="Z939" s="128"/>
      <c r="AA939" s="128"/>
      <c r="AB939" s="4"/>
      <c r="AC939" s="4"/>
      <c r="AD939" s="4"/>
      <c r="AE939" s="4"/>
      <c r="AF939" s="4"/>
      <c r="AG939" s="4"/>
      <c r="AH939" s="4"/>
      <c r="AI939" s="4"/>
      <c r="AJ939" s="246"/>
      <c r="AK939" s="246"/>
      <c r="AL939" s="129"/>
      <c r="AM939" s="129"/>
      <c r="AN939" s="129"/>
      <c r="AO939" s="246"/>
      <c r="AP939" s="246"/>
      <c r="AQ939" s="249"/>
      <c r="AR939" s="4"/>
      <c r="AS939" s="4"/>
      <c r="AT939" s="4"/>
      <c r="AU939" s="4"/>
      <c r="AV939" s="4"/>
      <c r="AW939" s="4"/>
      <c r="AX939" s="4"/>
      <c r="AY939" s="128"/>
      <c r="AZ939" s="4"/>
      <c r="BA939" s="4"/>
      <c r="BB939" s="4"/>
      <c r="BC939" s="4"/>
      <c r="BD939" s="4"/>
      <c r="BE939" s="4"/>
      <c r="BF939" s="4"/>
      <c r="BG939" s="4"/>
      <c r="BH939" s="4"/>
      <c r="BI939" s="567"/>
    </row>
    <row r="940" spans="1:61" ht="12.75" customHeight="1" x14ac:dyDescent="0.25">
      <c r="A940" s="4"/>
      <c r="B940" s="4"/>
      <c r="C940" s="4"/>
      <c r="D940" s="4"/>
      <c r="E940" s="128"/>
      <c r="F940" s="128"/>
      <c r="G940" s="753"/>
      <c r="H940" s="128"/>
      <c r="I940" s="128"/>
      <c r="J940" s="130"/>
      <c r="K940" s="128"/>
      <c r="L940" s="128"/>
      <c r="M940" s="130"/>
      <c r="N940" s="130"/>
      <c r="O940" s="130"/>
      <c r="P940" s="128"/>
      <c r="Q940" s="128"/>
      <c r="R940" s="128"/>
      <c r="S940" s="298"/>
      <c r="T940" s="4"/>
      <c r="U940" s="4"/>
      <c r="V940" s="4"/>
      <c r="W940" s="4"/>
      <c r="X940" s="4"/>
      <c r="Y940" s="128"/>
      <c r="Z940" s="128"/>
      <c r="AA940" s="128"/>
      <c r="AB940" s="4"/>
      <c r="AC940" s="4"/>
      <c r="AD940" s="4"/>
      <c r="AE940" s="4"/>
      <c r="AF940" s="4"/>
      <c r="AG940" s="4"/>
      <c r="AH940" s="4"/>
      <c r="AI940" s="4"/>
      <c r="AJ940" s="246"/>
      <c r="AK940" s="246"/>
      <c r="AL940" s="129"/>
      <c r="AM940" s="129"/>
      <c r="AN940" s="129"/>
      <c r="AO940" s="246"/>
      <c r="AP940" s="246"/>
      <c r="AQ940" s="249"/>
      <c r="AR940" s="4"/>
      <c r="AS940" s="4"/>
      <c r="AT940" s="4"/>
      <c r="AU940" s="4"/>
      <c r="AV940" s="4"/>
      <c r="AW940" s="4"/>
      <c r="AX940" s="4"/>
      <c r="AY940" s="128"/>
      <c r="AZ940" s="4"/>
      <c r="BA940" s="4"/>
      <c r="BB940" s="4"/>
      <c r="BC940" s="4"/>
      <c r="BD940" s="4"/>
      <c r="BE940" s="4"/>
      <c r="BF940" s="4"/>
      <c r="BG940" s="4"/>
      <c r="BH940" s="4"/>
      <c r="BI940" s="567"/>
    </row>
    <row r="941" spans="1:61" ht="12.75" customHeight="1" x14ac:dyDescent="0.25">
      <c r="A941" s="4"/>
      <c r="B941" s="4"/>
      <c r="C941" s="4"/>
      <c r="D941" s="4"/>
      <c r="E941" s="128"/>
      <c r="F941" s="128"/>
      <c r="G941" s="753"/>
      <c r="H941" s="128"/>
      <c r="I941" s="128"/>
      <c r="J941" s="130"/>
      <c r="K941" s="128"/>
      <c r="L941" s="128"/>
      <c r="M941" s="130"/>
      <c r="N941" s="130"/>
      <c r="O941" s="130"/>
      <c r="P941" s="128"/>
      <c r="Q941" s="128"/>
      <c r="R941" s="128"/>
      <c r="S941" s="298"/>
      <c r="T941" s="4"/>
      <c r="U941" s="4"/>
      <c r="V941" s="4"/>
      <c r="W941" s="4"/>
      <c r="X941" s="4"/>
      <c r="Y941" s="128"/>
      <c r="Z941" s="128"/>
      <c r="AA941" s="128"/>
      <c r="AB941" s="4"/>
      <c r="AC941" s="4"/>
      <c r="AD941" s="4"/>
      <c r="AE941" s="4"/>
      <c r="AF941" s="4"/>
      <c r="AG941" s="4"/>
      <c r="AH941" s="4"/>
      <c r="AI941" s="4"/>
      <c r="AJ941" s="246"/>
      <c r="AK941" s="246"/>
      <c r="AL941" s="129"/>
      <c r="AM941" s="129"/>
      <c r="AN941" s="129"/>
      <c r="AO941" s="246"/>
      <c r="AP941" s="246"/>
      <c r="AQ941" s="249"/>
      <c r="AR941" s="4"/>
      <c r="AS941" s="4"/>
      <c r="AT941" s="4"/>
      <c r="AU941" s="4"/>
      <c r="AV941" s="4"/>
      <c r="AW941" s="4"/>
      <c r="AX941" s="4"/>
      <c r="AY941" s="128"/>
      <c r="AZ941" s="4"/>
      <c r="BA941" s="4"/>
      <c r="BB941" s="4"/>
      <c r="BC941" s="4"/>
      <c r="BD941" s="4"/>
      <c r="BE941" s="4"/>
      <c r="BF941" s="4"/>
      <c r="BG941" s="4"/>
      <c r="BH941" s="4"/>
      <c r="BI941" s="567"/>
    </row>
    <row r="942" spans="1:61" ht="12.75" customHeight="1" x14ac:dyDescent="0.25">
      <c r="A942" s="4"/>
      <c r="B942" s="4"/>
      <c r="C942" s="4"/>
      <c r="D942" s="4"/>
      <c r="E942" s="128"/>
      <c r="F942" s="128"/>
      <c r="G942" s="753"/>
      <c r="H942" s="128"/>
      <c r="I942" s="128"/>
      <c r="J942" s="130"/>
      <c r="K942" s="128"/>
      <c r="L942" s="128"/>
      <c r="M942" s="130"/>
      <c r="N942" s="130"/>
      <c r="O942" s="130"/>
      <c r="P942" s="128"/>
      <c r="Q942" s="128"/>
      <c r="R942" s="128"/>
      <c r="S942" s="298"/>
      <c r="T942" s="4"/>
      <c r="U942" s="4"/>
      <c r="V942" s="4"/>
      <c r="W942" s="4"/>
      <c r="X942" s="4"/>
      <c r="Y942" s="128"/>
      <c r="Z942" s="128"/>
      <c r="AA942" s="128"/>
      <c r="AB942" s="4"/>
      <c r="AC942" s="4"/>
      <c r="AD942" s="4"/>
      <c r="AE942" s="4"/>
      <c r="AF942" s="4"/>
      <c r="AG942" s="4"/>
      <c r="AH942" s="4"/>
      <c r="AI942" s="4"/>
      <c r="AJ942" s="246"/>
      <c r="AK942" s="246"/>
      <c r="AL942" s="129"/>
      <c r="AM942" s="129"/>
      <c r="AN942" s="129"/>
      <c r="AO942" s="246"/>
      <c r="AP942" s="246"/>
      <c r="AQ942" s="249"/>
      <c r="AR942" s="4"/>
      <c r="AS942" s="4"/>
      <c r="AT942" s="4"/>
      <c r="AU942" s="4"/>
      <c r="AV942" s="4"/>
      <c r="AW942" s="4"/>
      <c r="AX942" s="4"/>
      <c r="AY942" s="128"/>
      <c r="AZ942" s="4"/>
      <c r="BA942" s="4"/>
      <c r="BB942" s="4"/>
      <c r="BC942" s="4"/>
      <c r="BD942" s="4"/>
      <c r="BE942" s="4"/>
      <c r="BF942" s="4"/>
      <c r="BG942" s="4"/>
      <c r="BH942" s="4"/>
      <c r="BI942" s="567"/>
    </row>
    <row r="943" spans="1:61" ht="12.75" customHeight="1" x14ac:dyDescent="0.25">
      <c r="A943" s="4"/>
      <c r="B943" s="4"/>
      <c r="C943" s="4"/>
      <c r="D943" s="4"/>
      <c r="E943" s="128"/>
      <c r="F943" s="128"/>
      <c r="G943" s="753"/>
      <c r="H943" s="128"/>
      <c r="I943" s="128"/>
      <c r="J943" s="130"/>
      <c r="K943" s="128"/>
      <c r="L943" s="128"/>
      <c r="M943" s="130"/>
      <c r="N943" s="130"/>
      <c r="O943" s="130"/>
      <c r="P943" s="128"/>
      <c r="Q943" s="128"/>
      <c r="R943" s="128"/>
      <c r="S943" s="298"/>
      <c r="T943" s="4"/>
      <c r="U943" s="4"/>
      <c r="V943" s="4"/>
      <c r="W943" s="4"/>
      <c r="X943" s="4"/>
      <c r="Y943" s="128"/>
      <c r="Z943" s="128"/>
      <c r="AA943" s="128"/>
      <c r="AB943" s="4"/>
      <c r="AC943" s="4"/>
      <c r="AD943" s="4"/>
      <c r="AE943" s="4"/>
      <c r="AF943" s="4"/>
      <c r="AG943" s="4"/>
      <c r="AH943" s="4"/>
      <c r="AI943" s="4"/>
      <c r="AJ943" s="246"/>
      <c r="AK943" s="246"/>
      <c r="AL943" s="129"/>
      <c r="AM943" s="129"/>
      <c r="AN943" s="129"/>
      <c r="AO943" s="246"/>
      <c r="AP943" s="246"/>
      <c r="AQ943" s="249"/>
      <c r="AR943" s="4"/>
      <c r="AS943" s="4"/>
      <c r="AT943" s="4"/>
      <c r="AU943" s="4"/>
      <c r="AV943" s="4"/>
      <c r="AW943" s="4"/>
      <c r="AX943" s="4"/>
      <c r="AY943" s="128"/>
      <c r="AZ943" s="4"/>
      <c r="BA943" s="4"/>
      <c r="BB943" s="4"/>
      <c r="BC943" s="4"/>
      <c r="BD943" s="4"/>
      <c r="BE943" s="4"/>
      <c r="BF943" s="4"/>
      <c r="BG943" s="4"/>
      <c r="BH943" s="4"/>
      <c r="BI943" s="567"/>
    </row>
    <row r="944" spans="1:61" ht="12.75" customHeight="1" x14ac:dyDescent="0.25">
      <c r="A944" s="4"/>
      <c r="B944" s="4"/>
      <c r="C944" s="4"/>
      <c r="D944" s="4"/>
      <c r="E944" s="128"/>
      <c r="F944" s="128"/>
      <c r="G944" s="753"/>
      <c r="H944" s="128"/>
      <c r="I944" s="128"/>
      <c r="J944" s="130"/>
      <c r="K944" s="128"/>
      <c r="L944" s="128"/>
      <c r="M944" s="130"/>
      <c r="N944" s="130"/>
      <c r="O944" s="130"/>
      <c r="P944" s="128"/>
      <c r="Q944" s="128"/>
      <c r="R944" s="128"/>
      <c r="S944" s="298"/>
      <c r="T944" s="4"/>
      <c r="U944" s="4"/>
      <c r="V944" s="4"/>
      <c r="W944" s="4"/>
      <c r="X944" s="4"/>
      <c r="Y944" s="128"/>
      <c r="Z944" s="128"/>
      <c r="AA944" s="128"/>
      <c r="AB944" s="4"/>
      <c r="AC944" s="4"/>
      <c r="AD944" s="4"/>
      <c r="AE944" s="4"/>
      <c r="AF944" s="4"/>
      <c r="AG944" s="4"/>
      <c r="AH944" s="4"/>
      <c r="AI944" s="4"/>
      <c r="AJ944" s="246"/>
      <c r="AK944" s="246"/>
      <c r="AL944" s="129"/>
      <c r="AM944" s="129"/>
      <c r="AN944" s="129"/>
      <c r="AO944" s="246"/>
      <c r="AP944" s="246"/>
      <c r="AQ944" s="249"/>
      <c r="AR944" s="4"/>
      <c r="AS944" s="4"/>
      <c r="AT944" s="4"/>
      <c r="AU944" s="4"/>
      <c r="AV944" s="4"/>
      <c r="AW944" s="4"/>
      <c r="AX944" s="4"/>
      <c r="AY944" s="128"/>
      <c r="AZ944" s="4"/>
      <c r="BA944" s="4"/>
      <c r="BB944" s="4"/>
      <c r="BC944" s="4"/>
      <c r="BD944" s="4"/>
      <c r="BE944" s="4"/>
      <c r="BF944" s="4"/>
      <c r="BG944" s="4"/>
      <c r="BH944" s="4"/>
      <c r="BI944" s="567"/>
    </row>
    <row r="945" spans="1:61" ht="12.75" customHeight="1" x14ac:dyDescent="0.25">
      <c r="A945" s="4"/>
      <c r="B945" s="4"/>
      <c r="C945" s="4"/>
      <c r="D945" s="4"/>
      <c r="E945" s="128"/>
      <c r="F945" s="128"/>
      <c r="G945" s="753"/>
      <c r="H945" s="128"/>
      <c r="I945" s="128"/>
      <c r="J945" s="130"/>
      <c r="K945" s="128"/>
      <c r="L945" s="128"/>
      <c r="M945" s="130"/>
      <c r="N945" s="130"/>
      <c r="O945" s="130"/>
      <c r="P945" s="128"/>
      <c r="Q945" s="128"/>
      <c r="R945" s="128"/>
      <c r="S945" s="298"/>
      <c r="T945" s="4"/>
      <c r="U945" s="4"/>
      <c r="V945" s="4"/>
      <c r="W945" s="4"/>
      <c r="X945" s="4"/>
      <c r="Y945" s="128"/>
      <c r="Z945" s="128"/>
      <c r="AA945" s="128"/>
      <c r="AB945" s="4"/>
      <c r="AC945" s="4"/>
      <c r="AD945" s="4"/>
      <c r="AE945" s="4"/>
      <c r="AF945" s="4"/>
      <c r="AG945" s="4"/>
      <c r="AH945" s="4"/>
      <c r="AI945" s="4"/>
      <c r="AJ945" s="246"/>
      <c r="AK945" s="246"/>
      <c r="AL945" s="129"/>
      <c r="AM945" s="129"/>
      <c r="AN945" s="129"/>
      <c r="AO945" s="246"/>
      <c r="AP945" s="246"/>
      <c r="AQ945" s="249"/>
      <c r="AR945" s="4"/>
      <c r="AS945" s="4"/>
      <c r="AT945" s="4"/>
      <c r="AU945" s="4"/>
      <c r="AV945" s="4"/>
      <c r="AW945" s="4"/>
      <c r="AX945" s="4"/>
      <c r="AY945" s="128"/>
      <c r="AZ945" s="4"/>
      <c r="BA945" s="4"/>
      <c r="BB945" s="4"/>
      <c r="BC945" s="4"/>
      <c r="BD945" s="4"/>
      <c r="BE945" s="4"/>
      <c r="BF945" s="4"/>
      <c r="BG945" s="4"/>
      <c r="BH945" s="4"/>
      <c r="BI945" s="567"/>
    </row>
    <row r="946" spans="1:61" ht="12.75" customHeight="1" x14ac:dyDescent="0.25">
      <c r="A946" s="4"/>
      <c r="B946" s="4"/>
      <c r="C946" s="4"/>
      <c r="D946" s="4"/>
      <c r="E946" s="128"/>
      <c r="F946" s="128"/>
      <c r="G946" s="753"/>
      <c r="H946" s="128"/>
      <c r="I946" s="128"/>
      <c r="J946" s="130"/>
      <c r="K946" s="128"/>
      <c r="L946" s="128"/>
      <c r="M946" s="130"/>
      <c r="N946" s="130"/>
      <c r="O946" s="130"/>
      <c r="P946" s="128"/>
      <c r="Q946" s="128"/>
      <c r="R946" s="128"/>
      <c r="S946" s="298"/>
      <c r="T946" s="4"/>
      <c r="U946" s="4"/>
      <c r="V946" s="4"/>
      <c r="W946" s="4"/>
      <c r="X946" s="4"/>
      <c r="Y946" s="128"/>
      <c r="Z946" s="128"/>
      <c r="AA946" s="128"/>
      <c r="AB946" s="4"/>
      <c r="AC946" s="4"/>
      <c r="AD946" s="4"/>
      <c r="AE946" s="4"/>
      <c r="AF946" s="4"/>
      <c r="AG946" s="4"/>
      <c r="AH946" s="4"/>
      <c r="AI946" s="4"/>
      <c r="AJ946" s="246"/>
      <c r="AK946" s="246"/>
      <c r="AL946" s="129"/>
      <c r="AM946" s="129"/>
      <c r="AN946" s="129"/>
      <c r="AO946" s="246"/>
      <c r="AP946" s="246"/>
      <c r="AQ946" s="249"/>
      <c r="AR946" s="4"/>
      <c r="AS946" s="4"/>
      <c r="AT946" s="4"/>
      <c r="AU946" s="4"/>
      <c r="AV946" s="4"/>
      <c r="AW946" s="4"/>
      <c r="AX946" s="4"/>
      <c r="AY946" s="128"/>
      <c r="AZ946" s="4"/>
      <c r="BA946" s="4"/>
      <c r="BB946" s="4"/>
      <c r="BC946" s="4"/>
      <c r="BD946" s="4"/>
      <c r="BE946" s="4"/>
      <c r="BF946" s="4"/>
      <c r="BG946" s="4"/>
      <c r="BH946" s="4"/>
      <c r="BI946" s="567"/>
    </row>
    <row r="947" spans="1:61" ht="12.75" customHeight="1" x14ac:dyDescent="0.25">
      <c r="A947" s="4"/>
      <c r="B947" s="4"/>
      <c r="C947" s="4"/>
      <c r="D947" s="4"/>
      <c r="E947" s="128"/>
      <c r="F947" s="128"/>
      <c r="G947" s="753"/>
      <c r="H947" s="128"/>
      <c r="I947" s="128"/>
      <c r="J947" s="130"/>
      <c r="K947" s="128"/>
      <c r="L947" s="128"/>
      <c r="M947" s="130"/>
      <c r="N947" s="130"/>
      <c r="O947" s="130"/>
      <c r="P947" s="128"/>
      <c r="Q947" s="128"/>
      <c r="R947" s="128"/>
      <c r="S947" s="298"/>
      <c r="T947" s="4"/>
      <c r="U947" s="4"/>
      <c r="V947" s="4"/>
      <c r="W947" s="4"/>
      <c r="X947" s="4"/>
      <c r="Y947" s="128"/>
      <c r="Z947" s="128"/>
      <c r="AA947" s="128"/>
      <c r="AB947" s="4"/>
      <c r="AC947" s="4"/>
      <c r="AD947" s="4"/>
      <c r="AE947" s="4"/>
      <c r="AF947" s="4"/>
      <c r="AG947" s="4"/>
      <c r="AH947" s="4"/>
      <c r="AI947" s="4"/>
      <c r="AJ947" s="246"/>
      <c r="AK947" s="246"/>
      <c r="AL947" s="129"/>
      <c r="AM947" s="129"/>
      <c r="AN947" s="129"/>
      <c r="AO947" s="246"/>
      <c r="AP947" s="246"/>
      <c r="AQ947" s="249"/>
      <c r="AR947" s="4"/>
      <c r="AS947" s="4"/>
      <c r="AT947" s="4"/>
      <c r="AU947" s="4"/>
      <c r="AV947" s="4"/>
      <c r="AW947" s="4"/>
      <c r="AX947" s="4"/>
      <c r="AY947" s="128"/>
      <c r="AZ947" s="4"/>
      <c r="BA947" s="4"/>
      <c r="BB947" s="4"/>
      <c r="BC947" s="4"/>
      <c r="BD947" s="4"/>
      <c r="BE947" s="4"/>
      <c r="BF947" s="4"/>
      <c r="BG947" s="4"/>
      <c r="BH947" s="4"/>
      <c r="BI947" s="567"/>
    </row>
    <row r="948" spans="1:61" ht="12.75" customHeight="1" x14ac:dyDescent="0.25">
      <c r="A948" s="4"/>
      <c r="B948" s="4"/>
      <c r="C948" s="4"/>
      <c r="D948" s="4"/>
      <c r="E948" s="128"/>
      <c r="F948" s="128"/>
      <c r="G948" s="753"/>
      <c r="H948" s="128"/>
      <c r="I948" s="128"/>
      <c r="J948" s="130"/>
      <c r="K948" s="128"/>
      <c r="L948" s="128"/>
      <c r="M948" s="130"/>
      <c r="N948" s="130"/>
      <c r="O948" s="130"/>
      <c r="P948" s="128"/>
      <c r="Q948" s="128"/>
      <c r="R948" s="128"/>
      <c r="S948" s="298"/>
      <c r="T948" s="4"/>
      <c r="U948" s="4"/>
      <c r="V948" s="4"/>
      <c r="W948" s="4"/>
      <c r="X948" s="4"/>
      <c r="Y948" s="128"/>
      <c r="Z948" s="128"/>
      <c r="AA948" s="128"/>
      <c r="AB948" s="4"/>
      <c r="AC948" s="4"/>
      <c r="AD948" s="4"/>
      <c r="AE948" s="4"/>
      <c r="AF948" s="4"/>
      <c r="AG948" s="4"/>
      <c r="AH948" s="4"/>
      <c r="AI948" s="4"/>
      <c r="AJ948" s="246"/>
      <c r="AK948" s="246"/>
      <c r="AL948" s="129"/>
      <c r="AM948" s="129"/>
      <c r="AN948" s="129"/>
      <c r="AO948" s="246"/>
      <c r="AP948" s="246"/>
      <c r="AQ948" s="249"/>
      <c r="AR948" s="4"/>
      <c r="AS948" s="4"/>
      <c r="AT948" s="4"/>
      <c r="AU948" s="4"/>
      <c r="AV948" s="4"/>
      <c r="AW948" s="4"/>
      <c r="AX948" s="4"/>
      <c r="AY948" s="128"/>
      <c r="AZ948" s="4"/>
      <c r="BA948" s="4"/>
      <c r="BB948" s="4"/>
      <c r="BC948" s="4"/>
      <c r="BD948" s="4"/>
      <c r="BE948" s="4"/>
      <c r="BF948" s="4"/>
      <c r="BG948" s="4"/>
      <c r="BH948" s="4"/>
      <c r="BI948" s="567"/>
    </row>
    <row r="949" spans="1:61" ht="12.75" customHeight="1" x14ac:dyDescent="0.25">
      <c r="A949" s="4"/>
      <c r="B949" s="4"/>
      <c r="C949" s="4"/>
      <c r="D949" s="4"/>
      <c r="E949" s="128"/>
      <c r="F949" s="128"/>
      <c r="G949" s="753"/>
      <c r="H949" s="128"/>
      <c r="I949" s="128"/>
      <c r="J949" s="130"/>
      <c r="K949" s="128"/>
      <c r="L949" s="128"/>
      <c r="M949" s="130"/>
      <c r="N949" s="130"/>
      <c r="O949" s="130"/>
      <c r="P949" s="128"/>
      <c r="Q949" s="128"/>
      <c r="R949" s="128"/>
      <c r="S949" s="298"/>
      <c r="T949" s="4"/>
      <c r="U949" s="4"/>
      <c r="V949" s="4"/>
      <c r="W949" s="4"/>
      <c r="X949" s="4"/>
      <c r="Y949" s="128"/>
      <c r="Z949" s="128"/>
      <c r="AA949" s="128"/>
      <c r="AB949" s="4"/>
      <c r="AC949" s="4"/>
      <c r="AD949" s="4"/>
      <c r="AE949" s="4"/>
      <c r="AF949" s="4"/>
      <c r="AG949" s="4"/>
      <c r="AH949" s="4"/>
      <c r="AI949" s="4"/>
      <c r="AJ949" s="246"/>
      <c r="AK949" s="246"/>
      <c r="AL949" s="129"/>
      <c r="AM949" s="129"/>
      <c r="AN949" s="129"/>
      <c r="AO949" s="246"/>
      <c r="AP949" s="246"/>
      <c r="AQ949" s="249"/>
      <c r="AR949" s="4"/>
      <c r="AS949" s="4"/>
      <c r="AT949" s="4"/>
      <c r="AU949" s="4"/>
      <c r="AV949" s="4"/>
      <c r="AW949" s="4"/>
      <c r="AX949" s="4"/>
      <c r="AY949" s="128"/>
      <c r="AZ949" s="4"/>
      <c r="BA949" s="4"/>
      <c r="BB949" s="4"/>
      <c r="BC949" s="4"/>
      <c r="BD949" s="4"/>
      <c r="BE949" s="4"/>
      <c r="BF949" s="4"/>
      <c r="BG949" s="4"/>
      <c r="BH949" s="4"/>
      <c r="BI949" s="567"/>
    </row>
    <row r="950" spans="1:61" ht="12.75" customHeight="1" x14ac:dyDescent="0.25">
      <c r="A950" s="4"/>
      <c r="B950" s="4"/>
      <c r="C950" s="4"/>
      <c r="D950" s="4"/>
      <c r="E950" s="128"/>
      <c r="F950" s="128"/>
      <c r="G950" s="753"/>
      <c r="H950" s="128"/>
      <c r="I950" s="128"/>
      <c r="J950" s="130"/>
      <c r="K950" s="128"/>
      <c r="L950" s="128"/>
      <c r="M950" s="130"/>
      <c r="N950" s="130"/>
      <c r="O950" s="130"/>
      <c r="P950" s="128"/>
      <c r="Q950" s="128"/>
      <c r="R950" s="128"/>
      <c r="S950" s="298"/>
      <c r="T950" s="4"/>
      <c r="U950" s="4"/>
      <c r="V950" s="4"/>
      <c r="W950" s="4"/>
      <c r="X950" s="4"/>
      <c r="Y950" s="128"/>
      <c r="Z950" s="128"/>
      <c r="AA950" s="128"/>
      <c r="AB950" s="4"/>
      <c r="AC950" s="4"/>
      <c r="AD950" s="4"/>
      <c r="AE950" s="4"/>
      <c r="AF950" s="4"/>
      <c r="AG950" s="4"/>
      <c r="AH950" s="4"/>
      <c r="AI950" s="4"/>
      <c r="AJ950" s="246"/>
      <c r="AK950" s="246"/>
      <c r="AL950" s="129"/>
      <c r="AM950" s="129"/>
      <c r="AN950" s="129"/>
      <c r="AO950" s="246"/>
      <c r="AP950" s="246"/>
      <c r="AQ950" s="249"/>
      <c r="AR950" s="4"/>
      <c r="AS950" s="4"/>
      <c r="AT950" s="4"/>
      <c r="AU950" s="4"/>
      <c r="AV950" s="4"/>
      <c r="AW950" s="4"/>
      <c r="AX950" s="4"/>
      <c r="AY950" s="128"/>
      <c r="AZ950" s="4"/>
      <c r="BA950" s="4"/>
      <c r="BB950" s="4"/>
      <c r="BC950" s="4"/>
      <c r="BD950" s="4"/>
      <c r="BE950" s="4"/>
      <c r="BF950" s="4"/>
      <c r="BG950" s="4"/>
      <c r="BH950" s="4"/>
      <c r="BI950" s="567"/>
    </row>
    <row r="951" spans="1:61" ht="12.75" customHeight="1" x14ac:dyDescent="0.25">
      <c r="A951" s="4"/>
      <c r="B951" s="4"/>
      <c r="C951" s="4"/>
      <c r="D951" s="4"/>
      <c r="E951" s="128"/>
      <c r="F951" s="128"/>
      <c r="G951" s="753"/>
      <c r="H951" s="128"/>
      <c r="I951" s="128"/>
      <c r="J951" s="130"/>
      <c r="K951" s="128"/>
      <c r="L951" s="128"/>
      <c r="M951" s="130"/>
      <c r="N951" s="130"/>
      <c r="O951" s="130"/>
      <c r="P951" s="128"/>
      <c r="Q951" s="128"/>
      <c r="R951" s="128"/>
      <c r="S951" s="298"/>
      <c r="T951" s="4"/>
      <c r="U951" s="4"/>
      <c r="V951" s="4"/>
      <c r="W951" s="4"/>
      <c r="X951" s="4"/>
      <c r="Y951" s="128"/>
      <c r="Z951" s="128"/>
      <c r="AA951" s="128"/>
      <c r="AB951" s="4"/>
      <c r="AC951" s="4"/>
      <c r="AD951" s="4"/>
      <c r="AE951" s="4"/>
      <c r="AF951" s="4"/>
      <c r="AG951" s="4"/>
      <c r="AH951" s="4"/>
      <c r="AI951" s="4"/>
      <c r="AJ951" s="246"/>
      <c r="AK951" s="246"/>
      <c r="AL951" s="129"/>
      <c r="AM951" s="129"/>
      <c r="AN951" s="129"/>
      <c r="AO951" s="246"/>
      <c r="AP951" s="246"/>
      <c r="AQ951" s="249"/>
      <c r="AR951" s="4"/>
      <c r="AS951" s="4"/>
      <c r="AT951" s="4"/>
      <c r="AU951" s="4"/>
      <c r="AV951" s="4"/>
      <c r="AW951" s="4"/>
      <c r="AX951" s="4"/>
      <c r="AY951" s="128"/>
      <c r="AZ951" s="4"/>
      <c r="BA951" s="4"/>
      <c r="BB951" s="4"/>
      <c r="BC951" s="4"/>
      <c r="BD951" s="4"/>
      <c r="BE951" s="4"/>
      <c r="BF951" s="4"/>
      <c r="BG951" s="4"/>
      <c r="BH951" s="4"/>
      <c r="BI951" s="567"/>
    </row>
    <row r="952" spans="1:61" ht="12.75" customHeight="1" x14ac:dyDescent="0.25">
      <c r="A952" s="4"/>
      <c r="B952" s="4"/>
      <c r="C952" s="4"/>
      <c r="D952" s="4"/>
      <c r="E952" s="128"/>
      <c r="F952" s="128"/>
      <c r="G952" s="753"/>
      <c r="H952" s="128"/>
      <c r="I952" s="128"/>
      <c r="J952" s="130"/>
      <c r="K952" s="128"/>
      <c r="L952" s="128"/>
      <c r="M952" s="130"/>
      <c r="N952" s="130"/>
      <c r="O952" s="130"/>
      <c r="P952" s="128"/>
      <c r="Q952" s="128"/>
      <c r="R952" s="128"/>
      <c r="S952" s="298"/>
      <c r="T952" s="4"/>
      <c r="U952" s="4"/>
      <c r="V952" s="4"/>
      <c r="W952" s="4"/>
      <c r="X952" s="4"/>
      <c r="Y952" s="128"/>
      <c r="Z952" s="128"/>
      <c r="AA952" s="128"/>
      <c r="AB952" s="4"/>
      <c r="AC952" s="4"/>
      <c r="AD952" s="4"/>
      <c r="AE952" s="4"/>
      <c r="AF952" s="4"/>
      <c r="AG952" s="4"/>
      <c r="AH952" s="4"/>
      <c r="AI952" s="4"/>
      <c r="AJ952" s="246"/>
      <c r="AK952" s="246"/>
      <c r="AL952" s="129"/>
      <c r="AM952" s="129"/>
      <c r="AN952" s="129"/>
      <c r="AO952" s="246"/>
      <c r="AP952" s="246"/>
      <c r="AQ952" s="249"/>
      <c r="AR952" s="4"/>
      <c r="AS952" s="4"/>
      <c r="AT952" s="4"/>
      <c r="AU952" s="4"/>
      <c r="AV952" s="4"/>
      <c r="AW952" s="4"/>
      <c r="AX952" s="4"/>
      <c r="AY952" s="128"/>
      <c r="AZ952" s="4"/>
      <c r="BA952" s="4"/>
      <c r="BB952" s="4"/>
      <c r="BC952" s="4"/>
      <c r="BD952" s="4"/>
      <c r="BE952" s="4"/>
      <c r="BF952" s="4"/>
      <c r="BG952" s="4"/>
      <c r="BH952" s="4"/>
      <c r="BI952" s="567"/>
    </row>
    <row r="953" spans="1:61" ht="12.75" customHeight="1" x14ac:dyDescent="0.25">
      <c r="A953" s="4"/>
      <c r="B953" s="4"/>
      <c r="C953" s="4"/>
      <c r="D953" s="4"/>
      <c r="E953" s="128"/>
      <c r="F953" s="128"/>
      <c r="G953" s="753"/>
      <c r="H953" s="128"/>
      <c r="I953" s="128"/>
      <c r="J953" s="130"/>
      <c r="K953" s="128"/>
      <c r="L953" s="128"/>
      <c r="M953" s="130"/>
      <c r="N953" s="130"/>
      <c r="O953" s="130"/>
      <c r="P953" s="128"/>
      <c r="Q953" s="128"/>
      <c r="R953" s="128"/>
      <c r="S953" s="298"/>
      <c r="T953" s="4"/>
      <c r="U953" s="4"/>
      <c r="V953" s="4"/>
      <c r="W953" s="4"/>
      <c r="X953" s="4"/>
      <c r="Y953" s="128"/>
      <c r="Z953" s="128"/>
      <c r="AA953" s="128"/>
      <c r="AB953" s="4"/>
      <c r="AC953" s="4"/>
      <c r="AD953" s="4"/>
      <c r="AE953" s="4"/>
      <c r="AF953" s="4"/>
      <c r="AG953" s="4"/>
      <c r="AH953" s="4"/>
      <c r="AI953" s="4"/>
      <c r="AJ953" s="246"/>
      <c r="AK953" s="246"/>
      <c r="AL953" s="129"/>
      <c r="AM953" s="129"/>
      <c r="AN953" s="129"/>
      <c r="AO953" s="246"/>
      <c r="AP953" s="246"/>
      <c r="AQ953" s="249"/>
      <c r="AR953" s="4"/>
      <c r="AS953" s="4"/>
      <c r="AT953" s="4"/>
      <c r="AU953" s="4"/>
      <c r="AV953" s="4"/>
      <c r="AW953" s="4"/>
      <c r="AX953" s="4"/>
      <c r="AY953" s="128"/>
      <c r="AZ953" s="4"/>
      <c r="BA953" s="4"/>
      <c r="BB953" s="4"/>
      <c r="BC953" s="4"/>
      <c r="BD953" s="4"/>
      <c r="BE953" s="4"/>
      <c r="BF953" s="4"/>
      <c r="BG953" s="4"/>
      <c r="BH953" s="4"/>
      <c r="BI953" s="567"/>
    </row>
    <row r="954" spans="1:61" ht="12.75" customHeight="1" x14ac:dyDescent="0.25">
      <c r="A954" s="4"/>
      <c r="B954" s="4"/>
      <c r="C954" s="4"/>
      <c r="D954" s="4"/>
      <c r="E954" s="128"/>
      <c r="F954" s="128"/>
      <c r="G954" s="753"/>
      <c r="H954" s="128"/>
      <c r="I954" s="128"/>
      <c r="J954" s="130"/>
      <c r="K954" s="128"/>
      <c r="L954" s="128"/>
      <c r="M954" s="130"/>
      <c r="N954" s="130"/>
      <c r="O954" s="130"/>
      <c r="P954" s="128"/>
      <c r="Q954" s="128"/>
      <c r="R954" s="128"/>
      <c r="S954" s="298"/>
      <c r="T954" s="4"/>
      <c r="U954" s="4"/>
      <c r="V954" s="4"/>
      <c r="W954" s="4"/>
      <c r="X954" s="4"/>
      <c r="Y954" s="128"/>
      <c r="Z954" s="128"/>
      <c r="AA954" s="128"/>
      <c r="AB954" s="4"/>
      <c r="AC954" s="4"/>
      <c r="AD954" s="4"/>
      <c r="AE954" s="4"/>
      <c r="AF954" s="4"/>
      <c r="AG954" s="4"/>
      <c r="AH954" s="4"/>
      <c r="AI954" s="4"/>
      <c r="AJ954" s="246"/>
      <c r="AK954" s="246"/>
      <c r="AL954" s="129"/>
      <c r="AM954" s="129"/>
      <c r="AN954" s="129"/>
      <c r="AO954" s="246"/>
      <c r="AP954" s="246"/>
      <c r="AQ954" s="249"/>
      <c r="AR954" s="4"/>
      <c r="AS954" s="4"/>
      <c r="AT954" s="4"/>
      <c r="AU954" s="4"/>
      <c r="AV954" s="4"/>
      <c r="AW954" s="4"/>
      <c r="AX954" s="4"/>
      <c r="AY954" s="128"/>
      <c r="AZ954" s="4"/>
      <c r="BA954" s="4"/>
      <c r="BB954" s="4"/>
      <c r="BC954" s="4"/>
      <c r="BD954" s="4"/>
      <c r="BE954" s="4"/>
      <c r="BF954" s="4"/>
      <c r="BG954" s="4"/>
      <c r="BH954" s="4"/>
      <c r="BI954" s="567"/>
    </row>
    <row r="955" spans="1:61" ht="12.75" customHeight="1" x14ac:dyDescent="0.25">
      <c r="A955" s="4"/>
      <c r="B955" s="4"/>
      <c r="C955" s="4"/>
      <c r="D955" s="4"/>
      <c r="E955" s="128"/>
      <c r="F955" s="128"/>
      <c r="G955" s="753"/>
      <c r="H955" s="128"/>
      <c r="I955" s="128"/>
      <c r="J955" s="130"/>
      <c r="K955" s="128"/>
      <c r="L955" s="128"/>
      <c r="M955" s="130"/>
      <c r="N955" s="130"/>
      <c r="O955" s="130"/>
      <c r="P955" s="128"/>
      <c r="Q955" s="128"/>
      <c r="R955" s="128"/>
      <c r="S955" s="298"/>
      <c r="T955" s="4"/>
      <c r="U955" s="4"/>
      <c r="V955" s="4"/>
      <c r="W955" s="4"/>
      <c r="X955" s="4"/>
      <c r="Y955" s="128"/>
      <c r="Z955" s="128"/>
      <c r="AA955" s="128"/>
      <c r="AB955" s="4"/>
      <c r="AC955" s="4"/>
      <c r="AD955" s="4"/>
      <c r="AE955" s="4"/>
      <c r="AF955" s="4"/>
      <c r="AG955" s="4"/>
      <c r="AH955" s="4"/>
      <c r="AI955" s="4"/>
      <c r="AJ955" s="246"/>
      <c r="AK955" s="246"/>
      <c r="AL955" s="129"/>
      <c r="AM955" s="129"/>
      <c r="AN955" s="129"/>
      <c r="AO955" s="246"/>
      <c r="AP955" s="246"/>
      <c r="AQ955" s="249"/>
      <c r="AR955" s="4"/>
      <c r="AS955" s="4"/>
      <c r="AT955" s="4"/>
      <c r="AU955" s="4"/>
      <c r="AV955" s="4"/>
      <c r="AW955" s="4"/>
      <c r="AX955" s="4"/>
      <c r="AY955" s="128"/>
      <c r="AZ955" s="4"/>
      <c r="BA955" s="4"/>
      <c r="BB955" s="4"/>
      <c r="BC955" s="4"/>
      <c r="BD955" s="4"/>
      <c r="BE955" s="4"/>
      <c r="BF955" s="4"/>
      <c r="BG955" s="4"/>
      <c r="BH955" s="4"/>
      <c r="BI955" s="567"/>
    </row>
    <row r="956" spans="1:61" ht="12.75" customHeight="1" x14ac:dyDescent="0.25">
      <c r="A956" s="4"/>
      <c r="B956" s="4"/>
      <c r="C956" s="4"/>
      <c r="D956" s="4"/>
      <c r="E956" s="128"/>
      <c r="F956" s="128"/>
      <c r="G956" s="753"/>
      <c r="H956" s="128"/>
      <c r="I956" s="128"/>
      <c r="J956" s="130"/>
      <c r="K956" s="128"/>
      <c r="L956" s="128"/>
      <c r="M956" s="130"/>
      <c r="N956" s="130"/>
      <c r="O956" s="130"/>
      <c r="P956" s="128"/>
      <c r="Q956" s="128"/>
      <c r="R956" s="128"/>
      <c r="S956" s="298"/>
      <c r="T956" s="4"/>
      <c r="U956" s="4"/>
      <c r="V956" s="4"/>
      <c r="W956" s="4"/>
      <c r="X956" s="4"/>
      <c r="Y956" s="128"/>
      <c r="Z956" s="128"/>
      <c r="AA956" s="128"/>
      <c r="AB956" s="4"/>
      <c r="AC956" s="4"/>
      <c r="AD956" s="4"/>
      <c r="AE956" s="4"/>
      <c r="AF956" s="4"/>
      <c r="AG956" s="4"/>
      <c r="AH956" s="4"/>
      <c r="AI956" s="4"/>
      <c r="AJ956" s="246"/>
      <c r="AK956" s="246"/>
      <c r="AL956" s="129"/>
      <c r="AM956" s="129"/>
      <c r="AN956" s="129"/>
      <c r="AO956" s="246"/>
      <c r="AP956" s="246"/>
      <c r="AQ956" s="249"/>
      <c r="AR956" s="4"/>
      <c r="AS956" s="4"/>
      <c r="AT956" s="4"/>
      <c r="AU956" s="4"/>
      <c r="AV956" s="4"/>
      <c r="AW956" s="4"/>
      <c r="AX956" s="4"/>
      <c r="AY956" s="128"/>
      <c r="AZ956" s="4"/>
      <c r="BA956" s="4"/>
      <c r="BB956" s="4"/>
      <c r="BC956" s="4"/>
      <c r="BD956" s="4"/>
      <c r="BE956" s="4"/>
      <c r="BF956" s="4"/>
      <c r="BG956" s="4"/>
      <c r="BH956" s="4"/>
      <c r="BI956" s="567"/>
    </row>
    <row r="957" spans="1:61" ht="12.75" customHeight="1" x14ac:dyDescent="0.25">
      <c r="A957" s="4"/>
      <c r="B957" s="4"/>
      <c r="C957" s="4"/>
      <c r="D957" s="4"/>
      <c r="E957" s="128"/>
      <c r="F957" s="128"/>
      <c r="G957" s="753"/>
      <c r="H957" s="128"/>
      <c r="I957" s="128"/>
      <c r="J957" s="130"/>
      <c r="K957" s="128"/>
      <c r="L957" s="128"/>
      <c r="M957" s="130"/>
      <c r="N957" s="130"/>
      <c r="O957" s="130"/>
      <c r="P957" s="128"/>
      <c r="Q957" s="128"/>
      <c r="R957" s="128"/>
      <c r="S957" s="298"/>
      <c r="T957" s="4"/>
      <c r="U957" s="4"/>
      <c r="V957" s="4"/>
      <c r="W957" s="4"/>
      <c r="X957" s="4"/>
      <c r="Y957" s="128"/>
      <c r="Z957" s="128"/>
      <c r="AA957" s="128"/>
      <c r="AB957" s="4"/>
      <c r="AC957" s="4"/>
      <c r="AD957" s="4"/>
      <c r="AE957" s="4"/>
      <c r="AF957" s="4"/>
      <c r="AG957" s="4"/>
      <c r="AH957" s="4"/>
      <c r="AI957" s="4"/>
      <c r="AJ957" s="246"/>
      <c r="AK957" s="246"/>
      <c r="AL957" s="129"/>
      <c r="AM957" s="129"/>
      <c r="AN957" s="129"/>
      <c r="AO957" s="246"/>
      <c r="AP957" s="246"/>
      <c r="AQ957" s="249"/>
      <c r="AR957" s="4"/>
      <c r="AS957" s="4"/>
      <c r="AT957" s="4"/>
      <c r="AU957" s="4"/>
      <c r="AV957" s="4"/>
      <c r="AW957" s="4"/>
      <c r="AX957" s="4"/>
      <c r="AY957" s="128"/>
      <c r="AZ957" s="4"/>
      <c r="BA957" s="4"/>
      <c r="BB957" s="4"/>
      <c r="BC957" s="4"/>
      <c r="BD957" s="4"/>
      <c r="BE957" s="4"/>
      <c r="BF957" s="4"/>
      <c r="BG957" s="4"/>
      <c r="BH957" s="4"/>
      <c r="BI957" s="567"/>
    </row>
    <row r="958" spans="1:61" ht="12.75" customHeight="1" x14ac:dyDescent="0.25">
      <c r="A958" s="4"/>
      <c r="B958" s="4"/>
      <c r="C958" s="4"/>
      <c r="D958" s="4"/>
      <c r="E958" s="128"/>
      <c r="F958" s="128"/>
      <c r="G958" s="753"/>
      <c r="H958" s="128"/>
      <c r="I958" s="128"/>
      <c r="J958" s="130"/>
      <c r="K958" s="128"/>
      <c r="L958" s="128"/>
      <c r="M958" s="130"/>
      <c r="N958" s="130"/>
      <c r="O958" s="130"/>
      <c r="P958" s="128"/>
      <c r="Q958" s="128"/>
      <c r="R958" s="128"/>
      <c r="S958" s="298"/>
      <c r="T958" s="4"/>
      <c r="U958" s="4"/>
      <c r="V958" s="4"/>
      <c r="W958" s="4"/>
      <c r="X958" s="4"/>
      <c r="Y958" s="128"/>
      <c r="Z958" s="128"/>
      <c r="AA958" s="128"/>
      <c r="AB958" s="4"/>
      <c r="AC958" s="4"/>
      <c r="AD958" s="4"/>
      <c r="AE958" s="4"/>
      <c r="AF958" s="4"/>
      <c r="AG958" s="4"/>
      <c r="AH958" s="4"/>
      <c r="AI958" s="4"/>
      <c r="AJ958" s="246"/>
      <c r="AK958" s="246"/>
      <c r="AL958" s="129"/>
      <c r="AM958" s="129"/>
      <c r="AN958" s="129"/>
      <c r="AO958" s="246"/>
      <c r="AP958" s="246"/>
      <c r="AQ958" s="249"/>
      <c r="AR958" s="4"/>
      <c r="AS958" s="4"/>
      <c r="AT958" s="4"/>
      <c r="AU958" s="4"/>
      <c r="AV958" s="4"/>
      <c r="AW958" s="4"/>
      <c r="AX958" s="4"/>
      <c r="AY958" s="128"/>
      <c r="AZ958" s="4"/>
      <c r="BA958" s="4"/>
      <c r="BB958" s="4"/>
      <c r="BC958" s="4"/>
      <c r="BD958" s="4"/>
      <c r="BE958" s="4"/>
      <c r="BF958" s="4"/>
      <c r="BG958" s="4"/>
      <c r="BH958" s="4"/>
      <c r="BI958" s="567"/>
    </row>
    <row r="959" spans="1:61" ht="12.75" customHeight="1" x14ac:dyDescent="0.25">
      <c r="A959" s="4"/>
      <c r="B959" s="4"/>
      <c r="C959" s="4"/>
      <c r="D959" s="4"/>
      <c r="E959" s="128"/>
      <c r="F959" s="128"/>
      <c r="G959" s="753"/>
      <c r="H959" s="128"/>
      <c r="I959" s="128"/>
      <c r="J959" s="130"/>
      <c r="K959" s="128"/>
      <c r="L959" s="128"/>
      <c r="M959" s="130"/>
      <c r="N959" s="130"/>
      <c r="O959" s="130"/>
      <c r="P959" s="128"/>
      <c r="Q959" s="128"/>
      <c r="R959" s="128"/>
      <c r="S959" s="298"/>
      <c r="T959" s="4"/>
      <c r="U959" s="4"/>
      <c r="V959" s="4"/>
      <c r="W959" s="4"/>
      <c r="X959" s="4"/>
      <c r="Y959" s="128"/>
      <c r="Z959" s="128"/>
      <c r="AA959" s="128"/>
      <c r="AB959" s="4"/>
      <c r="AC959" s="4"/>
      <c r="AD959" s="4"/>
      <c r="AE959" s="4"/>
      <c r="AF959" s="4"/>
      <c r="AG959" s="4"/>
      <c r="AH959" s="4"/>
      <c r="AI959" s="4"/>
      <c r="AJ959" s="246"/>
      <c r="AK959" s="246"/>
      <c r="AL959" s="129"/>
      <c r="AM959" s="129"/>
      <c r="AN959" s="129"/>
      <c r="AO959" s="246"/>
      <c r="AP959" s="246"/>
      <c r="AQ959" s="249"/>
      <c r="AR959" s="4"/>
      <c r="AS959" s="4"/>
      <c r="AT959" s="4"/>
      <c r="AU959" s="4"/>
      <c r="AV959" s="4"/>
      <c r="AW959" s="4"/>
      <c r="AX959" s="4"/>
      <c r="AY959" s="128"/>
      <c r="AZ959" s="4"/>
      <c r="BA959" s="4"/>
      <c r="BB959" s="4"/>
      <c r="BC959" s="4"/>
      <c r="BD959" s="4"/>
      <c r="BE959" s="4"/>
      <c r="BF959" s="4"/>
      <c r="BG959" s="4"/>
      <c r="BH959" s="4"/>
      <c r="BI959" s="567"/>
    </row>
    <row r="960" spans="1:61" ht="12.75" customHeight="1" x14ac:dyDescent="0.25">
      <c r="A960" s="4"/>
      <c r="B960" s="4"/>
      <c r="C960" s="4"/>
      <c r="D960" s="4"/>
      <c r="E960" s="128"/>
      <c r="F960" s="128"/>
      <c r="G960" s="753"/>
      <c r="H960" s="128"/>
      <c r="I960" s="128"/>
      <c r="J960" s="130"/>
      <c r="K960" s="128"/>
      <c r="L960" s="128"/>
      <c r="M960" s="130"/>
      <c r="N960" s="130"/>
      <c r="O960" s="130"/>
      <c r="P960" s="128"/>
      <c r="Q960" s="128"/>
      <c r="R960" s="128"/>
      <c r="S960" s="298"/>
      <c r="T960" s="4"/>
      <c r="U960" s="4"/>
      <c r="V960" s="4"/>
      <c r="W960" s="4"/>
      <c r="X960" s="4"/>
      <c r="Y960" s="128"/>
      <c r="Z960" s="128"/>
      <c r="AA960" s="128"/>
      <c r="AB960" s="4"/>
      <c r="AC960" s="4"/>
      <c r="AD960" s="4"/>
      <c r="AE960" s="4"/>
      <c r="AF960" s="4"/>
      <c r="AG960" s="4"/>
      <c r="AH960" s="4"/>
      <c r="AI960" s="4"/>
      <c r="AJ960" s="246"/>
      <c r="AK960" s="246"/>
      <c r="AL960" s="129"/>
      <c r="AM960" s="129"/>
      <c r="AN960" s="129"/>
      <c r="AO960" s="246"/>
      <c r="AP960" s="246"/>
      <c r="AQ960" s="249"/>
      <c r="AR960" s="4"/>
      <c r="AS960" s="4"/>
      <c r="AT960" s="4"/>
      <c r="AU960" s="4"/>
      <c r="AV960" s="4"/>
      <c r="AW960" s="4"/>
      <c r="AX960" s="4"/>
      <c r="AY960" s="128"/>
      <c r="AZ960" s="4"/>
      <c r="BA960" s="4"/>
      <c r="BB960" s="4"/>
      <c r="BC960" s="4"/>
      <c r="BD960" s="4"/>
      <c r="BE960" s="4"/>
      <c r="BF960" s="4"/>
      <c r="BG960" s="4"/>
      <c r="BH960" s="4"/>
      <c r="BI960" s="567"/>
    </row>
    <row r="961" spans="1:61" ht="12.75" customHeight="1" x14ac:dyDescent="0.25">
      <c r="A961" s="4"/>
      <c r="B961" s="4"/>
      <c r="C961" s="4"/>
      <c r="D961" s="4"/>
      <c r="E961" s="128"/>
      <c r="F961" s="128"/>
      <c r="G961" s="753"/>
      <c r="H961" s="128"/>
      <c r="I961" s="128"/>
      <c r="J961" s="130"/>
      <c r="K961" s="128"/>
      <c r="L961" s="128"/>
      <c r="M961" s="130"/>
      <c r="N961" s="130"/>
      <c r="O961" s="130"/>
      <c r="P961" s="128"/>
      <c r="Q961" s="128"/>
      <c r="R961" s="128"/>
      <c r="S961" s="298"/>
      <c r="T961" s="4"/>
      <c r="U961" s="4"/>
      <c r="V961" s="4"/>
      <c r="W961" s="4"/>
      <c r="X961" s="4"/>
      <c r="Y961" s="128"/>
      <c r="Z961" s="128"/>
      <c r="AA961" s="128"/>
      <c r="AB961" s="4"/>
      <c r="AC961" s="4"/>
      <c r="AD961" s="4"/>
      <c r="AE961" s="4"/>
      <c r="AF961" s="4"/>
      <c r="AG961" s="4"/>
      <c r="AH961" s="4"/>
      <c r="AI961" s="4"/>
      <c r="AJ961" s="246"/>
      <c r="AK961" s="246"/>
      <c r="AL961" s="129"/>
      <c r="AM961" s="129"/>
      <c r="AN961" s="129"/>
      <c r="AO961" s="246"/>
      <c r="AP961" s="246"/>
      <c r="AQ961" s="249"/>
      <c r="AR961" s="4"/>
      <c r="AS961" s="4"/>
      <c r="AT961" s="4"/>
      <c r="AU961" s="4"/>
      <c r="AV961" s="4"/>
      <c r="AW961" s="4"/>
      <c r="AX961" s="4"/>
      <c r="AY961" s="128"/>
      <c r="AZ961" s="4"/>
      <c r="BA961" s="4"/>
      <c r="BB961" s="4"/>
      <c r="BC961" s="4"/>
      <c r="BD961" s="4"/>
      <c r="BE961" s="4"/>
      <c r="BF961" s="4"/>
      <c r="BG961" s="4"/>
      <c r="BH961" s="4"/>
      <c r="BI961" s="567"/>
    </row>
    <row r="962" spans="1:61" ht="12.75" customHeight="1" x14ac:dyDescent="0.25">
      <c r="A962" s="4"/>
      <c r="B962" s="4"/>
      <c r="C962" s="4"/>
      <c r="D962" s="4"/>
      <c r="E962" s="128"/>
      <c r="F962" s="128"/>
      <c r="G962" s="753"/>
      <c r="H962" s="128"/>
      <c r="I962" s="128"/>
      <c r="J962" s="130"/>
      <c r="K962" s="128"/>
      <c r="L962" s="128"/>
      <c r="M962" s="130"/>
      <c r="N962" s="130"/>
      <c r="O962" s="130"/>
      <c r="P962" s="128"/>
      <c r="Q962" s="128"/>
      <c r="R962" s="128"/>
      <c r="S962" s="298"/>
      <c r="T962" s="4"/>
      <c r="U962" s="4"/>
      <c r="V962" s="4"/>
      <c r="W962" s="4"/>
      <c r="X962" s="4"/>
      <c r="Y962" s="128"/>
      <c r="Z962" s="128"/>
      <c r="AA962" s="128"/>
      <c r="AB962" s="4"/>
      <c r="AC962" s="4"/>
      <c r="AD962" s="4"/>
      <c r="AE962" s="4"/>
      <c r="AF962" s="4"/>
      <c r="AG962" s="4"/>
      <c r="AH962" s="4"/>
      <c r="AI962" s="4"/>
      <c r="AJ962" s="246"/>
      <c r="AK962" s="246"/>
      <c r="AL962" s="129"/>
      <c r="AM962" s="129"/>
      <c r="AN962" s="129"/>
      <c r="AO962" s="246"/>
      <c r="AP962" s="246"/>
      <c r="AQ962" s="249"/>
      <c r="AR962" s="4"/>
      <c r="AS962" s="4"/>
      <c r="AT962" s="4"/>
      <c r="AU962" s="4"/>
      <c r="AV962" s="4"/>
      <c r="AW962" s="4"/>
      <c r="AX962" s="4"/>
      <c r="AY962" s="128"/>
      <c r="AZ962" s="4"/>
      <c r="BA962" s="4"/>
      <c r="BB962" s="4"/>
      <c r="BC962" s="4"/>
      <c r="BD962" s="4"/>
      <c r="BE962" s="4"/>
      <c r="BF962" s="4"/>
      <c r="BG962" s="4"/>
      <c r="BH962" s="4"/>
      <c r="BI962" s="567"/>
    </row>
    <row r="963" spans="1:61" ht="12.75" customHeight="1" x14ac:dyDescent="0.25">
      <c r="A963" s="4"/>
      <c r="B963" s="4"/>
      <c r="C963" s="4"/>
      <c r="D963" s="4"/>
      <c r="E963" s="128"/>
      <c r="F963" s="128"/>
      <c r="G963" s="753"/>
      <c r="H963" s="128"/>
      <c r="I963" s="128"/>
      <c r="J963" s="130"/>
      <c r="K963" s="128"/>
      <c r="L963" s="128"/>
      <c r="M963" s="130"/>
      <c r="N963" s="130"/>
      <c r="O963" s="130"/>
      <c r="P963" s="128"/>
      <c r="Q963" s="128"/>
      <c r="R963" s="128"/>
      <c r="S963" s="298"/>
      <c r="T963" s="4"/>
      <c r="U963" s="4"/>
      <c r="V963" s="4"/>
      <c r="W963" s="4"/>
      <c r="X963" s="4"/>
      <c r="Y963" s="128"/>
      <c r="Z963" s="128"/>
      <c r="AA963" s="128"/>
      <c r="AB963" s="4"/>
      <c r="AC963" s="4"/>
      <c r="AD963" s="4"/>
      <c r="AE963" s="4"/>
      <c r="AF963" s="4"/>
      <c r="AG963" s="4"/>
      <c r="AH963" s="4"/>
      <c r="AI963" s="4"/>
      <c r="AJ963" s="246"/>
      <c r="AK963" s="246"/>
      <c r="AL963" s="129"/>
      <c r="AM963" s="129"/>
      <c r="AN963" s="129"/>
      <c r="AO963" s="246"/>
      <c r="AP963" s="246"/>
      <c r="AQ963" s="249"/>
      <c r="AR963" s="4"/>
      <c r="AS963" s="4"/>
      <c r="AT963" s="4"/>
      <c r="AU963" s="4"/>
      <c r="AV963" s="4"/>
      <c r="AW963" s="4"/>
      <c r="AX963" s="4"/>
      <c r="AY963" s="128"/>
      <c r="AZ963" s="4"/>
      <c r="BA963" s="4"/>
      <c r="BB963" s="4"/>
      <c r="BC963" s="4"/>
      <c r="BD963" s="4"/>
      <c r="BE963" s="4"/>
      <c r="BF963" s="4"/>
      <c r="BG963" s="4"/>
      <c r="BH963" s="4"/>
      <c r="BI963" s="567"/>
    </row>
    <row r="964" spans="1:61" ht="12.75" customHeight="1" x14ac:dyDescent="0.25">
      <c r="A964" s="4"/>
      <c r="B964" s="4"/>
      <c r="C964" s="4"/>
      <c r="D964" s="4"/>
      <c r="E964" s="128"/>
      <c r="F964" s="128"/>
      <c r="G964" s="753"/>
      <c r="H964" s="128"/>
      <c r="I964" s="128"/>
      <c r="J964" s="130"/>
      <c r="K964" s="128"/>
      <c r="L964" s="128"/>
      <c r="M964" s="130"/>
      <c r="N964" s="130"/>
      <c r="O964" s="130"/>
      <c r="P964" s="128"/>
      <c r="Q964" s="128"/>
      <c r="R964" s="128"/>
      <c r="S964" s="298"/>
      <c r="T964" s="4"/>
      <c r="U964" s="4"/>
      <c r="V964" s="4"/>
      <c r="W964" s="4"/>
      <c r="X964" s="4"/>
      <c r="Y964" s="128"/>
      <c r="Z964" s="128"/>
      <c r="AA964" s="128"/>
      <c r="AB964" s="4"/>
      <c r="AC964" s="4"/>
      <c r="AD964" s="4"/>
      <c r="AE964" s="4"/>
      <c r="AF964" s="4"/>
      <c r="AG964" s="4"/>
      <c r="AH964" s="4"/>
      <c r="AI964" s="4"/>
      <c r="AJ964" s="246"/>
      <c r="AK964" s="246"/>
      <c r="AL964" s="129"/>
      <c r="AM964" s="129"/>
      <c r="AN964" s="129"/>
      <c r="AO964" s="246"/>
      <c r="AP964" s="246"/>
      <c r="AQ964" s="249"/>
      <c r="AR964" s="4"/>
      <c r="AS964" s="4"/>
      <c r="AT964" s="4"/>
      <c r="AU964" s="4"/>
      <c r="AV964" s="4"/>
      <c r="AW964" s="4"/>
      <c r="AX964" s="4"/>
      <c r="AY964" s="128"/>
      <c r="AZ964" s="4"/>
      <c r="BA964" s="4"/>
      <c r="BB964" s="4"/>
      <c r="BC964" s="4"/>
      <c r="BD964" s="4"/>
      <c r="BE964" s="4"/>
      <c r="BF964" s="4"/>
      <c r="BG964" s="4"/>
      <c r="BH964" s="4"/>
      <c r="BI964" s="567"/>
    </row>
    <row r="965" spans="1:61" ht="12.75" customHeight="1" x14ac:dyDescent="0.25">
      <c r="A965" s="4"/>
      <c r="B965" s="4"/>
      <c r="C965" s="4"/>
      <c r="D965" s="4"/>
      <c r="E965" s="128"/>
      <c r="F965" s="128"/>
      <c r="G965" s="753"/>
      <c r="H965" s="128"/>
      <c r="I965" s="128"/>
      <c r="J965" s="130"/>
      <c r="K965" s="128"/>
      <c r="L965" s="128"/>
      <c r="M965" s="130"/>
      <c r="N965" s="130"/>
      <c r="O965" s="130"/>
      <c r="P965" s="128"/>
      <c r="Q965" s="128"/>
      <c r="R965" s="128"/>
      <c r="S965" s="298"/>
      <c r="T965" s="4"/>
      <c r="U965" s="4"/>
      <c r="V965" s="4"/>
      <c r="W965" s="4"/>
      <c r="X965" s="4"/>
      <c r="Y965" s="128"/>
      <c r="Z965" s="128"/>
      <c r="AA965" s="128"/>
      <c r="AB965" s="4"/>
      <c r="AC965" s="4"/>
      <c r="AD965" s="4"/>
      <c r="AE965" s="4"/>
      <c r="AF965" s="4"/>
      <c r="AG965" s="4"/>
      <c r="AH965" s="4"/>
      <c r="AI965" s="4"/>
      <c r="AJ965" s="246"/>
      <c r="AK965" s="246"/>
      <c r="AL965" s="129"/>
      <c r="AM965" s="129"/>
      <c r="AN965" s="129"/>
      <c r="AO965" s="246"/>
      <c r="AP965" s="246"/>
      <c r="AQ965" s="249"/>
      <c r="AR965" s="4"/>
      <c r="AS965" s="4"/>
      <c r="AT965" s="4"/>
      <c r="AU965" s="4"/>
      <c r="AV965" s="4"/>
      <c r="AW965" s="4"/>
      <c r="AX965" s="4"/>
      <c r="AY965" s="128"/>
      <c r="AZ965" s="4"/>
      <c r="BA965" s="4"/>
      <c r="BB965" s="4"/>
      <c r="BC965" s="4"/>
      <c r="BD965" s="4"/>
      <c r="BE965" s="4"/>
      <c r="BF965" s="4"/>
      <c r="BG965" s="4"/>
      <c r="BH965" s="4"/>
      <c r="BI965" s="567"/>
    </row>
    <row r="966" spans="1:61" ht="12.75" customHeight="1" x14ac:dyDescent="0.25">
      <c r="A966" s="4"/>
      <c r="B966" s="4"/>
      <c r="C966" s="4"/>
      <c r="D966" s="4"/>
      <c r="E966" s="128"/>
      <c r="F966" s="128"/>
      <c r="G966" s="753"/>
      <c r="H966" s="128"/>
      <c r="I966" s="128"/>
      <c r="J966" s="130"/>
      <c r="K966" s="128"/>
      <c r="L966" s="128"/>
      <c r="M966" s="130"/>
      <c r="N966" s="130"/>
      <c r="O966" s="130"/>
      <c r="P966" s="128"/>
      <c r="Q966" s="128"/>
      <c r="R966" s="128"/>
      <c r="S966" s="298"/>
      <c r="T966" s="4"/>
      <c r="U966" s="4"/>
      <c r="V966" s="4"/>
      <c r="W966" s="4"/>
      <c r="X966" s="4"/>
      <c r="Y966" s="128"/>
      <c r="Z966" s="128"/>
      <c r="AA966" s="128"/>
      <c r="AB966" s="4"/>
      <c r="AC966" s="4"/>
      <c r="AD966" s="4"/>
      <c r="AE966" s="4"/>
      <c r="AF966" s="4"/>
      <c r="AG966" s="4"/>
      <c r="AH966" s="4"/>
      <c r="AI966" s="4"/>
      <c r="AJ966" s="246"/>
      <c r="AK966" s="246"/>
      <c r="AL966" s="129"/>
      <c r="AM966" s="129"/>
      <c r="AN966" s="129"/>
      <c r="AO966" s="246"/>
      <c r="AP966" s="246"/>
      <c r="AQ966" s="249"/>
      <c r="AR966" s="4"/>
      <c r="AS966" s="4"/>
      <c r="AT966" s="4"/>
      <c r="AU966" s="4"/>
      <c r="AV966" s="4"/>
      <c r="AW966" s="4"/>
      <c r="AX966" s="4"/>
      <c r="AY966" s="128"/>
      <c r="AZ966" s="4"/>
      <c r="BA966" s="4"/>
      <c r="BB966" s="4"/>
      <c r="BC966" s="4"/>
      <c r="BD966" s="4"/>
      <c r="BE966" s="4"/>
      <c r="BF966" s="4"/>
      <c r="BG966" s="4"/>
      <c r="BH966" s="4"/>
      <c r="BI966" s="567"/>
    </row>
    <row r="967" spans="1:61" ht="12.75" customHeight="1" x14ac:dyDescent="0.25">
      <c r="A967" s="4"/>
      <c r="B967" s="4"/>
      <c r="C967" s="4"/>
      <c r="D967" s="4"/>
      <c r="E967" s="128"/>
      <c r="F967" s="128"/>
      <c r="G967" s="753"/>
      <c r="H967" s="128"/>
      <c r="I967" s="128"/>
      <c r="J967" s="130"/>
      <c r="K967" s="128"/>
      <c r="L967" s="128"/>
      <c r="M967" s="130"/>
      <c r="N967" s="130"/>
      <c r="O967" s="130"/>
      <c r="P967" s="128"/>
      <c r="Q967" s="128"/>
      <c r="R967" s="128"/>
      <c r="S967" s="298"/>
      <c r="T967" s="4"/>
      <c r="U967" s="4"/>
      <c r="V967" s="4"/>
      <c r="W967" s="4"/>
      <c r="X967" s="4"/>
      <c r="Y967" s="128"/>
      <c r="Z967" s="128"/>
      <c r="AA967" s="128"/>
      <c r="AB967" s="4"/>
      <c r="AC967" s="4"/>
      <c r="AD967" s="4"/>
      <c r="AE967" s="4"/>
      <c r="AF967" s="4"/>
      <c r="AG967" s="4"/>
      <c r="AH967" s="4"/>
      <c r="AI967" s="4"/>
      <c r="AJ967" s="246"/>
      <c r="AK967" s="246"/>
      <c r="AL967" s="129"/>
      <c r="AM967" s="129"/>
      <c r="AN967" s="129"/>
      <c r="AO967" s="246"/>
      <c r="AP967" s="246"/>
      <c r="AQ967" s="249"/>
      <c r="AR967" s="4"/>
      <c r="AS967" s="4"/>
      <c r="AT967" s="4"/>
      <c r="AU967" s="4"/>
      <c r="AV967" s="4"/>
      <c r="AW967" s="4"/>
      <c r="AX967" s="4"/>
      <c r="AY967" s="128"/>
      <c r="AZ967" s="4"/>
      <c r="BA967" s="4"/>
      <c r="BB967" s="4"/>
      <c r="BC967" s="4"/>
      <c r="BD967" s="4"/>
      <c r="BE967" s="4"/>
      <c r="BF967" s="4"/>
      <c r="BG967" s="4"/>
      <c r="BH967" s="4"/>
      <c r="BI967" s="567"/>
    </row>
    <row r="968" spans="1:61" ht="12.75" customHeight="1" x14ac:dyDescent="0.25">
      <c r="A968" s="4"/>
      <c r="B968" s="4"/>
      <c r="C968" s="4"/>
      <c r="D968" s="4"/>
      <c r="E968" s="128"/>
      <c r="F968" s="128"/>
      <c r="G968" s="753"/>
      <c r="H968" s="128"/>
      <c r="I968" s="128"/>
      <c r="J968" s="130"/>
      <c r="K968" s="128"/>
      <c r="L968" s="128"/>
      <c r="M968" s="130"/>
      <c r="N968" s="130"/>
      <c r="O968" s="130"/>
      <c r="P968" s="128"/>
      <c r="Q968" s="128"/>
      <c r="R968" s="128"/>
      <c r="S968" s="298"/>
      <c r="T968" s="4"/>
      <c r="U968" s="4"/>
      <c r="V968" s="4"/>
      <c r="W968" s="4"/>
      <c r="X968" s="4"/>
      <c r="Y968" s="128"/>
      <c r="Z968" s="128"/>
      <c r="AA968" s="128"/>
      <c r="AB968" s="4"/>
      <c r="AC968" s="4"/>
      <c r="AD968" s="4"/>
      <c r="AE968" s="4"/>
      <c r="AF968" s="4"/>
      <c r="AG968" s="4"/>
      <c r="AH968" s="4"/>
      <c r="AI968" s="4"/>
      <c r="AJ968" s="246"/>
      <c r="AK968" s="246"/>
      <c r="AL968" s="129"/>
      <c r="AM968" s="129"/>
      <c r="AN968" s="129"/>
      <c r="AO968" s="246"/>
      <c r="AP968" s="246"/>
      <c r="AQ968" s="249"/>
      <c r="AR968" s="4"/>
      <c r="AS968" s="4"/>
      <c r="AT968" s="4"/>
      <c r="AU968" s="4"/>
      <c r="AV968" s="4"/>
      <c r="AW968" s="4"/>
      <c r="AX968" s="4"/>
      <c r="AY968" s="128"/>
      <c r="AZ968" s="4"/>
      <c r="BA968" s="4"/>
      <c r="BB968" s="4"/>
      <c r="BC968" s="4"/>
      <c r="BD968" s="4"/>
      <c r="BE968" s="4"/>
      <c r="BF968" s="4"/>
      <c r="BG968" s="4"/>
      <c r="BH968" s="4"/>
      <c r="BI968" s="567"/>
    </row>
    <row r="969" spans="1:61" ht="12.75" customHeight="1" x14ac:dyDescent="0.25">
      <c r="A969" s="4"/>
      <c r="B969" s="4"/>
      <c r="C969" s="4"/>
      <c r="D969" s="4"/>
      <c r="E969" s="128"/>
      <c r="F969" s="128"/>
      <c r="G969" s="753"/>
      <c r="H969" s="128"/>
      <c r="I969" s="128"/>
      <c r="J969" s="130"/>
      <c r="K969" s="128"/>
      <c r="L969" s="128"/>
      <c r="M969" s="130"/>
      <c r="N969" s="130"/>
      <c r="O969" s="130"/>
      <c r="P969" s="128"/>
      <c r="Q969" s="128"/>
      <c r="R969" s="128"/>
      <c r="S969" s="298"/>
      <c r="T969" s="4"/>
      <c r="U969" s="4"/>
      <c r="V969" s="4"/>
      <c r="W969" s="4"/>
      <c r="X969" s="4"/>
      <c r="Y969" s="128"/>
      <c r="Z969" s="128"/>
      <c r="AA969" s="128"/>
      <c r="AB969" s="4"/>
      <c r="AC969" s="4"/>
      <c r="AD969" s="4"/>
      <c r="AE969" s="4"/>
      <c r="AF969" s="4"/>
      <c r="AG969" s="4"/>
      <c r="AH969" s="4"/>
      <c r="AI969" s="4"/>
      <c r="AJ969" s="246"/>
      <c r="AK969" s="246"/>
      <c r="AL969" s="129"/>
      <c r="AM969" s="129"/>
      <c r="AN969" s="129"/>
      <c r="AO969" s="246"/>
      <c r="AP969" s="246"/>
      <c r="AQ969" s="249"/>
      <c r="AR969" s="4"/>
      <c r="AS969" s="4"/>
      <c r="AT969" s="4"/>
      <c r="AU969" s="4"/>
      <c r="AV969" s="4"/>
      <c r="AW969" s="4"/>
      <c r="AX969" s="4"/>
      <c r="AY969" s="128"/>
      <c r="AZ969" s="4"/>
      <c r="BA969" s="4"/>
      <c r="BB969" s="4"/>
      <c r="BC969" s="4"/>
      <c r="BD969" s="4"/>
      <c r="BE969" s="4"/>
      <c r="BF969" s="4"/>
      <c r="BG969" s="4"/>
      <c r="BH969" s="4"/>
      <c r="BI969" s="567"/>
    </row>
    <row r="970" spans="1:61" ht="12.75" customHeight="1" x14ac:dyDescent="0.25">
      <c r="A970" s="4"/>
      <c r="B970" s="4"/>
      <c r="C970" s="4"/>
      <c r="D970" s="4"/>
      <c r="E970" s="128"/>
      <c r="F970" s="128"/>
      <c r="G970" s="753"/>
      <c r="H970" s="128"/>
      <c r="I970" s="128"/>
      <c r="J970" s="130"/>
      <c r="K970" s="128"/>
      <c r="L970" s="128"/>
      <c r="M970" s="130"/>
      <c r="N970" s="130"/>
      <c r="O970" s="130"/>
      <c r="P970" s="128"/>
      <c r="Q970" s="128"/>
      <c r="R970" s="128"/>
      <c r="S970" s="298"/>
      <c r="T970" s="4"/>
      <c r="U970" s="4"/>
      <c r="V970" s="4"/>
      <c r="W970" s="4"/>
      <c r="X970" s="4"/>
      <c r="Y970" s="128"/>
      <c r="Z970" s="128"/>
      <c r="AA970" s="128"/>
      <c r="AB970" s="4"/>
      <c r="AC970" s="4"/>
      <c r="AD970" s="4"/>
      <c r="AE970" s="4"/>
      <c r="AF970" s="4"/>
      <c r="AG970" s="4"/>
      <c r="AH970" s="4"/>
      <c r="AI970" s="4"/>
      <c r="AJ970" s="246"/>
      <c r="AK970" s="246"/>
      <c r="AL970" s="129"/>
      <c r="AM970" s="129"/>
      <c r="AN970" s="129"/>
      <c r="AO970" s="246"/>
      <c r="AP970" s="246"/>
      <c r="AQ970" s="249"/>
      <c r="AR970" s="4"/>
      <c r="AS970" s="4"/>
      <c r="AT970" s="4"/>
      <c r="AU970" s="4"/>
      <c r="AV970" s="4"/>
      <c r="AW970" s="4"/>
      <c r="AX970" s="4"/>
      <c r="AY970" s="128"/>
      <c r="AZ970" s="4"/>
      <c r="BA970" s="4"/>
      <c r="BB970" s="4"/>
      <c r="BC970" s="4"/>
      <c r="BD970" s="4"/>
      <c r="BE970" s="4"/>
      <c r="BF970" s="4"/>
      <c r="BG970" s="4"/>
      <c r="BH970" s="4"/>
      <c r="BI970" s="567"/>
    </row>
    <row r="971" spans="1:61" ht="12.75" customHeight="1" x14ac:dyDescent="0.25">
      <c r="A971" s="4"/>
      <c r="B971" s="4"/>
      <c r="C971" s="4"/>
      <c r="D971" s="4"/>
      <c r="E971" s="128"/>
      <c r="F971" s="128"/>
      <c r="G971" s="753"/>
      <c r="H971" s="128"/>
      <c r="I971" s="128"/>
      <c r="J971" s="130"/>
      <c r="K971" s="128"/>
      <c r="L971" s="128"/>
      <c r="M971" s="130"/>
      <c r="N971" s="130"/>
      <c r="O971" s="130"/>
      <c r="P971" s="128"/>
      <c r="Q971" s="128"/>
      <c r="R971" s="128"/>
      <c r="S971" s="298"/>
      <c r="T971" s="4"/>
      <c r="U971" s="4"/>
      <c r="V971" s="4"/>
      <c r="W971" s="4"/>
      <c r="X971" s="4"/>
      <c r="Y971" s="128"/>
      <c r="Z971" s="128"/>
      <c r="AA971" s="128"/>
      <c r="AB971" s="4"/>
      <c r="AC971" s="4"/>
      <c r="AD971" s="4"/>
      <c r="AE971" s="4"/>
      <c r="AF971" s="4"/>
      <c r="AG971" s="4"/>
      <c r="AH971" s="4"/>
      <c r="AI971" s="4"/>
      <c r="AJ971" s="246"/>
      <c r="AK971" s="246"/>
      <c r="AL971" s="129"/>
      <c r="AM971" s="129"/>
      <c r="AN971" s="129"/>
      <c r="AO971" s="246"/>
      <c r="AP971" s="246"/>
      <c r="AQ971" s="249"/>
      <c r="AR971" s="4"/>
      <c r="AS971" s="4"/>
      <c r="AT971" s="4"/>
      <c r="AU971" s="4"/>
      <c r="AV971" s="4"/>
      <c r="AW971" s="4"/>
      <c r="AX971" s="4"/>
      <c r="AY971" s="128"/>
      <c r="AZ971" s="4"/>
      <c r="BA971" s="4"/>
      <c r="BB971" s="4"/>
      <c r="BC971" s="4"/>
      <c r="BD971" s="4"/>
      <c r="BE971" s="4"/>
      <c r="BF971" s="4"/>
      <c r="BG971" s="4"/>
      <c r="BH971" s="4"/>
      <c r="BI971" s="567"/>
    </row>
    <row r="972" spans="1:61" ht="12.75" customHeight="1" x14ac:dyDescent="0.25">
      <c r="A972" s="4"/>
      <c r="B972" s="4"/>
      <c r="C972" s="4"/>
      <c r="D972" s="4"/>
      <c r="E972" s="128"/>
      <c r="F972" s="128"/>
      <c r="G972" s="753"/>
      <c r="H972" s="128"/>
      <c r="I972" s="128"/>
      <c r="J972" s="130"/>
      <c r="K972" s="128"/>
      <c r="L972" s="128"/>
      <c r="M972" s="130"/>
      <c r="N972" s="130"/>
      <c r="O972" s="130"/>
      <c r="P972" s="128"/>
      <c r="Q972" s="128"/>
      <c r="R972" s="128"/>
      <c r="S972" s="298"/>
      <c r="T972" s="4"/>
      <c r="U972" s="4"/>
      <c r="V972" s="4"/>
      <c r="W972" s="4"/>
      <c r="X972" s="4"/>
      <c r="Y972" s="128"/>
      <c r="Z972" s="128"/>
      <c r="AA972" s="128"/>
      <c r="AB972" s="4"/>
      <c r="AC972" s="4"/>
      <c r="AD972" s="4"/>
      <c r="AE972" s="4"/>
      <c r="AF972" s="4"/>
      <c r="AG972" s="4"/>
      <c r="AH972" s="4"/>
      <c r="AI972" s="4"/>
      <c r="AJ972" s="246"/>
      <c r="AK972" s="246"/>
      <c r="AL972" s="129"/>
      <c r="AM972" s="129"/>
      <c r="AN972" s="129"/>
      <c r="AO972" s="246"/>
      <c r="AP972" s="246"/>
      <c r="AQ972" s="249"/>
      <c r="AR972" s="4"/>
      <c r="AS972" s="4"/>
      <c r="AT972" s="4"/>
      <c r="AU972" s="4"/>
      <c r="AV972" s="4"/>
      <c r="AW972" s="4"/>
      <c r="AX972" s="4"/>
      <c r="AY972" s="128"/>
      <c r="AZ972" s="4"/>
      <c r="BA972" s="4"/>
      <c r="BB972" s="4"/>
      <c r="BC972" s="4"/>
      <c r="BD972" s="4"/>
      <c r="BE972" s="4"/>
      <c r="BF972" s="4"/>
      <c r="BG972" s="4"/>
      <c r="BH972" s="4"/>
      <c r="BI972" s="567"/>
    </row>
    <row r="973" spans="1:61" ht="12.75" customHeight="1" x14ac:dyDescent="0.25">
      <c r="A973" s="4"/>
      <c r="B973" s="4"/>
      <c r="C973" s="4"/>
      <c r="D973" s="4"/>
      <c r="E973" s="128"/>
      <c r="F973" s="128"/>
      <c r="G973" s="753"/>
      <c r="H973" s="128"/>
      <c r="I973" s="128"/>
      <c r="J973" s="130"/>
      <c r="K973" s="128"/>
      <c r="L973" s="128"/>
      <c r="M973" s="130"/>
      <c r="N973" s="130"/>
      <c r="O973" s="130"/>
      <c r="P973" s="128"/>
      <c r="Q973" s="128"/>
      <c r="R973" s="128"/>
      <c r="S973" s="298"/>
      <c r="T973" s="4"/>
      <c r="U973" s="4"/>
      <c r="V973" s="4"/>
      <c r="W973" s="4"/>
      <c r="X973" s="4"/>
      <c r="Y973" s="128"/>
      <c r="Z973" s="128"/>
      <c r="AA973" s="128"/>
      <c r="AB973" s="4"/>
      <c r="AC973" s="4"/>
      <c r="AD973" s="4"/>
      <c r="AE973" s="4"/>
      <c r="AF973" s="4"/>
      <c r="AG973" s="4"/>
      <c r="AH973" s="4"/>
      <c r="AI973" s="4"/>
      <c r="AJ973" s="246"/>
      <c r="AK973" s="246"/>
      <c r="AL973" s="129"/>
      <c r="AM973" s="129"/>
      <c r="AN973" s="129"/>
      <c r="AO973" s="246"/>
      <c r="AP973" s="246"/>
      <c r="AQ973" s="249"/>
      <c r="AR973" s="4"/>
      <c r="AS973" s="4"/>
      <c r="AT973" s="4"/>
      <c r="AU973" s="4"/>
      <c r="AV973" s="4"/>
      <c r="AW973" s="4"/>
      <c r="AX973" s="4"/>
      <c r="AY973" s="128"/>
      <c r="AZ973" s="4"/>
      <c r="BA973" s="4"/>
      <c r="BB973" s="4"/>
      <c r="BC973" s="4"/>
      <c r="BD973" s="4"/>
      <c r="BE973" s="4"/>
      <c r="BF973" s="4"/>
      <c r="BG973" s="4"/>
      <c r="BH973" s="4"/>
      <c r="BI973" s="567"/>
    </row>
    <row r="974" spans="1:61" ht="12.75" customHeight="1" x14ac:dyDescent="0.25">
      <c r="A974" s="4"/>
      <c r="B974" s="4"/>
      <c r="C974" s="4"/>
      <c r="D974" s="4"/>
      <c r="E974" s="128"/>
      <c r="F974" s="128"/>
      <c r="G974" s="753"/>
      <c r="H974" s="128"/>
      <c r="I974" s="128"/>
      <c r="J974" s="130"/>
      <c r="K974" s="128"/>
      <c r="L974" s="128"/>
      <c r="M974" s="130"/>
      <c r="N974" s="130"/>
      <c r="O974" s="130"/>
      <c r="P974" s="128"/>
      <c r="Q974" s="128"/>
      <c r="R974" s="128"/>
      <c r="S974" s="298"/>
      <c r="T974" s="4"/>
      <c r="U974" s="4"/>
      <c r="V974" s="4"/>
      <c r="W974" s="4"/>
      <c r="X974" s="4"/>
      <c r="Y974" s="128"/>
      <c r="Z974" s="128"/>
      <c r="AA974" s="128"/>
      <c r="AB974" s="4"/>
      <c r="AC974" s="4"/>
      <c r="AD974" s="4"/>
      <c r="AE974" s="4"/>
      <c r="AF974" s="4"/>
      <c r="AG974" s="4"/>
      <c r="AH974" s="4"/>
      <c r="AI974" s="4"/>
      <c r="AJ974" s="246"/>
      <c r="AK974" s="246"/>
      <c r="AL974" s="129"/>
      <c r="AM974" s="129"/>
      <c r="AN974" s="129"/>
      <c r="AO974" s="246"/>
      <c r="AP974" s="246"/>
      <c r="AQ974" s="249"/>
      <c r="AR974" s="4"/>
      <c r="AS974" s="4"/>
      <c r="AT974" s="4"/>
      <c r="AU974" s="4"/>
      <c r="AV974" s="4"/>
      <c r="AW974" s="4"/>
      <c r="AX974" s="4"/>
      <c r="AY974" s="128"/>
      <c r="AZ974" s="4"/>
      <c r="BA974" s="4"/>
      <c r="BB974" s="4"/>
      <c r="BC974" s="4"/>
      <c r="BD974" s="4"/>
      <c r="BE974" s="4"/>
      <c r="BF974" s="4"/>
      <c r="BG974" s="4"/>
      <c r="BH974" s="4"/>
      <c r="BI974" s="567"/>
    </row>
    <row r="975" spans="1:61" ht="12.75" customHeight="1" x14ac:dyDescent="0.25">
      <c r="A975" s="4"/>
      <c r="B975" s="4"/>
      <c r="C975" s="4"/>
      <c r="D975" s="4"/>
      <c r="E975" s="128"/>
      <c r="F975" s="128"/>
      <c r="G975" s="753"/>
      <c r="H975" s="128"/>
      <c r="I975" s="128"/>
      <c r="J975" s="130"/>
      <c r="K975" s="128"/>
      <c r="L975" s="128"/>
      <c r="M975" s="130"/>
      <c r="N975" s="130"/>
      <c r="O975" s="130"/>
      <c r="P975" s="128"/>
      <c r="Q975" s="128"/>
      <c r="R975" s="128"/>
      <c r="S975" s="298"/>
      <c r="T975" s="4"/>
      <c r="U975" s="4"/>
      <c r="V975" s="4"/>
      <c r="W975" s="4"/>
      <c r="X975" s="4"/>
      <c r="Y975" s="128"/>
      <c r="Z975" s="128"/>
      <c r="AA975" s="128"/>
      <c r="AB975" s="4"/>
      <c r="AC975" s="4"/>
      <c r="AD975" s="4"/>
      <c r="AE975" s="4"/>
      <c r="AF975" s="4"/>
      <c r="AG975" s="4"/>
      <c r="AH975" s="4"/>
      <c r="AI975" s="4"/>
      <c r="AJ975" s="246"/>
      <c r="AK975" s="246"/>
      <c r="AL975" s="129"/>
      <c r="AM975" s="129"/>
      <c r="AN975" s="129"/>
      <c r="AO975" s="246"/>
      <c r="AP975" s="246"/>
      <c r="AQ975" s="249"/>
      <c r="AR975" s="4"/>
      <c r="AS975" s="4"/>
      <c r="AT975" s="4"/>
      <c r="AU975" s="4"/>
      <c r="AV975" s="4"/>
      <c r="AW975" s="4"/>
      <c r="AX975" s="4"/>
      <c r="AY975" s="128"/>
      <c r="AZ975" s="4"/>
      <c r="BA975" s="4"/>
      <c r="BB975" s="4"/>
      <c r="BC975" s="4"/>
      <c r="BD975" s="4"/>
      <c r="BE975" s="4"/>
      <c r="BF975" s="4"/>
      <c r="BG975" s="4"/>
      <c r="BH975" s="4"/>
      <c r="BI975" s="567"/>
    </row>
    <row r="976" spans="1:61" ht="12.75" customHeight="1" x14ac:dyDescent="0.25">
      <c r="A976" s="4"/>
      <c r="B976" s="4"/>
      <c r="C976" s="4"/>
      <c r="D976" s="4"/>
      <c r="E976" s="128"/>
      <c r="F976" s="128"/>
      <c r="G976" s="753"/>
      <c r="H976" s="128"/>
      <c r="I976" s="128"/>
      <c r="J976" s="130"/>
      <c r="K976" s="128"/>
      <c r="L976" s="128"/>
      <c r="M976" s="130"/>
      <c r="N976" s="130"/>
      <c r="O976" s="130"/>
      <c r="P976" s="128"/>
      <c r="Q976" s="128"/>
      <c r="R976" s="128"/>
      <c r="S976" s="298"/>
      <c r="T976" s="4"/>
      <c r="U976" s="4"/>
      <c r="V976" s="4"/>
      <c r="W976" s="4"/>
      <c r="X976" s="4"/>
      <c r="Y976" s="128"/>
      <c r="Z976" s="128"/>
      <c r="AA976" s="128"/>
      <c r="AB976" s="4"/>
      <c r="AC976" s="4"/>
      <c r="AD976" s="4"/>
      <c r="AE976" s="4"/>
      <c r="AF976" s="4"/>
      <c r="AG976" s="4"/>
      <c r="AH976" s="4"/>
      <c r="AI976" s="4"/>
      <c r="AJ976" s="246"/>
      <c r="AK976" s="246"/>
      <c r="AL976" s="129"/>
      <c r="AM976" s="129"/>
      <c r="AN976" s="129"/>
      <c r="AO976" s="246"/>
      <c r="AP976" s="246"/>
      <c r="AQ976" s="249"/>
      <c r="AR976" s="4"/>
      <c r="AS976" s="4"/>
      <c r="AT976" s="4"/>
      <c r="AU976" s="4"/>
      <c r="AV976" s="4"/>
      <c r="AW976" s="4"/>
      <c r="AX976" s="4"/>
      <c r="AY976" s="128"/>
      <c r="AZ976" s="4"/>
      <c r="BA976" s="4"/>
      <c r="BB976" s="4"/>
      <c r="BC976" s="4"/>
      <c r="BD976" s="4"/>
      <c r="BE976" s="4"/>
      <c r="BF976" s="4"/>
      <c r="BG976" s="4"/>
      <c r="BH976" s="4"/>
      <c r="BI976" s="567"/>
    </row>
    <row r="977" spans="1:61" ht="12.75" customHeight="1" x14ac:dyDescent="0.25">
      <c r="A977" s="4"/>
      <c r="B977" s="4"/>
      <c r="C977" s="4"/>
      <c r="D977" s="4"/>
      <c r="E977" s="128"/>
      <c r="F977" s="128"/>
      <c r="G977" s="753"/>
      <c r="H977" s="128"/>
      <c r="I977" s="128"/>
      <c r="J977" s="130"/>
      <c r="K977" s="128"/>
      <c r="L977" s="128"/>
      <c r="M977" s="130"/>
      <c r="N977" s="130"/>
      <c r="O977" s="130"/>
      <c r="P977" s="128"/>
      <c r="Q977" s="128"/>
      <c r="R977" s="128"/>
      <c r="S977" s="298"/>
      <c r="T977" s="4"/>
      <c r="U977" s="4"/>
      <c r="V977" s="4"/>
      <c r="W977" s="4"/>
      <c r="X977" s="4"/>
      <c r="Y977" s="128"/>
      <c r="Z977" s="128"/>
      <c r="AA977" s="128"/>
      <c r="AB977" s="4"/>
      <c r="AC977" s="4"/>
      <c r="AD977" s="4"/>
      <c r="AE977" s="4"/>
      <c r="AF977" s="4"/>
      <c r="AG977" s="4"/>
      <c r="AH977" s="4"/>
      <c r="AI977" s="4"/>
      <c r="AJ977" s="246"/>
      <c r="AK977" s="246"/>
      <c r="AL977" s="129"/>
      <c r="AM977" s="129"/>
      <c r="AN977" s="129"/>
      <c r="AO977" s="246"/>
      <c r="AP977" s="246"/>
      <c r="AQ977" s="249"/>
      <c r="AR977" s="4"/>
      <c r="AS977" s="4"/>
      <c r="AT977" s="4"/>
      <c r="AU977" s="4"/>
      <c r="AV977" s="4"/>
      <c r="AW977" s="4"/>
      <c r="AX977" s="4"/>
      <c r="AY977" s="128"/>
      <c r="AZ977" s="4"/>
      <c r="BA977" s="4"/>
      <c r="BB977" s="4"/>
      <c r="BC977" s="4"/>
      <c r="BD977" s="4"/>
      <c r="BE977" s="4"/>
      <c r="BF977" s="4"/>
      <c r="BG977" s="4"/>
      <c r="BH977" s="4"/>
      <c r="BI977" s="567"/>
    </row>
    <row r="978" spans="1:61" ht="12.75" customHeight="1" x14ac:dyDescent="0.25">
      <c r="A978" s="4"/>
      <c r="B978" s="4"/>
      <c r="C978" s="4"/>
      <c r="D978" s="4"/>
      <c r="E978" s="128"/>
      <c r="F978" s="128"/>
      <c r="G978" s="753"/>
      <c r="H978" s="128"/>
      <c r="I978" s="128"/>
      <c r="J978" s="130"/>
      <c r="K978" s="128"/>
      <c r="L978" s="128"/>
      <c r="M978" s="130"/>
      <c r="N978" s="130"/>
      <c r="O978" s="130"/>
      <c r="P978" s="128"/>
      <c r="Q978" s="128"/>
      <c r="R978" s="128"/>
      <c r="S978" s="298"/>
      <c r="T978" s="4"/>
      <c r="U978" s="4"/>
      <c r="V978" s="4"/>
      <c r="W978" s="4"/>
      <c r="X978" s="4"/>
      <c r="Y978" s="128"/>
      <c r="Z978" s="128"/>
      <c r="AA978" s="128"/>
      <c r="AB978" s="4"/>
      <c r="AC978" s="4"/>
      <c r="AD978" s="4"/>
      <c r="AE978" s="4"/>
      <c r="AF978" s="4"/>
      <c r="AG978" s="4"/>
      <c r="AH978" s="4"/>
      <c r="AI978" s="4"/>
      <c r="AJ978" s="246"/>
      <c r="AK978" s="246"/>
      <c r="AL978" s="129"/>
      <c r="AM978" s="129"/>
      <c r="AN978" s="129"/>
      <c r="AO978" s="246"/>
      <c r="AP978" s="246"/>
      <c r="AQ978" s="249"/>
      <c r="AR978" s="4"/>
      <c r="AS978" s="4"/>
      <c r="AT978" s="4"/>
      <c r="AU978" s="4"/>
      <c r="AV978" s="4"/>
      <c r="AW978" s="4"/>
      <c r="AX978" s="4"/>
      <c r="AY978" s="128"/>
      <c r="AZ978" s="4"/>
      <c r="BA978" s="4"/>
      <c r="BB978" s="4"/>
      <c r="BC978" s="4"/>
      <c r="BD978" s="4"/>
      <c r="BE978" s="4"/>
      <c r="BF978" s="4"/>
      <c r="BG978" s="4"/>
      <c r="BH978" s="4"/>
      <c r="BI978" s="567"/>
    </row>
    <row r="979" spans="1:61" ht="12.75" customHeight="1" x14ac:dyDescent="0.25">
      <c r="A979" s="4"/>
      <c r="B979" s="4"/>
      <c r="C979" s="4"/>
      <c r="D979" s="4"/>
      <c r="E979" s="128"/>
      <c r="F979" s="128"/>
      <c r="G979" s="753"/>
      <c r="H979" s="128"/>
      <c r="I979" s="128"/>
      <c r="J979" s="130"/>
      <c r="K979" s="128"/>
      <c r="L979" s="128"/>
      <c r="M979" s="130"/>
      <c r="N979" s="130"/>
      <c r="O979" s="130"/>
      <c r="P979" s="128"/>
      <c r="Q979" s="128"/>
      <c r="R979" s="128"/>
      <c r="S979" s="298"/>
      <c r="T979" s="4"/>
      <c r="U979" s="4"/>
      <c r="V979" s="4"/>
      <c r="W979" s="4"/>
      <c r="X979" s="4"/>
      <c r="Y979" s="128"/>
      <c r="Z979" s="128"/>
      <c r="AA979" s="128"/>
      <c r="AB979" s="4"/>
      <c r="AC979" s="4"/>
      <c r="AD979" s="4"/>
      <c r="AE979" s="4"/>
      <c r="AF979" s="4"/>
      <c r="AG979" s="4"/>
      <c r="AH979" s="4"/>
      <c r="AI979" s="4"/>
      <c r="AJ979" s="246"/>
      <c r="AK979" s="246"/>
      <c r="AL979" s="129"/>
      <c r="AM979" s="129"/>
      <c r="AN979" s="129"/>
      <c r="AO979" s="246"/>
      <c r="AP979" s="246"/>
      <c r="AQ979" s="249"/>
      <c r="AR979" s="4"/>
      <c r="AS979" s="4"/>
      <c r="AT979" s="4"/>
      <c r="AU979" s="4"/>
      <c r="AV979" s="4"/>
      <c r="AW979" s="4"/>
      <c r="AX979" s="4"/>
      <c r="AY979" s="128"/>
      <c r="AZ979" s="4"/>
      <c r="BA979" s="4"/>
      <c r="BB979" s="4"/>
      <c r="BC979" s="4"/>
      <c r="BD979" s="4"/>
      <c r="BE979" s="4"/>
      <c r="BF979" s="4"/>
      <c r="BG979" s="4"/>
      <c r="BH979" s="4"/>
      <c r="BI979" s="567"/>
    </row>
    <row r="980" spans="1:61" ht="12.75" customHeight="1" x14ac:dyDescent="0.25">
      <c r="A980" s="4"/>
      <c r="B980" s="4"/>
      <c r="C980" s="4"/>
      <c r="D980" s="4"/>
      <c r="E980" s="128"/>
      <c r="F980" s="128"/>
      <c r="G980" s="753"/>
      <c r="H980" s="128"/>
      <c r="I980" s="128"/>
      <c r="J980" s="130"/>
      <c r="K980" s="128"/>
      <c r="L980" s="128"/>
      <c r="M980" s="130"/>
      <c r="N980" s="130"/>
      <c r="O980" s="130"/>
      <c r="P980" s="128"/>
      <c r="Q980" s="128"/>
      <c r="R980" s="128"/>
      <c r="S980" s="298"/>
      <c r="T980" s="4"/>
      <c r="U980" s="4"/>
      <c r="V980" s="4"/>
      <c r="W980" s="4"/>
      <c r="X980" s="4"/>
      <c r="Y980" s="128"/>
      <c r="Z980" s="128"/>
      <c r="AA980" s="128"/>
      <c r="AB980" s="4"/>
      <c r="AC980" s="4"/>
      <c r="AD980" s="4"/>
      <c r="AE980" s="4"/>
      <c r="AF980" s="4"/>
      <c r="AG980" s="4"/>
      <c r="AH980" s="4"/>
      <c r="AI980" s="4"/>
      <c r="AJ980" s="246"/>
      <c r="AK980" s="246"/>
      <c r="AL980" s="129"/>
      <c r="AM980" s="129"/>
      <c r="AN980" s="129"/>
      <c r="AO980" s="246"/>
      <c r="AP980" s="246"/>
      <c r="AQ980" s="249"/>
      <c r="AR980" s="4"/>
      <c r="AS980" s="4"/>
      <c r="AT980" s="4"/>
      <c r="AU980" s="4"/>
      <c r="AV980" s="4"/>
      <c r="AW980" s="4"/>
      <c r="AX980" s="4"/>
      <c r="AY980" s="128"/>
      <c r="AZ980" s="4"/>
      <c r="BA980" s="4"/>
      <c r="BB980" s="4"/>
      <c r="BC980" s="4"/>
      <c r="BD980" s="4"/>
      <c r="BE980" s="4"/>
      <c r="BF980" s="4"/>
      <c r="BG980" s="4"/>
      <c r="BH980" s="4"/>
      <c r="BI980" s="567"/>
    </row>
    <row r="981" spans="1:61" ht="12.75" customHeight="1" x14ac:dyDescent="0.25">
      <c r="A981" s="4"/>
      <c r="B981" s="4"/>
      <c r="C981" s="4"/>
      <c r="D981" s="4"/>
      <c r="E981" s="128"/>
      <c r="F981" s="128"/>
      <c r="G981" s="753"/>
      <c r="H981" s="128"/>
      <c r="I981" s="128"/>
      <c r="J981" s="130"/>
      <c r="K981" s="128"/>
      <c r="L981" s="128"/>
      <c r="M981" s="130"/>
      <c r="N981" s="130"/>
      <c r="O981" s="130"/>
      <c r="P981" s="128"/>
      <c r="Q981" s="128"/>
      <c r="R981" s="128"/>
      <c r="S981" s="298"/>
      <c r="T981" s="4"/>
      <c r="U981" s="4"/>
      <c r="V981" s="4"/>
      <c r="W981" s="4"/>
      <c r="X981" s="4"/>
      <c r="Y981" s="128"/>
      <c r="Z981" s="128"/>
      <c r="AA981" s="128"/>
      <c r="AB981" s="4"/>
      <c r="AC981" s="4"/>
      <c r="AD981" s="4"/>
      <c r="AE981" s="4"/>
      <c r="AF981" s="4"/>
      <c r="AG981" s="4"/>
      <c r="AH981" s="4"/>
      <c r="AI981" s="4"/>
      <c r="AJ981" s="246"/>
      <c r="AK981" s="246"/>
      <c r="AL981" s="129"/>
      <c r="AM981" s="129"/>
      <c r="AN981" s="129"/>
      <c r="AO981" s="246"/>
      <c r="AP981" s="246"/>
      <c r="AQ981" s="249"/>
      <c r="AR981" s="4"/>
      <c r="AS981" s="4"/>
      <c r="AT981" s="4"/>
      <c r="AU981" s="4"/>
      <c r="AV981" s="4"/>
      <c r="AW981" s="4"/>
      <c r="AX981" s="4"/>
      <c r="AY981" s="128"/>
      <c r="AZ981" s="4"/>
      <c r="BA981" s="4"/>
      <c r="BB981" s="4"/>
      <c r="BC981" s="4"/>
      <c r="BD981" s="4"/>
      <c r="BE981" s="4"/>
      <c r="BF981" s="4"/>
      <c r="BG981" s="4"/>
      <c r="BH981" s="4"/>
      <c r="BI981" s="567"/>
    </row>
    <row r="982" spans="1:61" ht="12.75" customHeight="1" x14ac:dyDescent="0.25">
      <c r="A982" s="4"/>
      <c r="B982" s="4"/>
      <c r="C982" s="4"/>
      <c r="D982" s="4"/>
      <c r="E982" s="128"/>
      <c r="F982" s="128"/>
      <c r="G982" s="753"/>
      <c r="H982" s="128"/>
      <c r="I982" s="128"/>
      <c r="J982" s="130"/>
      <c r="K982" s="128"/>
      <c r="L982" s="128"/>
      <c r="M982" s="130"/>
      <c r="N982" s="130"/>
      <c r="O982" s="130"/>
      <c r="P982" s="128"/>
      <c r="Q982" s="128"/>
      <c r="R982" s="128"/>
      <c r="S982" s="298"/>
      <c r="T982" s="4"/>
      <c r="U982" s="4"/>
      <c r="V982" s="4"/>
      <c r="W982" s="4"/>
      <c r="X982" s="4"/>
      <c r="Y982" s="128"/>
      <c r="Z982" s="128"/>
      <c r="AA982" s="128"/>
      <c r="AB982" s="4"/>
      <c r="AC982" s="4"/>
      <c r="AD982" s="4"/>
      <c r="AE982" s="4"/>
      <c r="AF982" s="4"/>
      <c r="AG982" s="4"/>
      <c r="AH982" s="4"/>
      <c r="AI982" s="4"/>
      <c r="AJ982" s="246"/>
      <c r="AK982" s="246"/>
      <c r="AL982" s="129"/>
      <c r="AM982" s="129"/>
      <c r="AN982" s="129"/>
      <c r="AO982" s="246"/>
      <c r="AP982" s="246"/>
      <c r="AQ982" s="249"/>
      <c r="AR982" s="4"/>
      <c r="AS982" s="4"/>
      <c r="AT982" s="4"/>
      <c r="AU982" s="4"/>
      <c r="AV982" s="4"/>
      <c r="AW982" s="4"/>
      <c r="AX982" s="4"/>
      <c r="AY982" s="128"/>
      <c r="AZ982" s="4"/>
      <c r="BA982" s="4"/>
      <c r="BB982" s="4"/>
      <c r="BC982" s="4"/>
      <c r="BD982" s="4"/>
      <c r="BE982" s="4"/>
      <c r="BF982" s="4"/>
      <c r="BG982" s="4"/>
      <c r="BH982" s="4"/>
      <c r="BI982" s="567"/>
    </row>
    <row r="983" spans="1:61" ht="12.75" customHeight="1" x14ac:dyDescent="0.25">
      <c r="A983" s="4"/>
      <c r="B983" s="4"/>
      <c r="C983" s="4"/>
      <c r="D983" s="4"/>
      <c r="E983" s="128"/>
      <c r="F983" s="128"/>
      <c r="G983" s="753"/>
      <c r="H983" s="128"/>
      <c r="I983" s="128"/>
      <c r="J983" s="130"/>
      <c r="K983" s="128"/>
      <c r="L983" s="128"/>
      <c r="M983" s="130"/>
      <c r="N983" s="130"/>
      <c r="O983" s="130"/>
      <c r="P983" s="128"/>
      <c r="Q983" s="128"/>
      <c r="R983" s="128"/>
      <c r="S983" s="298"/>
      <c r="T983" s="4"/>
      <c r="U983" s="4"/>
      <c r="V983" s="4"/>
      <c r="W983" s="4"/>
      <c r="X983" s="4"/>
      <c r="Y983" s="128"/>
      <c r="Z983" s="128"/>
      <c r="AA983" s="128"/>
      <c r="AB983" s="4"/>
      <c r="AC983" s="4"/>
      <c r="AD983" s="4"/>
      <c r="AE983" s="4"/>
      <c r="AF983" s="4"/>
      <c r="AG983" s="4"/>
      <c r="AH983" s="4"/>
      <c r="AI983" s="4"/>
      <c r="AJ983" s="246"/>
      <c r="AK983" s="246"/>
      <c r="AL983" s="129"/>
      <c r="AM983" s="129"/>
      <c r="AN983" s="129"/>
      <c r="AO983" s="246"/>
      <c r="AP983" s="246"/>
      <c r="AQ983" s="249"/>
      <c r="AR983" s="4"/>
      <c r="AS983" s="4"/>
      <c r="AT983" s="4"/>
      <c r="AU983" s="4"/>
      <c r="AV983" s="4"/>
      <c r="AW983" s="4"/>
      <c r="AX983" s="4"/>
      <c r="AY983" s="128"/>
      <c r="AZ983" s="4"/>
      <c r="BA983" s="4"/>
      <c r="BB983" s="4"/>
      <c r="BC983" s="4"/>
      <c r="BD983" s="4"/>
      <c r="BE983" s="4"/>
      <c r="BF983" s="4"/>
      <c r="BG983" s="4"/>
      <c r="BH983" s="4"/>
      <c r="BI983" s="567"/>
    </row>
    <row r="984" spans="1:61" ht="12.75" customHeight="1" x14ac:dyDescent="0.25">
      <c r="A984" s="4"/>
      <c r="B984" s="4"/>
      <c r="C984" s="4"/>
      <c r="D984" s="4"/>
      <c r="E984" s="128"/>
      <c r="F984" s="128"/>
      <c r="G984" s="753"/>
      <c r="H984" s="128"/>
      <c r="I984" s="128"/>
      <c r="J984" s="130"/>
      <c r="K984" s="128"/>
      <c r="L984" s="128"/>
      <c r="M984" s="130"/>
      <c r="N984" s="130"/>
      <c r="O984" s="130"/>
      <c r="P984" s="128"/>
      <c r="Q984" s="128"/>
      <c r="R984" s="128"/>
      <c r="S984" s="298"/>
      <c r="T984" s="4"/>
      <c r="U984" s="4"/>
      <c r="V984" s="4"/>
      <c r="W984" s="4"/>
      <c r="X984" s="4"/>
      <c r="Y984" s="128"/>
      <c r="Z984" s="128"/>
      <c r="AA984" s="128"/>
      <c r="AB984" s="4"/>
      <c r="AC984" s="4"/>
      <c r="AD984" s="4"/>
      <c r="AE984" s="4"/>
      <c r="AF984" s="4"/>
      <c r="AG984" s="4"/>
      <c r="AH984" s="4"/>
      <c r="AI984" s="4"/>
      <c r="AJ984" s="246"/>
      <c r="AK984" s="246"/>
      <c r="AL984" s="129"/>
      <c r="AM984" s="129"/>
      <c r="AN984" s="129"/>
      <c r="AO984" s="246"/>
      <c r="AP984" s="246"/>
      <c r="AQ984" s="249"/>
      <c r="AR984" s="4"/>
      <c r="AS984" s="4"/>
      <c r="AT984" s="4"/>
      <c r="AU984" s="4"/>
      <c r="AV984" s="4"/>
      <c r="AW984" s="4"/>
      <c r="AX984" s="4"/>
      <c r="AY984" s="128"/>
      <c r="AZ984" s="4"/>
      <c r="BA984" s="4"/>
      <c r="BB984" s="4"/>
      <c r="BC984" s="4"/>
      <c r="BD984" s="4"/>
      <c r="BE984" s="4"/>
      <c r="BF984" s="4"/>
      <c r="BG984" s="4"/>
      <c r="BH984" s="4"/>
      <c r="BI984" s="567"/>
    </row>
    <row r="985" spans="1:61" ht="12.75" customHeight="1" x14ac:dyDescent="0.25">
      <c r="A985" s="4"/>
      <c r="B985" s="4"/>
      <c r="C985" s="4"/>
      <c r="D985" s="4"/>
      <c r="E985" s="128"/>
      <c r="F985" s="128"/>
      <c r="G985" s="753"/>
      <c r="H985" s="128"/>
      <c r="I985" s="128"/>
      <c r="J985" s="130"/>
      <c r="K985" s="128"/>
      <c r="L985" s="128"/>
      <c r="M985" s="130"/>
      <c r="N985" s="130"/>
      <c r="O985" s="130"/>
      <c r="P985" s="128"/>
      <c r="Q985" s="128"/>
      <c r="R985" s="128"/>
      <c r="S985" s="298"/>
      <c r="T985" s="4"/>
      <c r="U985" s="4"/>
      <c r="V985" s="4"/>
      <c r="W985" s="4"/>
      <c r="X985" s="4"/>
      <c r="Y985" s="128"/>
      <c r="Z985" s="128"/>
      <c r="AA985" s="128"/>
      <c r="AB985" s="4"/>
      <c r="AC985" s="4"/>
      <c r="AD985" s="4"/>
      <c r="AE985" s="4"/>
      <c r="AF985" s="4"/>
      <c r="AG985" s="4"/>
      <c r="AH985" s="4"/>
      <c r="AI985" s="4"/>
      <c r="AJ985" s="246"/>
      <c r="AK985" s="246"/>
      <c r="AL985" s="129"/>
      <c r="AM985" s="129"/>
      <c r="AN985" s="129"/>
      <c r="AO985" s="246"/>
      <c r="AP985" s="246"/>
      <c r="AQ985" s="249"/>
      <c r="AR985" s="4"/>
      <c r="AS985" s="4"/>
      <c r="AT985" s="4"/>
      <c r="AU985" s="4"/>
      <c r="AV985" s="4"/>
      <c r="AW985" s="4"/>
      <c r="AX985" s="4"/>
      <c r="AY985" s="128"/>
      <c r="AZ985" s="4"/>
      <c r="BA985" s="4"/>
      <c r="BB985" s="4"/>
      <c r="BC985" s="4"/>
      <c r="BD985" s="4"/>
      <c r="BE985" s="4"/>
      <c r="BF985" s="4"/>
      <c r="BG985" s="4"/>
      <c r="BH985" s="4"/>
      <c r="BI985" s="567"/>
    </row>
  </sheetData>
  <autoFilter ref="A6:BI226"/>
  <mergeCells count="85">
    <mergeCell ref="BI220:BI221"/>
    <mergeCell ref="A223:C223"/>
    <mergeCell ref="BI92:BI100"/>
    <mergeCell ref="BI39:BI40"/>
    <mergeCell ref="BI42:BI50"/>
    <mergeCell ref="BI53:BI55"/>
    <mergeCell ref="BI57:BI59"/>
    <mergeCell ref="BI61:BI64"/>
    <mergeCell ref="BI68:BI71"/>
    <mergeCell ref="BI73:BI76"/>
    <mergeCell ref="BI104:BI106"/>
    <mergeCell ref="BI109:BI113"/>
    <mergeCell ref="BI114:BI115"/>
    <mergeCell ref="BI119:BI120"/>
    <mergeCell ref="BI122:BI123"/>
    <mergeCell ref="BI148:BI153"/>
    <mergeCell ref="U5:U6"/>
    <mergeCell ref="V5:V6"/>
    <mergeCell ref="W5:W6"/>
    <mergeCell ref="X5:X6"/>
    <mergeCell ref="BI212:BI216"/>
    <mergeCell ref="BI163:BI166"/>
    <mergeCell ref="BI167:BI170"/>
    <mergeCell ref="BI172:BI173"/>
    <mergeCell ref="BI206:BI209"/>
    <mergeCell ref="BI175:BI176"/>
    <mergeCell ref="BI178:BI181"/>
    <mergeCell ref="BI186:BI191"/>
    <mergeCell ref="BI194:BI200"/>
    <mergeCell ref="BI202:BI204"/>
    <mergeCell ref="BI137:BI138"/>
    <mergeCell ref="BI142:BI146"/>
    <mergeCell ref="A1:BI1"/>
    <mergeCell ref="A2:BI2"/>
    <mergeCell ref="BI4:BI6"/>
    <mergeCell ref="D5:G5"/>
    <mergeCell ref="H5:K5"/>
    <mergeCell ref="AM5:AP5"/>
    <mergeCell ref="A3:BI3"/>
    <mergeCell ref="A4:AF4"/>
    <mergeCell ref="A5:A6"/>
    <mergeCell ref="B5:B6"/>
    <mergeCell ref="C5:C6"/>
    <mergeCell ref="L5:N5"/>
    <mergeCell ref="S5:S6"/>
    <mergeCell ref="O5:R5"/>
    <mergeCell ref="AH5:AK5"/>
    <mergeCell ref="T5:T6"/>
    <mergeCell ref="BI155:BI157"/>
    <mergeCell ref="BI127:BI130"/>
    <mergeCell ref="BI132:BI135"/>
    <mergeCell ref="BI116:BI117"/>
    <mergeCell ref="BI33:BI34"/>
    <mergeCell ref="BI78:BI85"/>
    <mergeCell ref="BI87:BI90"/>
    <mergeCell ref="BI10:BI16"/>
    <mergeCell ref="BI18:BI20"/>
    <mergeCell ref="BI22:BI28"/>
    <mergeCell ref="BI30:BI32"/>
    <mergeCell ref="AV5:AV6"/>
    <mergeCell ref="AW5:AW6"/>
    <mergeCell ref="AR5:AR6"/>
    <mergeCell ref="BC5:BC6"/>
    <mergeCell ref="BD5:BD6"/>
    <mergeCell ref="Y5:Y6"/>
    <mergeCell ref="Z5:Z6"/>
    <mergeCell ref="AA5:AA6"/>
    <mergeCell ref="AC5:AF5"/>
    <mergeCell ref="AG5:AG6"/>
    <mergeCell ref="AG4:BD4"/>
    <mergeCell ref="BE5:BE6"/>
    <mergeCell ref="BF5:BF6"/>
    <mergeCell ref="BE4:BH4"/>
    <mergeCell ref="BG5:BG6"/>
    <mergeCell ref="BH5:BH6"/>
    <mergeCell ref="AY5:AY6"/>
    <mergeCell ref="AX5:AX6"/>
    <mergeCell ref="AZ5:AZ6"/>
    <mergeCell ref="BA5:BA6"/>
    <mergeCell ref="BB5:BB6"/>
    <mergeCell ref="AS5:AS6"/>
    <mergeCell ref="AT5:AT6"/>
    <mergeCell ref="AU5:AU6"/>
    <mergeCell ref="AL5:AL6"/>
    <mergeCell ref="AQ5:AQ6"/>
  </mergeCells>
  <printOptions horizontalCentered="1" verticalCentered="1"/>
  <pageMargins left="0" right="0" top="0.98425196850393704" bottom="0.98425196850393704" header="0" footer="0"/>
  <pageSetup paperSize="5" scale="14" orientation="landscape" r:id="rId1"/>
  <rowBreaks count="2" manualBreakCount="2">
    <brk id="58" max="48" man="1"/>
    <brk id="76" max="48"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Hoja2!$A$2:$A$4</xm:f>
          </x14:formula1>
          <xm:sqref>U7:U222</xm:sqref>
        </x14:dataValidation>
        <x14:dataValidation type="list" allowBlank="1" showInputMessage="1" showErrorMessage="1">
          <x14:formula1>
            <xm:f>Hoja2!$C$2:$C$5</xm:f>
          </x14:formula1>
          <xm:sqref>W7:W222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A2" sqref="A2:A4"/>
    </sheetView>
  </sheetViews>
  <sheetFormatPr baseColWidth="10" defaultRowHeight="15" x14ac:dyDescent="0.25"/>
  <cols>
    <col min="1" max="7" width="11.42578125" style="1087"/>
    <col min="8" max="8" width="79.85546875" style="1094" customWidth="1"/>
    <col min="9" max="16384" width="11.42578125" style="1087"/>
  </cols>
  <sheetData>
    <row r="1" spans="1:8" x14ac:dyDescent="0.25">
      <c r="A1" s="1086" t="s">
        <v>1792</v>
      </c>
      <c r="C1" s="1259" t="s">
        <v>1793</v>
      </c>
      <c r="D1" s="1259"/>
      <c r="E1" s="1087" t="s">
        <v>1794</v>
      </c>
      <c r="H1" s="1088" t="s">
        <v>1795</v>
      </c>
    </row>
    <row r="2" spans="1:8" ht="49.5" x14ac:dyDescent="0.25">
      <c r="A2" s="1086" t="s">
        <v>1796</v>
      </c>
      <c r="C2" s="1089" t="s">
        <v>1797</v>
      </c>
      <c r="E2" s="1090" t="s">
        <v>1798</v>
      </c>
      <c r="H2" s="1091" t="s">
        <v>1799</v>
      </c>
    </row>
    <row r="3" spans="1:8" ht="33" x14ac:dyDescent="0.25">
      <c r="A3" s="1086" t="s">
        <v>1800</v>
      </c>
      <c r="C3" s="1089" t="s">
        <v>1801</v>
      </c>
      <c r="E3" s="1092" t="s">
        <v>1802</v>
      </c>
      <c r="H3" s="1091" t="s">
        <v>1803</v>
      </c>
    </row>
    <row r="4" spans="1:8" ht="49.5" x14ac:dyDescent="0.3">
      <c r="A4" s="1089" t="s">
        <v>1804</v>
      </c>
      <c r="C4" s="1089" t="s">
        <v>1805</v>
      </c>
      <c r="E4" s="1092" t="s">
        <v>1806</v>
      </c>
      <c r="H4" s="1093" t="s">
        <v>79</v>
      </c>
    </row>
    <row r="5" spans="1:8" ht="33" x14ac:dyDescent="0.25">
      <c r="C5" s="1089" t="s">
        <v>1807</v>
      </c>
      <c r="E5" s="1092" t="s">
        <v>1808</v>
      </c>
      <c r="H5" s="1091" t="s">
        <v>1809</v>
      </c>
    </row>
    <row r="6" spans="1:8" ht="16.5" x14ac:dyDescent="0.25">
      <c r="E6" s="1092" t="s">
        <v>1810</v>
      </c>
      <c r="H6" s="1091" t="s">
        <v>86</v>
      </c>
    </row>
    <row r="7" spans="1:8" ht="33" x14ac:dyDescent="0.25">
      <c r="E7" s="1092" t="s">
        <v>1811</v>
      </c>
      <c r="H7" s="1091" t="s">
        <v>1812</v>
      </c>
    </row>
    <row r="8" spans="1:8" ht="49.5" x14ac:dyDescent="0.25">
      <c r="E8" s="1092" t="s">
        <v>1813</v>
      </c>
      <c r="H8" s="1091" t="s">
        <v>1814</v>
      </c>
    </row>
    <row r="9" spans="1:8" ht="16.5" x14ac:dyDescent="0.25">
      <c r="E9" s="1092" t="s">
        <v>1815</v>
      </c>
      <c r="H9" s="1091" t="s">
        <v>1816</v>
      </c>
    </row>
    <row r="10" spans="1:8" ht="16.5" x14ac:dyDescent="0.25">
      <c r="E10" s="1092" t="s">
        <v>1817</v>
      </c>
      <c r="H10" s="1091" t="s">
        <v>101</v>
      </c>
    </row>
    <row r="11" spans="1:8" ht="16.5" x14ac:dyDescent="0.25">
      <c r="E11" s="1092" t="s">
        <v>143</v>
      </c>
      <c r="H11" s="1091" t="s">
        <v>71</v>
      </c>
    </row>
    <row r="12" spans="1:8" ht="16.5" x14ac:dyDescent="0.25">
      <c r="H12" s="1091" t="s">
        <v>73</v>
      </c>
    </row>
    <row r="13" spans="1:8" ht="16.5" x14ac:dyDescent="0.25">
      <c r="H13" s="1091" t="s">
        <v>75</v>
      </c>
    </row>
    <row r="14" spans="1:8" ht="33" x14ac:dyDescent="0.25">
      <c r="H14" s="1091" t="s">
        <v>92</v>
      </c>
    </row>
    <row r="15" spans="1:8" ht="16.5" x14ac:dyDescent="0.25">
      <c r="H15" s="1091" t="s">
        <v>97</v>
      </c>
    </row>
    <row r="16" spans="1:8" ht="33" x14ac:dyDescent="0.25">
      <c r="H16" s="1091" t="s">
        <v>1818</v>
      </c>
    </row>
    <row r="17" spans="8:8" ht="16.5" x14ac:dyDescent="0.25">
      <c r="H17" s="1091" t="s">
        <v>1819</v>
      </c>
    </row>
    <row r="18" spans="8:8" ht="33" x14ac:dyDescent="0.25">
      <c r="H18" s="1091" t="s">
        <v>1820</v>
      </c>
    </row>
    <row r="19" spans="8:8" ht="16.5" x14ac:dyDescent="0.25">
      <c r="H19" s="1091" t="s">
        <v>81</v>
      </c>
    </row>
    <row r="20" spans="8:8" ht="16.5" x14ac:dyDescent="0.25">
      <c r="H20" s="1091" t="s">
        <v>87</v>
      </c>
    </row>
    <row r="21" spans="8:8" ht="16.5" x14ac:dyDescent="0.25">
      <c r="H21" s="1091" t="s">
        <v>1821</v>
      </c>
    </row>
    <row r="22" spans="8:8" ht="16.5" x14ac:dyDescent="0.25">
      <c r="H22" s="1091" t="s">
        <v>89</v>
      </c>
    </row>
    <row r="23" spans="8:8" ht="16.5" x14ac:dyDescent="0.25">
      <c r="H23" s="1091" t="s">
        <v>1822</v>
      </c>
    </row>
    <row r="24" spans="8:8" ht="16.5" x14ac:dyDescent="0.25">
      <c r="H24" s="1091" t="s">
        <v>91</v>
      </c>
    </row>
    <row r="25" spans="8:8" ht="33" x14ac:dyDescent="0.25">
      <c r="H25" s="1091" t="s">
        <v>1823</v>
      </c>
    </row>
    <row r="26" spans="8:8" ht="16.5" x14ac:dyDescent="0.25">
      <c r="H26" s="1091" t="s">
        <v>94</v>
      </c>
    </row>
    <row r="27" spans="8:8" ht="16.5" x14ac:dyDescent="0.3">
      <c r="H27" s="1093" t="s">
        <v>1824</v>
      </c>
    </row>
    <row r="28" spans="8:8" ht="16.5" x14ac:dyDescent="0.25">
      <c r="H28" s="1091" t="s">
        <v>1825</v>
      </c>
    </row>
  </sheetData>
  <mergeCells count="1">
    <mergeCell ref="C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0"/>
  <sheetViews>
    <sheetView topLeftCell="H1" workbookViewId="0">
      <pane xSplit="1" ySplit="3" topLeftCell="I117" activePane="bottomRight" state="frozen"/>
      <selection activeCell="H1" sqref="H1"/>
      <selection pane="topRight" activeCell="I1" sqref="I1"/>
      <selection pane="bottomLeft" activeCell="H4" sqref="H4"/>
      <selection pane="bottomRight" activeCell="I87" sqref="I87"/>
    </sheetView>
  </sheetViews>
  <sheetFormatPr baseColWidth="10" defaultColWidth="14.42578125" defaultRowHeight="15" x14ac:dyDescent="0.25"/>
  <cols>
    <col min="1" max="1" width="15" hidden="1" customWidth="1"/>
    <col min="2" max="2" width="13" hidden="1" customWidth="1"/>
    <col min="3" max="3" width="13.28515625" hidden="1" customWidth="1"/>
    <col min="4" max="4" width="11.7109375" hidden="1" customWidth="1"/>
    <col min="5" max="6" width="5.42578125" hidden="1" customWidth="1"/>
    <col min="7" max="7" width="14.85546875" hidden="1" customWidth="1"/>
    <col min="8" max="8" width="63" customWidth="1"/>
    <col min="9" max="9" width="18.140625" style="428" customWidth="1"/>
    <col min="10" max="10" width="17.5703125" customWidth="1"/>
    <col min="11" max="11" width="16.42578125" customWidth="1"/>
    <col min="12" max="12" width="16.140625" customWidth="1"/>
    <col min="13" max="13" width="21.5703125" customWidth="1"/>
    <col min="14" max="14" width="22.28515625" customWidth="1"/>
    <col min="15" max="15" width="21.85546875" customWidth="1"/>
    <col min="16" max="16" width="19.28515625" customWidth="1"/>
    <col min="17" max="17" width="18.42578125" customWidth="1"/>
    <col min="18" max="18" width="17.42578125" customWidth="1"/>
    <col min="19" max="19" width="17.140625" customWidth="1"/>
    <col min="20" max="20" width="13.42578125" customWidth="1"/>
    <col min="21" max="21" width="18.28515625" customWidth="1"/>
    <col min="22" max="22" width="21.28515625" customWidth="1"/>
    <col min="23" max="23" width="20.7109375" customWidth="1"/>
    <col min="24" max="24" width="20" customWidth="1"/>
    <col min="25" max="26" width="18.140625" customWidth="1"/>
    <col min="27" max="27" width="16.42578125" customWidth="1"/>
    <col min="28" max="28" width="15.7109375" customWidth="1"/>
    <col min="29" max="29" width="29.7109375" hidden="1" customWidth="1"/>
    <col min="30" max="30" width="17.85546875" bestFit="1" customWidth="1"/>
    <col min="31" max="31" width="19.28515625" bestFit="1" customWidth="1"/>
  </cols>
  <sheetData>
    <row r="1" spans="1:31" ht="15.75" thickBot="1" x14ac:dyDescent="0.3"/>
    <row r="2" spans="1:31" ht="30.75" customHeight="1" thickTop="1" thickBot="1" x14ac:dyDescent="0.3">
      <c r="A2" s="1263" t="s">
        <v>715</v>
      </c>
      <c r="B2" s="1263" t="s">
        <v>716</v>
      </c>
      <c r="C2" s="1265" t="s">
        <v>717</v>
      </c>
      <c r="D2" s="1263" t="s">
        <v>718</v>
      </c>
      <c r="E2" s="1263" t="s">
        <v>719</v>
      </c>
      <c r="F2" s="1263" t="s">
        <v>720</v>
      </c>
      <c r="G2" s="1263" t="s">
        <v>721</v>
      </c>
      <c r="H2" s="1265" t="s">
        <v>722</v>
      </c>
      <c r="I2" s="1260" t="s">
        <v>723</v>
      </c>
      <c r="J2" s="1261"/>
      <c r="K2" s="1261"/>
      <c r="L2" s="1262"/>
      <c r="M2" s="1260" t="s">
        <v>724</v>
      </c>
      <c r="N2" s="1261"/>
      <c r="O2" s="1261"/>
      <c r="P2" s="1262"/>
      <c r="Q2" s="1260" t="s">
        <v>725</v>
      </c>
      <c r="R2" s="1261"/>
      <c r="S2" s="1261"/>
      <c r="T2" s="1262"/>
      <c r="U2" s="1260" t="s">
        <v>726</v>
      </c>
      <c r="V2" s="1261"/>
      <c r="W2" s="1261"/>
      <c r="X2" s="1262"/>
      <c r="Y2" s="1260" t="s">
        <v>727</v>
      </c>
      <c r="Z2" s="1261"/>
      <c r="AA2" s="1261"/>
      <c r="AB2" s="1262"/>
      <c r="AC2" s="429" t="s">
        <v>728</v>
      </c>
    </row>
    <row r="3" spans="1:31" ht="24" thickTop="1" thickBot="1" x14ac:dyDescent="0.3">
      <c r="A3" s="1264"/>
      <c r="B3" s="1264"/>
      <c r="C3" s="1266"/>
      <c r="D3" s="1264"/>
      <c r="E3" s="1264"/>
      <c r="F3" s="1264"/>
      <c r="G3" s="1264"/>
      <c r="H3" s="1266"/>
      <c r="I3" s="430" t="s">
        <v>729</v>
      </c>
      <c r="J3" s="430" t="s">
        <v>730</v>
      </c>
      <c r="K3" s="430" t="s">
        <v>731</v>
      </c>
      <c r="L3" s="430" t="s">
        <v>732</v>
      </c>
      <c r="M3" s="430" t="s">
        <v>729</v>
      </c>
      <c r="N3" s="430" t="s">
        <v>730</v>
      </c>
      <c r="O3" s="430" t="s">
        <v>731</v>
      </c>
      <c r="P3" s="430" t="s">
        <v>732</v>
      </c>
      <c r="Q3" s="430" t="s">
        <v>729</v>
      </c>
      <c r="R3" s="430" t="s">
        <v>730</v>
      </c>
      <c r="S3" s="430" t="s">
        <v>731</v>
      </c>
      <c r="T3" s="430" t="s">
        <v>732</v>
      </c>
      <c r="U3" s="430" t="s">
        <v>729</v>
      </c>
      <c r="V3" s="430" t="s">
        <v>730</v>
      </c>
      <c r="W3" s="430" t="s">
        <v>731</v>
      </c>
      <c r="X3" s="430" t="s">
        <v>732</v>
      </c>
      <c r="Y3" s="430" t="s">
        <v>729</v>
      </c>
      <c r="Z3" s="430" t="s">
        <v>730</v>
      </c>
      <c r="AA3" s="430" t="s">
        <v>731</v>
      </c>
      <c r="AB3" s="430" t="s">
        <v>733</v>
      </c>
      <c r="AC3" s="430"/>
    </row>
    <row r="4" spans="1:31" ht="16.5" thickTop="1" thickBot="1" x14ac:dyDescent="0.3">
      <c r="A4" s="431" t="s">
        <v>734</v>
      </c>
      <c r="B4" s="431" t="s">
        <v>735</v>
      </c>
      <c r="C4" s="431"/>
      <c r="D4" s="431"/>
      <c r="E4" s="431"/>
      <c r="F4" s="431"/>
      <c r="G4" s="431"/>
      <c r="H4" s="432" t="s">
        <v>736</v>
      </c>
      <c r="I4" s="433">
        <f t="shared" ref="I4:U4" si="0">+I5+I6+I9+I24</f>
        <v>6865971542</v>
      </c>
      <c r="J4" s="434">
        <f t="shared" si="0"/>
        <v>6084622289</v>
      </c>
      <c r="K4" s="434">
        <f t="shared" si="0"/>
        <v>5886967805</v>
      </c>
      <c r="L4" s="434">
        <f t="shared" si="0"/>
        <v>5597668134</v>
      </c>
      <c r="M4" s="435">
        <f t="shared" si="0"/>
        <v>3047844000</v>
      </c>
      <c r="N4" s="435">
        <f t="shared" si="0"/>
        <v>2928744383</v>
      </c>
      <c r="O4" s="435">
        <f t="shared" si="0"/>
        <v>2928744383</v>
      </c>
      <c r="P4" s="435">
        <f t="shared" si="0"/>
        <v>2928744383</v>
      </c>
      <c r="Q4" s="435">
        <f t="shared" si="0"/>
        <v>190332268</v>
      </c>
      <c r="R4" s="435">
        <f t="shared" si="0"/>
        <v>165171837</v>
      </c>
      <c r="S4" s="435">
        <f t="shared" si="0"/>
        <v>165171837</v>
      </c>
      <c r="T4" s="435">
        <f t="shared" si="0"/>
        <v>165171837</v>
      </c>
      <c r="U4" s="435">
        <f t="shared" si="0"/>
        <v>0</v>
      </c>
      <c r="V4" s="434">
        <v>0</v>
      </c>
      <c r="W4" s="434">
        <v>0</v>
      </c>
      <c r="X4" s="434">
        <v>0</v>
      </c>
      <c r="Y4" s="571">
        <f>I4+M4+Q4+U4</f>
        <v>10104147810</v>
      </c>
      <c r="Z4" s="434">
        <f>J4+N4+R4+V4</f>
        <v>9178538509</v>
      </c>
      <c r="AA4" s="434">
        <f>K4+O4+S4+W4</f>
        <v>8980884025</v>
      </c>
      <c r="AB4" s="434">
        <f>L4+P4+T4+X4</f>
        <v>8691584354</v>
      </c>
      <c r="AC4" s="436"/>
      <c r="AD4" s="539" t="e">
        <f>+#REF!+#REF!</f>
        <v>#REF!</v>
      </c>
      <c r="AE4" s="570"/>
    </row>
    <row r="5" spans="1:31" ht="16.5" thickTop="1" thickBot="1" x14ac:dyDescent="0.3">
      <c r="A5" s="437" t="s">
        <v>734</v>
      </c>
      <c r="B5" s="437" t="s">
        <v>735</v>
      </c>
      <c r="C5" s="437" t="s">
        <v>735</v>
      </c>
      <c r="D5" s="437"/>
      <c r="E5" s="437"/>
      <c r="F5" s="437"/>
      <c r="G5" s="437"/>
      <c r="H5" s="438" t="s">
        <v>737</v>
      </c>
      <c r="I5" s="439">
        <f>1024000000+30000000+15000000+27000000+43000000+44000000+110000000+70000000+246000000+190000000+160000000+90000000+40000000+66000000+50000000+60000000+80000000+36000000+164000000+140000000</f>
        <v>2685000000</v>
      </c>
      <c r="J5" s="439">
        <f>978488895+14421838+24331397+41965076+24915098+64177592+62695591+240262300+136824550+120860842+86464576+16906360+64364832+31259388+18292037+67693196+34957223+156354274+117853770</f>
        <v>2303088835</v>
      </c>
      <c r="K5" s="439">
        <f>978488895+14421838+24331397+41965076+24915098+64177592+62695591+240262300+136824550+120860842+86464576+16760200+64364832+31259388+18292037+67693196+34957223+156354274+117853770</f>
        <v>2302942675</v>
      </c>
      <c r="L5" s="439">
        <f>978488895+14421838+24331397+41965076+24915098+64177592+62695591+240262300+136824550+120860842+86464576+16760200+64364832+31259388+18292037+67693196+34957223+156354274+117853770</f>
        <v>2302942675</v>
      </c>
      <c r="M5" s="440">
        <f>1629164000+60000000+10000000+10000000+90000000+70000000+200000000+80000000+115000000+115000000+168000000+46000000+29180000+35000000+35000000+160000000+10000000+95000000+36000000</f>
        <v>2993344000</v>
      </c>
      <c r="N5" s="439">
        <f>1590619218+33389713+10000000+10000000+88277626+68969577+200000000+75058222+114876300+114912400+168000000+45431600+29174600+34573700+34715800+115862479+9383148+95000000+36000000</f>
        <v>2874244383</v>
      </c>
      <c r="O5" s="439">
        <f>1590619218+33389713+10000000+10000000+88277626+68969577+200000000+75058222+114876300+114912400+168000000+45431600+29174600+34573700+34715800+115862479+9383148+95000000+36000000</f>
        <v>2874244383</v>
      </c>
      <c r="P5" s="439">
        <f>1590619218+33389713+10000000+10000000+88277626+68969577+200000000+75058222+114876300+114912400+168000000+45431600+29174600+34573700+34715800+115862479+9383148+95000000+36000000</f>
        <v>2874244383</v>
      </c>
      <c r="Q5" s="440">
        <f>150033684+5143749</f>
        <v>155177433</v>
      </c>
      <c r="R5" s="439">
        <f>150033684</f>
        <v>150033684</v>
      </c>
      <c r="S5" s="439">
        <f>150033684</f>
        <v>150033684</v>
      </c>
      <c r="T5" s="439">
        <f>150033684</f>
        <v>150033684</v>
      </c>
      <c r="U5" s="441">
        <f>+U6</f>
        <v>0</v>
      </c>
      <c r="V5" s="439">
        <f>+V6</f>
        <v>0</v>
      </c>
      <c r="W5" s="439">
        <f>+W6</f>
        <v>0</v>
      </c>
      <c r="X5" s="439">
        <f>+X6</f>
        <v>0</v>
      </c>
      <c r="Y5" s="439">
        <f>I5+M5+Q5+U6</f>
        <v>5833521433</v>
      </c>
      <c r="Z5" s="439">
        <f>J5+N5+R5+V6</f>
        <v>5327366902</v>
      </c>
      <c r="AA5" s="439">
        <f>K5+O5+S5+W6</f>
        <v>5327220742</v>
      </c>
      <c r="AB5" s="439">
        <f>L5+P5+T5+X6</f>
        <v>5327220742</v>
      </c>
      <c r="AC5" s="436"/>
    </row>
    <row r="6" spans="1:31" ht="16.5" thickTop="1" thickBot="1" x14ac:dyDescent="0.3">
      <c r="A6" s="442">
        <v>2</v>
      </c>
      <c r="B6" s="437" t="s">
        <v>735</v>
      </c>
      <c r="C6" s="437" t="s">
        <v>738</v>
      </c>
      <c r="D6" s="437"/>
      <c r="E6" s="437"/>
      <c r="F6" s="437"/>
      <c r="G6" s="437"/>
      <c r="H6" s="438" t="s">
        <v>739</v>
      </c>
      <c r="I6" s="439">
        <f>+I7+I8</f>
        <v>2906456226</v>
      </c>
      <c r="J6" s="439">
        <f t="shared" ref="J6:AB6" si="1">+J7+J8</f>
        <v>2592071435</v>
      </c>
      <c r="K6" s="439">
        <f t="shared" si="1"/>
        <v>2394563111</v>
      </c>
      <c r="L6" s="439">
        <f t="shared" si="1"/>
        <v>2105263440</v>
      </c>
      <c r="M6" s="441">
        <f t="shared" si="1"/>
        <v>47500000</v>
      </c>
      <c r="N6" s="439">
        <f t="shared" si="1"/>
        <v>47500000</v>
      </c>
      <c r="O6" s="439">
        <f t="shared" si="1"/>
        <v>47500000</v>
      </c>
      <c r="P6" s="439">
        <f t="shared" si="1"/>
        <v>47500000</v>
      </c>
      <c r="Q6" s="441">
        <f t="shared" si="1"/>
        <v>1538235</v>
      </c>
      <c r="R6" s="439">
        <f>+R7+R8</f>
        <v>1521553</v>
      </c>
      <c r="S6" s="439">
        <f t="shared" si="1"/>
        <v>1521553</v>
      </c>
      <c r="T6" s="439">
        <f t="shared" si="1"/>
        <v>1521553</v>
      </c>
      <c r="U6" s="441">
        <f t="shared" si="1"/>
        <v>0</v>
      </c>
      <c r="V6" s="439">
        <f t="shared" si="1"/>
        <v>0</v>
      </c>
      <c r="W6" s="439">
        <f t="shared" si="1"/>
        <v>0</v>
      </c>
      <c r="X6" s="439">
        <f t="shared" si="1"/>
        <v>0</v>
      </c>
      <c r="Y6" s="439">
        <f t="shared" si="1"/>
        <v>2955494461</v>
      </c>
      <c r="Z6" s="439">
        <f t="shared" si="1"/>
        <v>2641092988</v>
      </c>
      <c r="AA6" s="439">
        <f t="shared" si="1"/>
        <v>2443584664</v>
      </c>
      <c r="AB6" s="443">
        <f t="shared" si="1"/>
        <v>2154284993</v>
      </c>
      <c r="AC6" s="436"/>
    </row>
    <row r="7" spans="1:31" ht="16.5" thickTop="1" thickBot="1" x14ac:dyDescent="0.3">
      <c r="A7" s="444">
        <v>2</v>
      </c>
      <c r="B7" s="445" t="s">
        <v>735</v>
      </c>
      <c r="C7" s="445" t="s">
        <v>738</v>
      </c>
      <c r="D7" s="445" t="s">
        <v>735</v>
      </c>
      <c r="E7" s="446"/>
      <c r="F7" s="446"/>
      <c r="G7" s="446"/>
      <c r="H7" s="447" t="s">
        <v>740</v>
      </c>
      <c r="I7" s="448"/>
      <c r="J7" s="449"/>
      <c r="K7" s="449"/>
      <c r="L7" s="449"/>
      <c r="M7" s="449"/>
      <c r="N7" s="449"/>
      <c r="O7" s="449"/>
      <c r="P7" s="449"/>
      <c r="Q7" s="449"/>
      <c r="R7" s="449"/>
      <c r="S7" s="449"/>
      <c r="T7" s="449"/>
      <c r="U7" s="449"/>
      <c r="V7" s="449"/>
      <c r="W7" s="449"/>
      <c r="X7" s="449"/>
      <c r="Y7" s="449">
        <f t="shared" ref="Y7:AB22" si="2">+I7+M7+Q7+U7</f>
        <v>0</v>
      </c>
      <c r="Z7" s="449">
        <f t="shared" si="2"/>
        <v>0</v>
      </c>
      <c r="AA7" s="449">
        <f t="shared" si="2"/>
        <v>0</v>
      </c>
      <c r="AB7" s="212">
        <f t="shared" si="2"/>
        <v>0</v>
      </c>
      <c r="AC7" s="436"/>
    </row>
    <row r="8" spans="1:31" ht="16.5" thickTop="1" thickBot="1" x14ac:dyDescent="0.3">
      <c r="A8" s="444">
        <v>2</v>
      </c>
      <c r="B8" s="445" t="s">
        <v>735</v>
      </c>
      <c r="C8" s="445" t="s">
        <v>738</v>
      </c>
      <c r="D8" s="445" t="s">
        <v>735</v>
      </c>
      <c r="E8" s="446"/>
      <c r="F8" s="446"/>
      <c r="G8" s="446"/>
      <c r="H8" s="447" t="s">
        <v>741</v>
      </c>
      <c r="I8" s="448">
        <f>100000000+87194639+30000000+18000000+25000000+210000000+292835993+300000000+282164007+10000000+308000000+2000000+40000000+420000000+34504730+143056857+110000000+20000000+80000000+270000000+105000000+8000000+5000000+5700000</f>
        <v>2906456226</v>
      </c>
      <c r="J8" s="440">
        <f>35706613+85433250+1500000+9174686+25000000+204332296+278963059+273739645+259201147+3537642+304180714+565500+27384916+419999991+34504729+143056857+105458452+17000000+70240207+186204275+101362556+5524900</f>
        <v>2592071435</v>
      </c>
      <c r="K8" s="440">
        <f>9193940+85433250+1500000+9174686+15000000+179798535+173411601+273739645+259201147+3537642+304180714+390600+25278384+391370991+34504729+143056857+105458452+17000000+70240207+186204275+101362556+5524900</f>
        <v>2394563111</v>
      </c>
      <c r="L8" s="440">
        <f>85433250+1500000+7787015+15000000+158700945+163379901+259456267+259201147+3537642+119238793+282400+21071188+391370991+34504729+143056857+105458452+17000000+70240207+142156200+101362556+5524900</f>
        <v>2105263440</v>
      </c>
      <c r="M8" s="440">
        <f>47500000</f>
        <v>47500000</v>
      </c>
      <c r="N8" s="440">
        <v>47500000</v>
      </c>
      <c r="O8" s="440">
        <v>47500000</v>
      </c>
      <c r="P8" s="440">
        <v>47500000</v>
      </c>
      <c r="Q8" s="440">
        <v>1538235</v>
      </c>
      <c r="R8" s="440">
        <v>1521553</v>
      </c>
      <c r="S8" s="440">
        <f>1521553</f>
        <v>1521553</v>
      </c>
      <c r="T8" s="440">
        <f>1521553</f>
        <v>1521553</v>
      </c>
      <c r="U8" s="449"/>
      <c r="V8" s="449"/>
      <c r="W8" s="449"/>
      <c r="X8" s="449"/>
      <c r="Y8" s="450">
        <f t="shared" si="2"/>
        <v>2955494461</v>
      </c>
      <c r="Z8" s="450">
        <f t="shared" si="2"/>
        <v>2641092988</v>
      </c>
      <c r="AA8" s="450">
        <f t="shared" si="2"/>
        <v>2443584664</v>
      </c>
      <c r="AB8" s="451">
        <f t="shared" si="2"/>
        <v>2154284993</v>
      </c>
      <c r="AC8" s="436"/>
    </row>
    <row r="9" spans="1:31" s="454" customFormat="1" ht="16.5" thickTop="1" thickBot="1" x14ac:dyDescent="0.3">
      <c r="A9" s="442">
        <v>2</v>
      </c>
      <c r="B9" s="437" t="s">
        <v>735</v>
      </c>
      <c r="C9" s="437" t="s">
        <v>742</v>
      </c>
      <c r="D9" s="437"/>
      <c r="E9" s="437"/>
      <c r="F9" s="437"/>
      <c r="G9" s="437"/>
      <c r="H9" s="438" t="s">
        <v>743</v>
      </c>
      <c r="I9" s="433">
        <f>+I10+I17+I21</f>
        <v>1146015316</v>
      </c>
      <c r="J9" s="439">
        <f>+J10+J17+J21</f>
        <v>1075219997</v>
      </c>
      <c r="K9" s="439">
        <f>+K10+K17+K21</f>
        <v>1075219997</v>
      </c>
      <c r="L9" s="439">
        <f t="shared" ref="L9:AB9" si="3">+L10+L17+L21</f>
        <v>1075219997</v>
      </c>
      <c r="M9" s="439">
        <f>+M10+M17+M21</f>
        <v>0</v>
      </c>
      <c r="N9" s="439">
        <f t="shared" si="3"/>
        <v>0</v>
      </c>
      <c r="O9" s="439">
        <f t="shared" si="3"/>
        <v>0</v>
      </c>
      <c r="P9" s="439">
        <f t="shared" si="3"/>
        <v>0</v>
      </c>
      <c r="Q9" s="439">
        <f t="shared" si="3"/>
        <v>0</v>
      </c>
      <c r="R9" s="439">
        <f>+R10+R17+R21</f>
        <v>0</v>
      </c>
      <c r="S9" s="439">
        <f t="shared" si="3"/>
        <v>0</v>
      </c>
      <c r="T9" s="439">
        <f t="shared" si="3"/>
        <v>0</v>
      </c>
      <c r="U9" s="439">
        <f t="shared" si="3"/>
        <v>0</v>
      </c>
      <c r="V9" s="439">
        <f t="shared" si="3"/>
        <v>0</v>
      </c>
      <c r="W9" s="439">
        <f t="shared" si="3"/>
        <v>0</v>
      </c>
      <c r="X9" s="439">
        <f t="shared" si="3"/>
        <v>0</v>
      </c>
      <c r="Y9" s="452">
        <f t="shared" si="3"/>
        <v>1146015316</v>
      </c>
      <c r="Z9" s="452">
        <f t="shared" si="3"/>
        <v>1075219997</v>
      </c>
      <c r="AA9" s="452">
        <f t="shared" si="3"/>
        <v>1075219997</v>
      </c>
      <c r="AB9" s="453">
        <f t="shared" si="3"/>
        <v>1075219997</v>
      </c>
      <c r="AC9" s="436"/>
    </row>
    <row r="10" spans="1:31" s="454" customFormat="1" ht="16.5" thickTop="1" thickBot="1" x14ac:dyDescent="0.3">
      <c r="A10" s="455">
        <v>2</v>
      </c>
      <c r="B10" s="456" t="s">
        <v>735</v>
      </c>
      <c r="C10" s="456" t="s">
        <v>742</v>
      </c>
      <c r="D10" s="456" t="s">
        <v>735</v>
      </c>
      <c r="E10" s="456"/>
      <c r="F10" s="456"/>
      <c r="G10" s="456"/>
      <c r="H10" s="457" t="s">
        <v>744</v>
      </c>
      <c r="I10" s="433">
        <f>+I11+I15</f>
        <v>1126015316</v>
      </c>
      <c r="J10" s="458">
        <f t="shared" ref="J10:X10" si="4">+J11+J15</f>
        <v>1070619997</v>
      </c>
      <c r="K10" s="458">
        <f t="shared" si="4"/>
        <v>1070619997</v>
      </c>
      <c r="L10" s="458">
        <f t="shared" si="4"/>
        <v>1070619997</v>
      </c>
      <c r="M10" s="458">
        <f t="shared" si="4"/>
        <v>0</v>
      </c>
      <c r="N10" s="458">
        <f t="shared" si="4"/>
        <v>0</v>
      </c>
      <c r="O10" s="458">
        <f t="shared" si="4"/>
        <v>0</v>
      </c>
      <c r="P10" s="458">
        <f t="shared" si="4"/>
        <v>0</v>
      </c>
      <c r="Q10" s="458">
        <f t="shared" si="4"/>
        <v>0</v>
      </c>
      <c r="R10" s="458">
        <f t="shared" si="4"/>
        <v>0</v>
      </c>
      <c r="S10" s="458">
        <f t="shared" si="4"/>
        <v>0</v>
      </c>
      <c r="T10" s="458">
        <f t="shared" si="4"/>
        <v>0</v>
      </c>
      <c r="U10" s="458">
        <f t="shared" si="4"/>
        <v>0</v>
      </c>
      <c r="V10" s="458">
        <f t="shared" si="4"/>
        <v>0</v>
      </c>
      <c r="W10" s="458">
        <f t="shared" si="4"/>
        <v>0</v>
      </c>
      <c r="X10" s="458">
        <f t="shared" si="4"/>
        <v>0</v>
      </c>
      <c r="Y10" s="459">
        <f t="shared" si="2"/>
        <v>1126015316</v>
      </c>
      <c r="Z10" s="459">
        <f t="shared" si="2"/>
        <v>1070619997</v>
      </c>
      <c r="AA10" s="459">
        <f t="shared" si="2"/>
        <v>1070619997</v>
      </c>
      <c r="AB10" s="460">
        <f t="shared" si="2"/>
        <v>1070619997</v>
      </c>
      <c r="AC10" s="436"/>
    </row>
    <row r="11" spans="1:31" s="464" customFormat="1" ht="16.5" thickTop="1" thickBot="1" x14ac:dyDescent="0.3">
      <c r="A11" s="444"/>
      <c r="B11" s="445" t="s">
        <v>735</v>
      </c>
      <c r="C11" s="445" t="s">
        <v>742</v>
      </c>
      <c r="D11" s="445" t="s">
        <v>735</v>
      </c>
      <c r="E11" s="445" t="s">
        <v>735</v>
      </c>
      <c r="F11" s="445"/>
      <c r="G11" s="445"/>
      <c r="H11" s="447" t="s">
        <v>745</v>
      </c>
      <c r="I11" s="448">
        <f>+I12</f>
        <v>1126015316</v>
      </c>
      <c r="J11" s="440">
        <f>+J12</f>
        <v>1070619997</v>
      </c>
      <c r="K11" s="440">
        <f t="shared" ref="K11:X11" si="5">+K12</f>
        <v>1070619997</v>
      </c>
      <c r="L11" s="440">
        <f t="shared" si="5"/>
        <v>1070619997</v>
      </c>
      <c r="M11" s="461">
        <f t="shared" si="5"/>
        <v>0</v>
      </c>
      <c r="N11" s="461">
        <f t="shared" si="5"/>
        <v>0</v>
      </c>
      <c r="O11" s="461">
        <f t="shared" si="5"/>
        <v>0</v>
      </c>
      <c r="P11" s="461">
        <f t="shared" si="5"/>
        <v>0</v>
      </c>
      <c r="Q11" s="461">
        <f t="shared" si="5"/>
        <v>0</v>
      </c>
      <c r="R11" s="461">
        <f t="shared" si="5"/>
        <v>0</v>
      </c>
      <c r="S11" s="461">
        <f t="shared" si="5"/>
        <v>0</v>
      </c>
      <c r="T11" s="461">
        <f t="shared" si="5"/>
        <v>0</v>
      </c>
      <c r="U11" s="461">
        <f t="shared" si="5"/>
        <v>0</v>
      </c>
      <c r="V11" s="461">
        <f t="shared" si="5"/>
        <v>0</v>
      </c>
      <c r="W11" s="461">
        <f t="shared" si="5"/>
        <v>0</v>
      </c>
      <c r="X11" s="461">
        <f t="shared" si="5"/>
        <v>0</v>
      </c>
      <c r="Y11" s="569">
        <f t="shared" si="2"/>
        <v>1126015316</v>
      </c>
      <c r="Z11" s="462">
        <f t="shared" si="2"/>
        <v>1070619997</v>
      </c>
      <c r="AA11" s="462">
        <f t="shared" si="2"/>
        <v>1070619997</v>
      </c>
      <c r="AB11" s="463">
        <f t="shared" si="2"/>
        <v>1070619997</v>
      </c>
      <c r="AC11" s="436"/>
      <c r="AD11" s="568" t="e">
        <f>+#REF!</f>
        <v>#REF!</v>
      </c>
    </row>
    <row r="12" spans="1:31" ht="16.5" thickTop="1" thickBot="1" x14ac:dyDescent="0.3">
      <c r="A12" s="444">
        <v>2</v>
      </c>
      <c r="B12" s="445" t="s">
        <v>735</v>
      </c>
      <c r="C12" s="445" t="s">
        <v>742</v>
      </c>
      <c r="D12" s="445" t="s">
        <v>735</v>
      </c>
      <c r="E12" s="445" t="s">
        <v>735</v>
      </c>
      <c r="F12" s="445" t="s">
        <v>735</v>
      </c>
      <c r="G12" s="446"/>
      <c r="H12" s="447" t="s">
        <v>746</v>
      </c>
      <c r="I12" s="448">
        <f>1013015316+113000000</f>
        <v>1126015316</v>
      </c>
      <c r="J12" s="440">
        <f>957619997+113000000</f>
        <v>1070619997</v>
      </c>
      <c r="K12" s="440">
        <f>957619997+113000000</f>
        <v>1070619997</v>
      </c>
      <c r="L12" s="440">
        <f>957619997+113000000</f>
        <v>1070619997</v>
      </c>
      <c r="M12" s="449">
        <f t="shared" ref="M12:X12" si="6">+M13+M14</f>
        <v>0</v>
      </c>
      <c r="N12" s="449">
        <f t="shared" si="6"/>
        <v>0</v>
      </c>
      <c r="O12" s="449">
        <f t="shared" si="6"/>
        <v>0</v>
      </c>
      <c r="P12" s="449">
        <f t="shared" si="6"/>
        <v>0</v>
      </c>
      <c r="Q12" s="449">
        <f>+Q13+Q14</f>
        <v>0</v>
      </c>
      <c r="R12" s="449">
        <f t="shared" si="6"/>
        <v>0</v>
      </c>
      <c r="S12" s="449">
        <f t="shared" si="6"/>
        <v>0</v>
      </c>
      <c r="T12" s="449">
        <f t="shared" si="6"/>
        <v>0</v>
      </c>
      <c r="U12" s="449">
        <f t="shared" si="6"/>
        <v>0</v>
      </c>
      <c r="V12" s="449">
        <f t="shared" si="6"/>
        <v>0</v>
      </c>
      <c r="W12" s="449">
        <f t="shared" si="6"/>
        <v>0</v>
      </c>
      <c r="X12" s="449">
        <f t="shared" si="6"/>
        <v>0</v>
      </c>
      <c r="Y12" s="450">
        <f t="shared" si="2"/>
        <v>1126015316</v>
      </c>
      <c r="Z12" s="450">
        <f t="shared" si="2"/>
        <v>1070619997</v>
      </c>
      <c r="AA12" s="450">
        <f t="shared" si="2"/>
        <v>1070619997</v>
      </c>
      <c r="AB12" s="451">
        <f t="shared" si="2"/>
        <v>1070619997</v>
      </c>
      <c r="AC12" s="436"/>
    </row>
    <row r="13" spans="1:31" ht="16.5" thickTop="1" thickBot="1" x14ac:dyDescent="0.3">
      <c r="A13" s="444">
        <v>2</v>
      </c>
      <c r="B13" s="445" t="s">
        <v>735</v>
      </c>
      <c r="C13" s="445" t="s">
        <v>742</v>
      </c>
      <c r="D13" s="445" t="s">
        <v>735</v>
      </c>
      <c r="E13" s="445" t="s">
        <v>735</v>
      </c>
      <c r="F13" s="445" t="s">
        <v>735</v>
      </c>
      <c r="G13" s="445" t="s">
        <v>735</v>
      </c>
      <c r="H13" s="447" t="s">
        <v>747</v>
      </c>
      <c r="I13" s="448"/>
      <c r="J13" s="449"/>
      <c r="K13" s="449"/>
      <c r="L13" s="449"/>
      <c r="M13" s="449"/>
      <c r="N13" s="449"/>
      <c r="O13" s="449"/>
      <c r="P13" s="449"/>
      <c r="Q13" s="449"/>
      <c r="R13" s="449"/>
      <c r="S13" s="449"/>
      <c r="T13" s="449"/>
      <c r="U13" s="449"/>
      <c r="V13" s="449"/>
      <c r="W13" s="449"/>
      <c r="X13" s="449"/>
      <c r="Y13" s="449">
        <f t="shared" si="2"/>
        <v>0</v>
      </c>
      <c r="Z13" s="449">
        <f t="shared" si="2"/>
        <v>0</v>
      </c>
      <c r="AA13" s="449">
        <f t="shared" si="2"/>
        <v>0</v>
      </c>
      <c r="AB13" s="212">
        <f t="shared" si="2"/>
        <v>0</v>
      </c>
      <c r="AC13" s="436"/>
    </row>
    <row r="14" spans="1:31" ht="16.5" thickTop="1" thickBot="1" x14ac:dyDescent="0.3">
      <c r="A14" s="444">
        <v>2</v>
      </c>
      <c r="B14" s="445" t="s">
        <v>735</v>
      </c>
      <c r="C14" s="445" t="s">
        <v>742</v>
      </c>
      <c r="D14" s="445" t="s">
        <v>735</v>
      </c>
      <c r="E14" s="445" t="s">
        <v>735</v>
      </c>
      <c r="F14" s="445" t="s">
        <v>735</v>
      </c>
      <c r="G14" s="445" t="s">
        <v>738</v>
      </c>
      <c r="H14" s="447" t="s">
        <v>748</v>
      </c>
      <c r="I14" s="448"/>
      <c r="J14" s="449"/>
      <c r="K14" s="449"/>
      <c r="L14" s="449"/>
      <c r="M14" s="449"/>
      <c r="N14" s="449"/>
      <c r="O14" s="449"/>
      <c r="P14" s="449"/>
      <c r="Q14" s="449"/>
      <c r="R14" s="449"/>
      <c r="S14" s="449"/>
      <c r="T14" s="449"/>
      <c r="U14" s="449"/>
      <c r="V14" s="449"/>
      <c r="W14" s="449"/>
      <c r="X14" s="449"/>
      <c r="Y14" s="449">
        <f t="shared" si="2"/>
        <v>0</v>
      </c>
      <c r="Z14" s="449">
        <f t="shared" si="2"/>
        <v>0</v>
      </c>
      <c r="AA14" s="449">
        <f t="shared" si="2"/>
        <v>0</v>
      </c>
      <c r="AB14" s="212">
        <f t="shared" si="2"/>
        <v>0</v>
      </c>
      <c r="AC14" s="436"/>
    </row>
    <row r="15" spans="1:31" ht="16.5" thickTop="1" thickBot="1" x14ac:dyDescent="0.3">
      <c r="A15" s="444">
        <v>2</v>
      </c>
      <c r="B15" s="445" t="s">
        <v>735</v>
      </c>
      <c r="C15" s="445" t="s">
        <v>742</v>
      </c>
      <c r="D15" s="445" t="s">
        <v>735</v>
      </c>
      <c r="E15" s="445" t="s">
        <v>738</v>
      </c>
      <c r="F15" s="446"/>
      <c r="G15" s="446"/>
      <c r="H15" s="447" t="s">
        <v>749</v>
      </c>
      <c r="I15" s="448">
        <f>+I16</f>
        <v>0</v>
      </c>
      <c r="J15" s="449">
        <f t="shared" ref="J15:X15" si="7">+J16</f>
        <v>0</v>
      </c>
      <c r="K15" s="449">
        <f t="shared" si="7"/>
        <v>0</v>
      </c>
      <c r="L15" s="449">
        <f t="shared" si="7"/>
        <v>0</v>
      </c>
      <c r="M15" s="449">
        <f t="shared" si="7"/>
        <v>0</v>
      </c>
      <c r="N15" s="449">
        <f t="shared" si="7"/>
        <v>0</v>
      </c>
      <c r="O15" s="449">
        <f t="shared" si="7"/>
        <v>0</v>
      </c>
      <c r="P15" s="449">
        <f t="shared" si="7"/>
        <v>0</v>
      </c>
      <c r="Q15" s="449">
        <f t="shared" si="7"/>
        <v>0</v>
      </c>
      <c r="R15" s="449">
        <f t="shared" si="7"/>
        <v>0</v>
      </c>
      <c r="S15" s="449">
        <f t="shared" si="7"/>
        <v>0</v>
      </c>
      <c r="T15" s="449">
        <f t="shared" si="7"/>
        <v>0</v>
      </c>
      <c r="U15" s="449">
        <f t="shared" si="7"/>
        <v>0</v>
      </c>
      <c r="V15" s="449">
        <f t="shared" si="7"/>
        <v>0</v>
      </c>
      <c r="W15" s="449">
        <f t="shared" si="7"/>
        <v>0</v>
      </c>
      <c r="X15" s="449">
        <f t="shared" si="7"/>
        <v>0</v>
      </c>
      <c r="Y15" s="449">
        <f t="shared" si="2"/>
        <v>0</v>
      </c>
      <c r="Z15" s="449">
        <f t="shared" si="2"/>
        <v>0</v>
      </c>
      <c r="AA15" s="449">
        <f t="shared" si="2"/>
        <v>0</v>
      </c>
      <c r="AB15" s="212">
        <f t="shared" si="2"/>
        <v>0</v>
      </c>
      <c r="AC15" s="436"/>
    </row>
    <row r="16" spans="1:31" ht="16.5" thickTop="1" thickBot="1" x14ac:dyDescent="0.3">
      <c r="A16" s="444">
        <v>2</v>
      </c>
      <c r="B16" s="445" t="s">
        <v>735</v>
      </c>
      <c r="C16" s="445" t="s">
        <v>742</v>
      </c>
      <c r="D16" s="445" t="s">
        <v>735</v>
      </c>
      <c r="E16" s="445" t="s">
        <v>738</v>
      </c>
      <c r="F16" s="445" t="s">
        <v>735</v>
      </c>
      <c r="G16" s="445"/>
      <c r="H16" s="447" t="s">
        <v>750</v>
      </c>
      <c r="I16" s="448"/>
      <c r="J16" s="449"/>
      <c r="K16" s="449"/>
      <c r="L16" s="449"/>
      <c r="M16" s="449"/>
      <c r="N16" s="449"/>
      <c r="O16" s="449"/>
      <c r="P16" s="449"/>
      <c r="Q16" s="449"/>
      <c r="R16" s="449"/>
      <c r="S16" s="449"/>
      <c r="T16" s="449"/>
      <c r="U16" s="449"/>
      <c r="V16" s="449"/>
      <c r="W16" s="449"/>
      <c r="X16" s="449"/>
      <c r="Y16" s="449">
        <f t="shared" si="2"/>
        <v>0</v>
      </c>
      <c r="Z16" s="449">
        <f t="shared" si="2"/>
        <v>0</v>
      </c>
      <c r="AA16" s="449">
        <f t="shared" si="2"/>
        <v>0</v>
      </c>
      <c r="AB16" s="212">
        <f t="shared" si="2"/>
        <v>0</v>
      </c>
      <c r="AC16" s="436"/>
    </row>
    <row r="17" spans="1:29" s="454" customFormat="1" ht="16.5" thickTop="1" thickBot="1" x14ac:dyDescent="0.3">
      <c r="A17" s="455">
        <v>2</v>
      </c>
      <c r="B17" s="456" t="s">
        <v>735</v>
      </c>
      <c r="C17" s="456" t="s">
        <v>742</v>
      </c>
      <c r="D17" s="456" t="s">
        <v>738</v>
      </c>
      <c r="E17" s="456"/>
      <c r="F17" s="456"/>
      <c r="G17" s="456"/>
      <c r="H17" s="457" t="s">
        <v>751</v>
      </c>
      <c r="I17" s="433">
        <f>+I18</f>
        <v>0</v>
      </c>
      <c r="J17" s="458">
        <f t="shared" ref="J17:X17" si="8">+J18</f>
        <v>0</v>
      </c>
      <c r="K17" s="458">
        <f t="shared" si="8"/>
        <v>0</v>
      </c>
      <c r="L17" s="458">
        <f t="shared" si="8"/>
        <v>0</v>
      </c>
      <c r="M17" s="458">
        <f t="shared" si="8"/>
        <v>0</v>
      </c>
      <c r="N17" s="458">
        <f t="shared" si="8"/>
        <v>0</v>
      </c>
      <c r="O17" s="458">
        <f t="shared" si="8"/>
        <v>0</v>
      </c>
      <c r="P17" s="458">
        <f t="shared" si="8"/>
        <v>0</v>
      </c>
      <c r="Q17" s="458">
        <f t="shared" si="8"/>
        <v>0</v>
      </c>
      <c r="R17" s="458">
        <f t="shared" si="8"/>
        <v>0</v>
      </c>
      <c r="S17" s="458">
        <f t="shared" si="8"/>
        <v>0</v>
      </c>
      <c r="T17" s="458">
        <f t="shared" si="8"/>
        <v>0</v>
      </c>
      <c r="U17" s="458">
        <f t="shared" si="8"/>
        <v>0</v>
      </c>
      <c r="V17" s="458">
        <f t="shared" si="8"/>
        <v>0</v>
      </c>
      <c r="W17" s="458">
        <f t="shared" si="8"/>
        <v>0</v>
      </c>
      <c r="X17" s="458">
        <f t="shared" si="8"/>
        <v>0</v>
      </c>
      <c r="Y17" s="458">
        <f t="shared" si="2"/>
        <v>0</v>
      </c>
      <c r="Z17" s="458">
        <f t="shared" si="2"/>
        <v>0</v>
      </c>
      <c r="AA17" s="458">
        <f t="shared" si="2"/>
        <v>0</v>
      </c>
      <c r="AB17" s="465">
        <f t="shared" si="2"/>
        <v>0</v>
      </c>
      <c r="AC17" s="436"/>
    </row>
    <row r="18" spans="1:29" ht="16.5" thickTop="1" thickBot="1" x14ac:dyDescent="0.3">
      <c r="A18" s="444">
        <v>2</v>
      </c>
      <c r="B18" s="445" t="s">
        <v>735</v>
      </c>
      <c r="C18" s="445" t="s">
        <v>742</v>
      </c>
      <c r="D18" s="445" t="s">
        <v>738</v>
      </c>
      <c r="E18" s="445" t="s">
        <v>735</v>
      </c>
      <c r="F18" s="445"/>
      <c r="G18" s="445"/>
      <c r="H18" s="447" t="s">
        <v>752</v>
      </c>
      <c r="I18" s="448">
        <f>+I19+I20</f>
        <v>0</v>
      </c>
      <c r="J18" s="449">
        <f t="shared" ref="J18:X18" si="9">+J19+J20</f>
        <v>0</v>
      </c>
      <c r="K18" s="449">
        <f t="shared" si="9"/>
        <v>0</v>
      </c>
      <c r="L18" s="449">
        <f t="shared" si="9"/>
        <v>0</v>
      </c>
      <c r="M18" s="449">
        <f t="shared" si="9"/>
        <v>0</v>
      </c>
      <c r="N18" s="449">
        <f t="shared" si="9"/>
        <v>0</v>
      </c>
      <c r="O18" s="449">
        <f t="shared" si="9"/>
        <v>0</v>
      </c>
      <c r="P18" s="449">
        <f t="shared" si="9"/>
        <v>0</v>
      </c>
      <c r="Q18" s="449">
        <f t="shared" si="9"/>
        <v>0</v>
      </c>
      <c r="R18" s="449">
        <f>+R19+R20</f>
        <v>0</v>
      </c>
      <c r="S18" s="449">
        <f t="shared" si="9"/>
        <v>0</v>
      </c>
      <c r="T18" s="449">
        <f t="shared" si="9"/>
        <v>0</v>
      </c>
      <c r="U18" s="449">
        <f t="shared" si="9"/>
        <v>0</v>
      </c>
      <c r="V18" s="449">
        <f t="shared" si="9"/>
        <v>0</v>
      </c>
      <c r="W18" s="449">
        <f t="shared" si="9"/>
        <v>0</v>
      </c>
      <c r="X18" s="449">
        <f t="shared" si="9"/>
        <v>0</v>
      </c>
      <c r="Y18" s="449">
        <f t="shared" si="2"/>
        <v>0</v>
      </c>
      <c r="Z18" s="449">
        <f t="shared" si="2"/>
        <v>0</v>
      </c>
      <c r="AA18" s="449">
        <f t="shared" si="2"/>
        <v>0</v>
      </c>
      <c r="AB18" s="212">
        <f t="shared" si="2"/>
        <v>0</v>
      </c>
      <c r="AC18" s="436"/>
    </row>
    <row r="19" spans="1:29" ht="16.5" thickTop="1" thickBot="1" x14ac:dyDescent="0.3">
      <c r="A19" s="444">
        <v>2</v>
      </c>
      <c r="B19" s="445" t="s">
        <v>735</v>
      </c>
      <c r="C19" s="445" t="s">
        <v>742</v>
      </c>
      <c r="D19" s="445" t="s">
        <v>738</v>
      </c>
      <c r="E19" s="445" t="s">
        <v>735</v>
      </c>
      <c r="F19" s="445" t="s">
        <v>735</v>
      </c>
      <c r="G19" s="445"/>
      <c r="H19" s="447" t="s">
        <v>753</v>
      </c>
      <c r="I19" s="448">
        <v>0</v>
      </c>
      <c r="J19" s="449"/>
      <c r="K19" s="449"/>
      <c r="L19" s="449"/>
      <c r="M19" s="449"/>
      <c r="N19" s="449"/>
      <c r="O19" s="449"/>
      <c r="P19" s="449"/>
      <c r="Q19" s="449"/>
      <c r="R19" s="449"/>
      <c r="S19" s="449"/>
      <c r="T19" s="449"/>
      <c r="U19" s="449"/>
      <c r="V19" s="449"/>
      <c r="W19" s="449"/>
      <c r="X19" s="449"/>
      <c r="Y19" s="449">
        <f t="shared" si="2"/>
        <v>0</v>
      </c>
      <c r="Z19" s="449">
        <f t="shared" si="2"/>
        <v>0</v>
      </c>
      <c r="AA19" s="449">
        <f t="shared" si="2"/>
        <v>0</v>
      </c>
      <c r="AB19" s="212">
        <f t="shared" si="2"/>
        <v>0</v>
      </c>
      <c r="AC19" s="436"/>
    </row>
    <row r="20" spans="1:29" ht="16.5" thickTop="1" thickBot="1" x14ac:dyDescent="0.3">
      <c r="A20" s="444">
        <v>2</v>
      </c>
      <c r="B20" s="445" t="s">
        <v>735</v>
      </c>
      <c r="C20" s="445" t="s">
        <v>742</v>
      </c>
      <c r="D20" s="445" t="s">
        <v>738</v>
      </c>
      <c r="E20" s="445" t="s">
        <v>735</v>
      </c>
      <c r="F20" s="445" t="s">
        <v>738</v>
      </c>
      <c r="G20" s="445"/>
      <c r="H20" s="447" t="s">
        <v>754</v>
      </c>
      <c r="I20" s="448">
        <v>0</v>
      </c>
      <c r="J20" s="449"/>
      <c r="K20" s="449"/>
      <c r="L20" s="449"/>
      <c r="M20" s="449"/>
      <c r="N20" s="449"/>
      <c r="O20" s="449"/>
      <c r="P20" s="449"/>
      <c r="Q20" s="449"/>
      <c r="R20" s="449"/>
      <c r="S20" s="449"/>
      <c r="T20" s="449"/>
      <c r="U20" s="449"/>
      <c r="V20" s="449"/>
      <c r="W20" s="449"/>
      <c r="X20" s="449"/>
      <c r="Y20" s="449">
        <f t="shared" si="2"/>
        <v>0</v>
      </c>
      <c r="Z20" s="449">
        <f t="shared" si="2"/>
        <v>0</v>
      </c>
      <c r="AA20" s="449">
        <f t="shared" si="2"/>
        <v>0</v>
      </c>
      <c r="AB20" s="212">
        <f t="shared" si="2"/>
        <v>0</v>
      </c>
      <c r="AC20" s="436"/>
    </row>
    <row r="21" spans="1:29" s="454" customFormat="1" ht="16.5" thickTop="1" thickBot="1" x14ac:dyDescent="0.3">
      <c r="A21" s="455">
        <v>2</v>
      </c>
      <c r="B21" s="456" t="s">
        <v>735</v>
      </c>
      <c r="C21" s="456" t="s">
        <v>742</v>
      </c>
      <c r="D21" s="456" t="s">
        <v>742</v>
      </c>
      <c r="E21" s="456"/>
      <c r="F21" s="456"/>
      <c r="G21" s="456"/>
      <c r="H21" s="457" t="s">
        <v>755</v>
      </c>
      <c r="I21" s="433">
        <f>+I22+I23</f>
        <v>20000000</v>
      </c>
      <c r="J21" s="466">
        <f>+J22+J23</f>
        <v>4600000</v>
      </c>
      <c r="K21" s="466">
        <f>+K22+K23</f>
        <v>4600000</v>
      </c>
      <c r="L21" s="466">
        <f t="shared" ref="L21:AB21" si="10">+L22+L23</f>
        <v>4600000</v>
      </c>
      <c r="M21" s="466">
        <f t="shared" si="10"/>
        <v>0</v>
      </c>
      <c r="N21" s="466">
        <f t="shared" si="10"/>
        <v>0</v>
      </c>
      <c r="O21" s="466">
        <f t="shared" si="10"/>
        <v>0</v>
      </c>
      <c r="P21" s="466">
        <f t="shared" si="10"/>
        <v>0</v>
      </c>
      <c r="Q21" s="466">
        <f t="shared" si="10"/>
        <v>0</v>
      </c>
      <c r="R21" s="466">
        <f>+R22+R23</f>
        <v>0</v>
      </c>
      <c r="S21" s="466">
        <f t="shared" si="10"/>
        <v>0</v>
      </c>
      <c r="T21" s="466">
        <f t="shared" si="10"/>
        <v>0</v>
      </c>
      <c r="U21" s="466">
        <f t="shared" si="10"/>
        <v>0</v>
      </c>
      <c r="V21" s="466">
        <f t="shared" si="10"/>
        <v>0</v>
      </c>
      <c r="W21" s="466">
        <f t="shared" si="10"/>
        <v>0</v>
      </c>
      <c r="X21" s="466">
        <f t="shared" si="10"/>
        <v>0</v>
      </c>
      <c r="Y21" s="466">
        <f t="shared" si="10"/>
        <v>20000000</v>
      </c>
      <c r="Z21" s="466">
        <f t="shared" si="10"/>
        <v>4600000</v>
      </c>
      <c r="AA21" s="466">
        <f t="shared" si="10"/>
        <v>4600000</v>
      </c>
      <c r="AB21" s="467">
        <f t="shared" si="10"/>
        <v>4600000</v>
      </c>
      <c r="AC21" s="436"/>
    </row>
    <row r="22" spans="1:29" ht="16.5" thickTop="1" thickBot="1" x14ac:dyDescent="0.3">
      <c r="A22" s="444">
        <v>2</v>
      </c>
      <c r="B22" s="445" t="s">
        <v>735</v>
      </c>
      <c r="C22" s="445" t="s">
        <v>742</v>
      </c>
      <c r="D22" s="445" t="s">
        <v>742</v>
      </c>
      <c r="E22" s="445" t="s">
        <v>735</v>
      </c>
      <c r="F22" s="445"/>
      <c r="G22" s="445"/>
      <c r="H22" s="447" t="s">
        <v>756</v>
      </c>
      <c r="I22" s="448">
        <v>0</v>
      </c>
      <c r="J22" s="440">
        <v>0</v>
      </c>
      <c r="K22" s="440">
        <v>0</v>
      </c>
      <c r="L22" s="440">
        <v>0</v>
      </c>
      <c r="M22" s="449"/>
      <c r="N22" s="449"/>
      <c r="O22" s="449"/>
      <c r="P22" s="449"/>
      <c r="Q22" s="449"/>
      <c r="R22" s="449"/>
      <c r="S22" s="449"/>
      <c r="T22" s="449"/>
      <c r="U22" s="449"/>
      <c r="V22" s="449"/>
      <c r="W22" s="449"/>
      <c r="X22" s="449"/>
      <c r="Y22" s="449">
        <f t="shared" si="2"/>
        <v>0</v>
      </c>
      <c r="Z22" s="449">
        <f t="shared" si="2"/>
        <v>0</v>
      </c>
      <c r="AA22" s="449">
        <f t="shared" si="2"/>
        <v>0</v>
      </c>
      <c r="AB22" s="212">
        <f t="shared" si="2"/>
        <v>0</v>
      </c>
      <c r="AC22" s="436"/>
    </row>
    <row r="23" spans="1:29" ht="16.5" thickTop="1" thickBot="1" x14ac:dyDescent="0.3">
      <c r="A23" s="444">
        <v>2</v>
      </c>
      <c r="B23" s="445" t="s">
        <v>735</v>
      </c>
      <c r="C23" s="445" t="s">
        <v>742</v>
      </c>
      <c r="D23" s="445" t="s">
        <v>742</v>
      </c>
      <c r="E23" s="445" t="s">
        <v>738</v>
      </c>
      <c r="F23" s="445"/>
      <c r="G23" s="445"/>
      <c r="H23" s="447" t="s">
        <v>757</v>
      </c>
      <c r="I23" s="448">
        <v>20000000</v>
      </c>
      <c r="J23" s="449">
        <v>4600000</v>
      </c>
      <c r="K23" s="449">
        <v>4600000</v>
      </c>
      <c r="L23" s="449">
        <v>4600000</v>
      </c>
      <c r="M23" s="449"/>
      <c r="N23" s="449"/>
      <c r="O23" s="449"/>
      <c r="P23" s="449"/>
      <c r="Q23" s="449"/>
      <c r="R23" s="449"/>
      <c r="S23" s="449"/>
      <c r="T23" s="449"/>
      <c r="U23" s="449"/>
      <c r="V23" s="449"/>
      <c r="W23" s="449"/>
      <c r="X23" s="449"/>
      <c r="Y23" s="450">
        <f t="shared" ref="Y23:AB77" si="11">+I23+M23+Q23+U23</f>
        <v>20000000</v>
      </c>
      <c r="Z23" s="450">
        <f t="shared" si="11"/>
        <v>4600000</v>
      </c>
      <c r="AA23" s="450">
        <f t="shared" si="11"/>
        <v>4600000</v>
      </c>
      <c r="AB23" s="451">
        <f t="shared" si="11"/>
        <v>4600000</v>
      </c>
      <c r="AC23" s="436"/>
    </row>
    <row r="24" spans="1:29" ht="16.5" thickTop="1" thickBot="1" x14ac:dyDescent="0.3">
      <c r="A24" s="442">
        <v>2</v>
      </c>
      <c r="B24" s="437" t="s">
        <v>735</v>
      </c>
      <c r="C24" s="437" t="s">
        <v>758</v>
      </c>
      <c r="D24" s="437"/>
      <c r="E24" s="437"/>
      <c r="F24" s="437"/>
      <c r="G24" s="437"/>
      <c r="H24" s="438" t="s">
        <v>759</v>
      </c>
      <c r="I24" s="433">
        <f>+I25+I29+I31+I33</f>
        <v>128500000</v>
      </c>
      <c r="J24" s="468">
        <f t="shared" ref="J24:X24" si="12">+J25+J29+J31+J33</f>
        <v>114242022</v>
      </c>
      <c r="K24" s="468">
        <f t="shared" si="12"/>
        <v>114242022</v>
      </c>
      <c r="L24" s="468">
        <f t="shared" si="12"/>
        <v>114242022</v>
      </c>
      <c r="M24" s="468">
        <f t="shared" si="12"/>
        <v>7000000</v>
      </c>
      <c r="N24" s="468">
        <f t="shared" si="12"/>
        <v>7000000</v>
      </c>
      <c r="O24" s="468">
        <f t="shared" si="12"/>
        <v>7000000</v>
      </c>
      <c r="P24" s="468">
        <f t="shared" si="12"/>
        <v>7000000</v>
      </c>
      <c r="Q24" s="439">
        <f t="shared" si="12"/>
        <v>33616600</v>
      </c>
      <c r="R24" s="468">
        <f>+R25+R29+R31+R33</f>
        <v>13616600</v>
      </c>
      <c r="S24" s="468">
        <f t="shared" si="12"/>
        <v>13616600</v>
      </c>
      <c r="T24" s="468">
        <f t="shared" si="12"/>
        <v>13616600</v>
      </c>
      <c r="U24" s="468">
        <f t="shared" si="12"/>
        <v>0</v>
      </c>
      <c r="V24" s="468">
        <f t="shared" si="12"/>
        <v>0</v>
      </c>
      <c r="W24" s="468">
        <f t="shared" si="12"/>
        <v>0</v>
      </c>
      <c r="X24" s="468">
        <f t="shared" si="12"/>
        <v>0</v>
      </c>
      <c r="Y24" s="452">
        <f t="shared" si="11"/>
        <v>169116600</v>
      </c>
      <c r="Z24" s="452">
        <f t="shared" si="11"/>
        <v>134858622</v>
      </c>
      <c r="AA24" s="452">
        <f t="shared" si="11"/>
        <v>134858622</v>
      </c>
      <c r="AB24" s="453">
        <f t="shared" si="11"/>
        <v>134858622</v>
      </c>
      <c r="AC24" s="436"/>
    </row>
    <row r="25" spans="1:29" s="454" customFormat="1" ht="16.5" thickTop="1" thickBot="1" x14ac:dyDescent="0.3">
      <c r="A25" s="455">
        <v>2</v>
      </c>
      <c r="B25" s="456" t="s">
        <v>735</v>
      </c>
      <c r="C25" s="456" t="s">
        <v>758</v>
      </c>
      <c r="D25" s="456" t="s">
        <v>735</v>
      </c>
      <c r="E25" s="456"/>
      <c r="F25" s="456"/>
      <c r="G25" s="456"/>
      <c r="H25" s="457" t="s">
        <v>760</v>
      </c>
      <c r="I25" s="433">
        <f>+I26</f>
        <v>0</v>
      </c>
      <c r="J25" s="466">
        <f t="shared" ref="J25:AB25" si="13">+J26</f>
        <v>0</v>
      </c>
      <c r="K25" s="466">
        <f t="shared" si="13"/>
        <v>0</v>
      </c>
      <c r="L25" s="466">
        <f t="shared" si="13"/>
        <v>0</v>
      </c>
      <c r="M25" s="466">
        <f t="shared" si="13"/>
        <v>0</v>
      </c>
      <c r="N25" s="466">
        <f t="shared" si="13"/>
        <v>0</v>
      </c>
      <c r="O25" s="466">
        <f t="shared" si="13"/>
        <v>0</v>
      </c>
      <c r="P25" s="466">
        <f t="shared" si="13"/>
        <v>0</v>
      </c>
      <c r="Q25" s="466">
        <f t="shared" si="13"/>
        <v>20000000</v>
      </c>
      <c r="R25" s="466">
        <f t="shared" si="13"/>
        <v>0</v>
      </c>
      <c r="S25" s="466">
        <f t="shared" si="13"/>
        <v>0</v>
      </c>
      <c r="T25" s="466">
        <f t="shared" si="13"/>
        <v>0</v>
      </c>
      <c r="U25" s="466">
        <f t="shared" si="13"/>
        <v>0</v>
      </c>
      <c r="V25" s="466">
        <f t="shared" si="13"/>
        <v>0</v>
      </c>
      <c r="W25" s="466">
        <f t="shared" si="13"/>
        <v>0</v>
      </c>
      <c r="X25" s="466">
        <f t="shared" si="13"/>
        <v>0</v>
      </c>
      <c r="Y25" s="466">
        <f t="shared" si="13"/>
        <v>20000000</v>
      </c>
      <c r="Z25" s="466">
        <f t="shared" si="13"/>
        <v>0</v>
      </c>
      <c r="AA25" s="466">
        <f t="shared" si="13"/>
        <v>0</v>
      </c>
      <c r="AB25" s="467">
        <f t="shared" si="13"/>
        <v>0</v>
      </c>
      <c r="AC25" s="436"/>
    </row>
    <row r="26" spans="1:29" ht="16.5" thickTop="1" thickBot="1" x14ac:dyDescent="0.3">
      <c r="A26" s="469">
        <v>2</v>
      </c>
      <c r="B26" s="446" t="s">
        <v>735</v>
      </c>
      <c r="C26" s="446" t="s">
        <v>758</v>
      </c>
      <c r="D26" s="446" t="s">
        <v>735</v>
      </c>
      <c r="E26" s="446" t="s">
        <v>735</v>
      </c>
      <c r="F26" s="446"/>
      <c r="G26" s="446"/>
      <c r="H26" s="470" t="s">
        <v>761</v>
      </c>
      <c r="I26" s="433">
        <f>+I27+I28</f>
        <v>0</v>
      </c>
      <c r="J26" s="433">
        <f t="shared" ref="J26:AB26" si="14">+J27+J28</f>
        <v>0</v>
      </c>
      <c r="K26" s="433">
        <f t="shared" si="14"/>
        <v>0</v>
      </c>
      <c r="L26" s="433">
        <f t="shared" si="14"/>
        <v>0</v>
      </c>
      <c r="M26" s="433">
        <f t="shared" si="14"/>
        <v>0</v>
      </c>
      <c r="N26" s="433">
        <f t="shared" si="14"/>
        <v>0</v>
      </c>
      <c r="O26" s="433">
        <f t="shared" si="14"/>
        <v>0</v>
      </c>
      <c r="P26" s="433">
        <f t="shared" si="14"/>
        <v>0</v>
      </c>
      <c r="Q26" s="433">
        <f t="shared" si="14"/>
        <v>20000000</v>
      </c>
      <c r="R26" s="433">
        <f t="shared" si="14"/>
        <v>0</v>
      </c>
      <c r="S26" s="433">
        <f t="shared" si="14"/>
        <v>0</v>
      </c>
      <c r="T26" s="433">
        <f t="shared" si="14"/>
        <v>0</v>
      </c>
      <c r="U26" s="433">
        <f t="shared" si="14"/>
        <v>0</v>
      </c>
      <c r="V26" s="433">
        <f t="shared" si="14"/>
        <v>0</v>
      </c>
      <c r="W26" s="433">
        <f t="shared" si="14"/>
        <v>0</v>
      </c>
      <c r="X26" s="433">
        <f t="shared" si="14"/>
        <v>0</v>
      </c>
      <c r="Y26" s="433">
        <f t="shared" si="14"/>
        <v>20000000</v>
      </c>
      <c r="Z26" s="433">
        <f t="shared" si="14"/>
        <v>0</v>
      </c>
      <c r="AA26" s="433">
        <f t="shared" si="14"/>
        <v>0</v>
      </c>
      <c r="AB26" s="214">
        <f t="shared" si="14"/>
        <v>0</v>
      </c>
      <c r="AC26" s="436"/>
    </row>
    <row r="27" spans="1:29" s="464" customFormat="1" ht="16.5" thickTop="1" thickBot="1" x14ac:dyDescent="0.3">
      <c r="A27" s="444">
        <v>2</v>
      </c>
      <c r="B27" s="445" t="s">
        <v>735</v>
      </c>
      <c r="C27" s="445" t="s">
        <v>758</v>
      </c>
      <c r="D27" s="445" t="s">
        <v>735</v>
      </c>
      <c r="E27" s="445" t="s">
        <v>735</v>
      </c>
      <c r="F27" s="445" t="s">
        <v>735</v>
      </c>
      <c r="G27" s="445"/>
      <c r="H27" s="447" t="s">
        <v>762</v>
      </c>
      <c r="I27" s="448">
        <v>0</v>
      </c>
      <c r="J27" s="461">
        <v>0</v>
      </c>
      <c r="K27" s="461">
        <v>0</v>
      </c>
      <c r="L27" s="461">
        <v>0</v>
      </c>
      <c r="M27" s="461"/>
      <c r="N27" s="461"/>
      <c r="O27" s="461"/>
      <c r="P27" s="461"/>
      <c r="Q27" s="471">
        <v>20000000</v>
      </c>
      <c r="R27" s="471">
        <v>0</v>
      </c>
      <c r="S27" s="471">
        <v>0</v>
      </c>
      <c r="T27" s="471">
        <v>0</v>
      </c>
      <c r="U27" s="461"/>
      <c r="V27" s="461"/>
      <c r="W27" s="461"/>
      <c r="X27" s="461"/>
      <c r="Y27" s="462">
        <f t="shared" si="11"/>
        <v>20000000</v>
      </c>
      <c r="Z27" s="462">
        <f t="shared" si="11"/>
        <v>0</v>
      </c>
      <c r="AA27" s="461">
        <f t="shared" si="11"/>
        <v>0</v>
      </c>
      <c r="AB27" s="213">
        <f t="shared" si="11"/>
        <v>0</v>
      </c>
      <c r="AC27" s="436"/>
    </row>
    <row r="28" spans="1:29" s="464" customFormat="1" ht="16.5" thickTop="1" thickBot="1" x14ac:dyDescent="0.3">
      <c r="A28" s="444">
        <v>2</v>
      </c>
      <c r="B28" s="445" t="s">
        <v>735</v>
      </c>
      <c r="C28" s="445" t="s">
        <v>758</v>
      </c>
      <c r="D28" s="445" t="s">
        <v>735</v>
      </c>
      <c r="E28" s="445" t="s">
        <v>735</v>
      </c>
      <c r="F28" s="445" t="s">
        <v>738</v>
      </c>
      <c r="G28" s="445"/>
      <c r="H28" s="447" t="s">
        <v>763</v>
      </c>
      <c r="I28" s="448"/>
      <c r="J28" s="461"/>
      <c r="K28" s="461"/>
      <c r="L28" s="461"/>
      <c r="M28" s="461"/>
      <c r="N28" s="461"/>
      <c r="O28" s="461"/>
      <c r="P28" s="461"/>
      <c r="Q28" s="461">
        <v>0</v>
      </c>
      <c r="R28" s="461"/>
      <c r="S28" s="461"/>
      <c r="T28" s="461"/>
      <c r="U28" s="461"/>
      <c r="V28" s="461"/>
      <c r="W28" s="461"/>
      <c r="X28" s="461"/>
      <c r="Y28" s="462">
        <f t="shared" si="11"/>
        <v>0</v>
      </c>
      <c r="Z28" s="461">
        <f t="shared" si="11"/>
        <v>0</v>
      </c>
      <c r="AA28" s="461">
        <f t="shared" si="11"/>
        <v>0</v>
      </c>
      <c r="AB28" s="213">
        <f t="shared" si="11"/>
        <v>0</v>
      </c>
      <c r="AC28" s="436"/>
    </row>
    <row r="29" spans="1:29" s="454" customFormat="1" ht="16.5" thickTop="1" thickBot="1" x14ac:dyDescent="0.3">
      <c r="A29" s="455">
        <v>2</v>
      </c>
      <c r="B29" s="456" t="s">
        <v>735</v>
      </c>
      <c r="C29" s="456" t="s">
        <v>758</v>
      </c>
      <c r="D29" s="456" t="s">
        <v>738</v>
      </c>
      <c r="E29" s="456"/>
      <c r="F29" s="456"/>
      <c r="G29" s="456"/>
      <c r="H29" s="457" t="s">
        <v>764</v>
      </c>
      <c r="I29" s="433">
        <f>+I30</f>
        <v>0</v>
      </c>
      <c r="J29" s="458">
        <f t="shared" ref="J29:X29" si="15">+J30</f>
        <v>0</v>
      </c>
      <c r="K29" s="458">
        <f t="shared" si="15"/>
        <v>0</v>
      </c>
      <c r="L29" s="458">
        <f t="shared" si="15"/>
        <v>0</v>
      </c>
      <c r="M29" s="458">
        <f t="shared" si="15"/>
        <v>0</v>
      </c>
      <c r="N29" s="458">
        <f t="shared" si="15"/>
        <v>0</v>
      </c>
      <c r="O29" s="458">
        <f t="shared" si="15"/>
        <v>0</v>
      </c>
      <c r="P29" s="458">
        <f t="shared" si="15"/>
        <v>0</v>
      </c>
      <c r="Q29" s="458">
        <f t="shared" si="15"/>
        <v>0</v>
      </c>
      <c r="R29" s="458">
        <f t="shared" si="15"/>
        <v>0</v>
      </c>
      <c r="S29" s="458">
        <f t="shared" si="15"/>
        <v>0</v>
      </c>
      <c r="T29" s="458">
        <f t="shared" si="15"/>
        <v>0</v>
      </c>
      <c r="U29" s="458">
        <f t="shared" si="15"/>
        <v>0</v>
      </c>
      <c r="V29" s="458">
        <f t="shared" si="15"/>
        <v>0</v>
      </c>
      <c r="W29" s="458">
        <f t="shared" si="15"/>
        <v>0</v>
      </c>
      <c r="X29" s="458">
        <f t="shared" si="15"/>
        <v>0</v>
      </c>
      <c r="Y29" s="458">
        <f t="shared" si="11"/>
        <v>0</v>
      </c>
      <c r="Z29" s="458">
        <f t="shared" si="11"/>
        <v>0</v>
      </c>
      <c r="AA29" s="458">
        <f t="shared" si="11"/>
        <v>0</v>
      </c>
      <c r="AB29" s="465">
        <f t="shared" si="11"/>
        <v>0</v>
      </c>
      <c r="AC29" s="436"/>
    </row>
    <row r="30" spans="1:29" s="464" customFormat="1" ht="16.5" thickTop="1" thickBot="1" x14ac:dyDescent="0.3">
      <c r="A30" s="444">
        <v>2</v>
      </c>
      <c r="B30" s="445" t="s">
        <v>735</v>
      </c>
      <c r="C30" s="445" t="s">
        <v>758</v>
      </c>
      <c r="D30" s="445" t="s">
        <v>738</v>
      </c>
      <c r="E30" s="445" t="s">
        <v>735</v>
      </c>
      <c r="F30" s="445"/>
      <c r="G30" s="445"/>
      <c r="H30" s="447" t="s">
        <v>765</v>
      </c>
      <c r="I30" s="448"/>
      <c r="J30" s="461"/>
      <c r="K30" s="461"/>
      <c r="L30" s="461"/>
      <c r="M30" s="461"/>
      <c r="N30" s="461"/>
      <c r="O30" s="461"/>
      <c r="P30" s="461"/>
      <c r="Q30" s="461"/>
      <c r="R30" s="461"/>
      <c r="S30" s="461"/>
      <c r="T30" s="461"/>
      <c r="U30" s="461"/>
      <c r="V30" s="461"/>
      <c r="W30" s="461"/>
      <c r="X30" s="461"/>
      <c r="Y30" s="461">
        <f t="shared" si="11"/>
        <v>0</v>
      </c>
      <c r="Z30" s="461">
        <f t="shared" si="11"/>
        <v>0</v>
      </c>
      <c r="AA30" s="461">
        <f t="shared" si="11"/>
        <v>0</v>
      </c>
      <c r="AB30" s="213">
        <f t="shared" si="11"/>
        <v>0</v>
      </c>
      <c r="AC30" s="436"/>
    </row>
    <row r="31" spans="1:29" s="454" customFormat="1" ht="16.5" thickTop="1" thickBot="1" x14ac:dyDescent="0.3">
      <c r="A31" s="455">
        <v>2</v>
      </c>
      <c r="B31" s="456" t="s">
        <v>735</v>
      </c>
      <c r="C31" s="456" t="s">
        <v>758</v>
      </c>
      <c r="D31" s="456" t="s">
        <v>742</v>
      </c>
      <c r="E31" s="456"/>
      <c r="F31" s="456"/>
      <c r="G31" s="456"/>
      <c r="H31" s="457" t="s">
        <v>766</v>
      </c>
      <c r="I31" s="433">
        <f>+I32</f>
        <v>128500000</v>
      </c>
      <c r="J31" s="466">
        <f>+J32</f>
        <v>114242022</v>
      </c>
      <c r="K31" s="466">
        <f>+K32</f>
        <v>114242022</v>
      </c>
      <c r="L31" s="466">
        <f>+L32</f>
        <v>114242022</v>
      </c>
      <c r="M31" s="466">
        <f t="shared" ref="M31:AB31" si="16">+M32</f>
        <v>7000000</v>
      </c>
      <c r="N31" s="466">
        <f t="shared" si="16"/>
        <v>7000000</v>
      </c>
      <c r="O31" s="466">
        <f t="shared" si="16"/>
        <v>7000000</v>
      </c>
      <c r="P31" s="466">
        <f t="shared" si="16"/>
        <v>7000000</v>
      </c>
      <c r="Q31" s="466">
        <f t="shared" si="16"/>
        <v>13616600</v>
      </c>
      <c r="R31" s="466">
        <f t="shared" si="16"/>
        <v>13616600</v>
      </c>
      <c r="S31" s="466">
        <f t="shared" si="16"/>
        <v>13616600</v>
      </c>
      <c r="T31" s="466">
        <f t="shared" si="16"/>
        <v>13616600</v>
      </c>
      <c r="U31" s="466">
        <f t="shared" si="16"/>
        <v>0</v>
      </c>
      <c r="V31" s="466">
        <f t="shared" si="16"/>
        <v>0</v>
      </c>
      <c r="W31" s="466">
        <f t="shared" si="16"/>
        <v>0</v>
      </c>
      <c r="X31" s="466">
        <f t="shared" si="16"/>
        <v>0</v>
      </c>
      <c r="Y31" s="459">
        <f t="shared" si="16"/>
        <v>149116600</v>
      </c>
      <c r="Z31" s="459">
        <f t="shared" si="16"/>
        <v>134858622</v>
      </c>
      <c r="AA31" s="459">
        <f t="shared" si="16"/>
        <v>134858622</v>
      </c>
      <c r="AB31" s="460">
        <f t="shared" si="16"/>
        <v>134858622</v>
      </c>
      <c r="AC31" s="436"/>
    </row>
    <row r="32" spans="1:29" s="464" customFormat="1" ht="16.5" thickTop="1" thickBot="1" x14ac:dyDescent="0.3">
      <c r="A32" s="444">
        <v>2</v>
      </c>
      <c r="B32" s="445" t="s">
        <v>735</v>
      </c>
      <c r="C32" s="445" t="s">
        <v>758</v>
      </c>
      <c r="D32" s="445" t="s">
        <v>742</v>
      </c>
      <c r="E32" s="445" t="s">
        <v>735</v>
      </c>
      <c r="F32" s="445"/>
      <c r="G32" s="445"/>
      <c r="H32" s="447" t="s">
        <v>767</v>
      </c>
      <c r="I32" s="448">
        <v>128500000</v>
      </c>
      <c r="J32" s="440">
        <v>114242022</v>
      </c>
      <c r="K32" s="440">
        <v>114242022</v>
      </c>
      <c r="L32" s="440">
        <v>114242022</v>
      </c>
      <c r="M32" s="440">
        <v>7000000</v>
      </c>
      <c r="N32" s="440">
        <v>7000000</v>
      </c>
      <c r="O32" s="440">
        <v>7000000</v>
      </c>
      <c r="P32" s="440">
        <v>7000000</v>
      </c>
      <c r="Q32" s="440">
        <v>13616600</v>
      </c>
      <c r="R32" s="440">
        <v>13616600</v>
      </c>
      <c r="S32" s="440">
        <v>13616600</v>
      </c>
      <c r="T32" s="440">
        <v>13616600</v>
      </c>
      <c r="U32" s="449"/>
      <c r="V32" s="449"/>
      <c r="W32" s="449"/>
      <c r="X32" s="449"/>
      <c r="Y32" s="450">
        <f>+I32+M32+Q32+U32</f>
        <v>149116600</v>
      </c>
      <c r="Z32" s="450">
        <f t="shared" si="11"/>
        <v>134858622</v>
      </c>
      <c r="AA32" s="450">
        <f t="shared" si="11"/>
        <v>134858622</v>
      </c>
      <c r="AB32" s="451">
        <f t="shared" si="11"/>
        <v>134858622</v>
      </c>
      <c r="AC32" s="436"/>
    </row>
    <row r="33" spans="1:30" ht="16.5" thickTop="1" thickBot="1" x14ac:dyDescent="0.3">
      <c r="A33" s="472">
        <v>2</v>
      </c>
      <c r="B33" s="473" t="s">
        <v>735</v>
      </c>
      <c r="C33" s="456" t="s">
        <v>758</v>
      </c>
      <c r="D33" s="456" t="s">
        <v>758</v>
      </c>
      <c r="E33" s="472"/>
      <c r="F33" s="472"/>
      <c r="G33" s="472"/>
      <c r="H33" s="457" t="s">
        <v>768</v>
      </c>
      <c r="I33" s="448">
        <f>+I34+I35+I36</f>
        <v>0</v>
      </c>
      <c r="J33" s="474">
        <f t="shared" ref="J33:X33" si="17">+J34+J35+J36</f>
        <v>0</v>
      </c>
      <c r="K33" s="474">
        <f t="shared" si="17"/>
        <v>0</v>
      </c>
      <c r="L33" s="474">
        <f t="shared" si="17"/>
        <v>0</v>
      </c>
      <c r="M33" s="474">
        <f t="shared" si="17"/>
        <v>0</v>
      </c>
      <c r="N33" s="474">
        <f t="shared" si="17"/>
        <v>0</v>
      </c>
      <c r="O33" s="474">
        <f t="shared" si="17"/>
        <v>0</v>
      </c>
      <c r="P33" s="474">
        <f t="shared" si="17"/>
        <v>0</v>
      </c>
      <c r="Q33" s="474">
        <f t="shared" si="17"/>
        <v>0</v>
      </c>
      <c r="R33" s="474">
        <f t="shared" si="17"/>
        <v>0</v>
      </c>
      <c r="S33" s="474">
        <f t="shared" si="17"/>
        <v>0</v>
      </c>
      <c r="T33" s="474">
        <f t="shared" si="17"/>
        <v>0</v>
      </c>
      <c r="U33" s="474">
        <f t="shared" si="17"/>
        <v>0</v>
      </c>
      <c r="V33" s="474">
        <f t="shared" si="17"/>
        <v>0</v>
      </c>
      <c r="W33" s="474">
        <f t="shared" si="17"/>
        <v>0</v>
      </c>
      <c r="X33" s="474">
        <f t="shared" si="17"/>
        <v>0</v>
      </c>
      <c r="Y33" s="474">
        <f t="shared" si="11"/>
        <v>0</v>
      </c>
      <c r="Z33" s="474">
        <f t="shared" si="11"/>
        <v>0</v>
      </c>
      <c r="AA33" s="474">
        <f t="shared" si="11"/>
        <v>0</v>
      </c>
      <c r="AB33" s="475">
        <f t="shared" si="11"/>
        <v>0</v>
      </c>
      <c r="AC33" s="436"/>
    </row>
    <row r="34" spans="1:30" s="464" customFormat="1" ht="16.5" thickTop="1" thickBot="1" x14ac:dyDescent="0.3">
      <c r="A34" s="444">
        <v>2</v>
      </c>
      <c r="B34" s="445" t="s">
        <v>735</v>
      </c>
      <c r="C34" s="445" t="s">
        <v>758</v>
      </c>
      <c r="D34" s="445" t="s">
        <v>758</v>
      </c>
      <c r="E34" s="445" t="s">
        <v>735</v>
      </c>
      <c r="F34" s="445"/>
      <c r="G34" s="445"/>
      <c r="H34" s="447" t="s">
        <v>769</v>
      </c>
      <c r="I34" s="448">
        <v>0</v>
      </c>
      <c r="J34" s="449"/>
      <c r="K34" s="449"/>
      <c r="L34" s="449"/>
      <c r="M34" s="449"/>
      <c r="N34" s="449"/>
      <c r="O34" s="449"/>
      <c r="P34" s="449"/>
      <c r="Q34" s="449"/>
      <c r="R34" s="449"/>
      <c r="S34" s="449"/>
      <c r="T34" s="449"/>
      <c r="U34" s="449"/>
      <c r="V34" s="449"/>
      <c r="W34" s="449"/>
      <c r="X34" s="449"/>
      <c r="Y34" s="449">
        <f t="shared" si="11"/>
        <v>0</v>
      </c>
      <c r="Z34" s="449">
        <f t="shared" si="11"/>
        <v>0</v>
      </c>
      <c r="AA34" s="449">
        <f t="shared" si="11"/>
        <v>0</v>
      </c>
      <c r="AB34" s="212">
        <f t="shared" si="11"/>
        <v>0</v>
      </c>
      <c r="AC34" s="436"/>
    </row>
    <row r="35" spans="1:30" s="464" customFormat="1" ht="16.5" thickTop="1" thickBot="1" x14ac:dyDescent="0.3">
      <c r="A35" s="444">
        <v>2</v>
      </c>
      <c r="B35" s="445" t="s">
        <v>735</v>
      </c>
      <c r="C35" s="445" t="s">
        <v>758</v>
      </c>
      <c r="D35" s="445" t="s">
        <v>758</v>
      </c>
      <c r="E35" s="445" t="s">
        <v>738</v>
      </c>
      <c r="F35" s="445"/>
      <c r="G35" s="445"/>
      <c r="H35" s="447" t="s">
        <v>770</v>
      </c>
      <c r="I35" s="448"/>
      <c r="J35" s="449"/>
      <c r="K35" s="449"/>
      <c r="L35" s="449"/>
      <c r="M35" s="449"/>
      <c r="N35" s="449"/>
      <c r="O35" s="449"/>
      <c r="P35" s="449"/>
      <c r="Q35" s="449"/>
      <c r="R35" s="449"/>
      <c r="S35" s="449"/>
      <c r="T35" s="449"/>
      <c r="U35" s="449"/>
      <c r="V35" s="449"/>
      <c r="W35" s="449"/>
      <c r="X35" s="449"/>
      <c r="Y35" s="449">
        <f t="shared" si="11"/>
        <v>0</v>
      </c>
      <c r="Z35" s="449">
        <f t="shared" si="11"/>
        <v>0</v>
      </c>
      <c r="AA35" s="449">
        <f t="shared" si="11"/>
        <v>0</v>
      </c>
      <c r="AB35" s="212">
        <f t="shared" si="11"/>
        <v>0</v>
      </c>
      <c r="AC35" s="436"/>
    </row>
    <row r="36" spans="1:30" s="464" customFormat="1" ht="16.5" thickTop="1" thickBot="1" x14ac:dyDescent="0.3">
      <c r="A36" s="444">
        <v>2</v>
      </c>
      <c r="B36" s="445" t="s">
        <v>735</v>
      </c>
      <c r="C36" s="445" t="s">
        <v>758</v>
      </c>
      <c r="D36" s="445" t="s">
        <v>758</v>
      </c>
      <c r="E36" s="445" t="s">
        <v>742</v>
      </c>
      <c r="F36" s="445"/>
      <c r="G36" s="445"/>
      <c r="H36" s="447" t="s">
        <v>771</v>
      </c>
      <c r="I36" s="448"/>
      <c r="J36" s="449"/>
      <c r="K36" s="449"/>
      <c r="L36" s="449"/>
      <c r="M36" s="449"/>
      <c r="N36" s="449"/>
      <c r="O36" s="449"/>
      <c r="P36" s="449"/>
      <c r="Q36" s="449"/>
      <c r="R36" s="449"/>
      <c r="S36" s="449"/>
      <c r="T36" s="449"/>
      <c r="U36" s="449"/>
      <c r="V36" s="449"/>
      <c r="W36" s="449"/>
      <c r="X36" s="449"/>
      <c r="Y36" s="449">
        <f t="shared" si="11"/>
        <v>0</v>
      </c>
      <c r="Z36" s="449">
        <f t="shared" si="11"/>
        <v>0</v>
      </c>
      <c r="AA36" s="449">
        <f t="shared" si="11"/>
        <v>0</v>
      </c>
      <c r="AB36" s="212">
        <f t="shared" si="11"/>
        <v>0</v>
      </c>
      <c r="AC36" s="436"/>
    </row>
    <row r="37" spans="1:30" ht="16.5" thickTop="1" thickBot="1" x14ac:dyDescent="0.3">
      <c r="A37" s="442">
        <v>2</v>
      </c>
      <c r="B37" s="437" t="s">
        <v>738</v>
      </c>
      <c r="C37" s="437"/>
      <c r="D37" s="437"/>
      <c r="E37" s="437"/>
      <c r="F37" s="437"/>
      <c r="G37" s="437"/>
      <c r="H37" s="438" t="s">
        <v>772</v>
      </c>
      <c r="I37" s="476">
        <f>+I38+I42</f>
        <v>0</v>
      </c>
      <c r="J37" s="477">
        <f t="shared" ref="J37:X37" si="18">+J38+J42</f>
        <v>0</v>
      </c>
      <c r="K37" s="477">
        <f t="shared" si="18"/>
        <v>0</v>
      </c>
      <c r="L37" s="477">
        <f t="shared" si="18"/>
        <v>0</v>
      </c>
      <c r="M37" s="477">
        <f t="shared" si="18"/>
        <v>145348481</v>
      </c>
      <c r="N37" s="477">
        <f t="shared" si="18"/>
        <v>0</v>
      </c>
      <c r="O37" s="477">
        <f t="shared" si="18"/>
        <v>0</v>
      </c>
      <c r="P37" s="477">
        <f t="shared" si="18"/>
        <v>0</v>
      </c>
      <c r="Q37" s="477">
        <f t="shared" si="18"/>
        <v>0</v>
      </c>
      <c r="R37" s="477">
        <f t="shared" si="18"/>
        <v>0</v>
      </c>
      <c r="S37" s="477">
        <f t="shared" si="18"/>
        <v>0</v>
      </c>
      <c r="T37" s="477">
        <f t="shared" si="18"/>
        <v>0</v>
      </c>
      <c r="U37" s="477">
        <f t="shared" si="18"/>
        <v>0</v>
      </c>
      <c r="V37" s="477">
        <f t="shared" si="18"/>
        <v>0</v>
      </c>
      <c r="W37" s="477">
        <f t="shared" si="18"/>
        <v>0</v>
      </c>
      <c r="X37" s="477">
        <f t="shared" si="18"/>
        <v>0</v>
      </c>
      <c r="Y37" s="452">
        <f t="shared" si="11"/>
        <v>145348481</v>
      </c>
      <c r="Z37" s="477">
        <f t="shared" si="11"/>
        <v>0</v>
      </c>
      <c r="AA37" s="477">
        <f t="shared" si="11"/>
        <v>0</v>
      </c>
      <c r="AB37" s="478">
        <f t="shared" si="11"/>
        <v>0</v>
      </c>
      <c r="AC37" s="436"/>
      <c r="AD37" s="535" t="e">
        <f>+#REF!</f>
        <v>#REF!</v>
      </c>
    </row>
    <row r="38" spans="1:30" ht="16.5" thickTop="1" thickBot="1" x14ac:dyDescent="0.3">
      <c r="A38" s="472">
        <v>2</v>
      </c>
      <c r="B38" s="473" t="s">
        <v>738</v>
      </c>
      <c r="C38" s="456" t="s">
        <v>735</v>
      </c>
      <c r="D38" s="455"/>
      <c r="E38" s="456"/>
      <c r="F38" s="456"/>
      <c r="G38" s="456"/>
      <c r="H38" s="457" t="s">
        <v>773</v>
      </c>
      <c r="I38" s="476">
        <f>+I39+I40+I41</f>
        <v>0</v>
      </c>
      <c r="J38" s="479">
        <f t="shared" ref="J38:X38" si="19">+J39+J40+J41</f>
        <v>0</v>
      </c>
      <c r="K38" s="479">
        <f t="shared" si="19"/>
        <v>0</v>
      </c>
      <c r="L38" s="479">
        <f t="shared" si="19"/>
        <v>0</v>
      </c>
      <c r="M38" s="479">
        <f t="shared" si="19"/>
        <v>0</v>
      </c>
      <c r="N38" s="479">
        <f t="shared" si="19"/>
        <v>0</v>
      </c>
      <c r="O38" s="479">
        <f t="shared" si="19"/>
        <v>0</v>
      </c>
      <c r="P38" s="479">
        <f t="shared" si="19"/>
        <v>0</v>
      </c>
      <c r="Q38" s="479">
        <f t="shared" si="19"/>
        <v>0</v>
      </c>
      <c r="R38" s="479">
        <f t="shared" si="19"/>
        <v>0</v>
      </c>
      <c r="S38" s="479">
        <f t="shared" si="19"/>
        <v>0</v>
      </c>
      <c r="T38" s="479">
        <f t="shared" si="19"/>
        <v>0</v>
      </c>
      <c r="U38" s="479">
        <f t="shared" si="19"/>
        <v>0</v>
      </c>
      <c r="V38" s="479">
        <f t="shared" si="19"/>
        <v>0</v>
      </c>
      <c r="W38" s="479">
        <f t="shared" si="19"/>
        <v>0</v>
      </c>
      <c r="X38" s="479">
        <f t="shared" si="19"/>
        <v>0</v>
      </c>
      <c r="Y38" s="479">
        <f t="shared" si="11"/>
        <v>0</v>
      </c>
      <c r="Z38" s="479">
        <f t="shared" si="11"/>
        <v>0</v>
      </c>
      <c r="AA38" s="479">
        <f t="shared" si="11"/>
        <v>0</v>
      </c>
      <c r="AB38" s="480">
        <f t="shared" si="11"/>
        <v>0</v>
      </c>
      <c r="AC38" s="436"/>
    </row>
    <row r="39" spans="1:30" ht="16.5" thickTop="1" thickBot="1" x14ac:dyDescent="0.3">
      <c r="A39" s="444">
        <v>2</v>
      </c>
      <c r="B39" s="445" t="s">
        <v>738</v>
      </c>
      <c r="C39" s="445" t="s">
        <v>735</v>
      </c>
      <c r="D39" s="446" t="s">
        <v>735</v>
      </c>
      <c r="E39" s="444"/>
      <c r="F39" s="444"/>
      <c r="G39" s="444"/>
      <c r="H39" s="447" t="s">
        <v>773</v>
      </c>
      <c r="I39" s="481"/>
      <c r="J39" s="482"/>
      <c r="K39" s="482"/>
      <c r="L39" s="482"/>
      <c r="M39" s="482"/>
      <c r="N39" s="482"/>
      <c r="O39" s="482"/>
      <c r="P39" s="482"/>
      <c r="Q39" s="482"/>
      <c r="R39" s="482"/>
      <c r="S39" s="482"/>
      <c r="T39" s="482"/>
      <c r="U39" s="482"/>
      <c r="V39" s="482"/>
      <c r="W39" s="482"/>
      <c r="X39" s="482"/>
      <c r="Y39" s="482">
        <f t="shared" si="11"/>
        <v>0</v>
      </c>
      <c r="Z39" s="482">
        <f t="shared" si="11"/>
        <v>0</v>
      </c>
      <c r="AA39" s="482">
        <f t="shared" si="11"/>
        <v>0</v>
      </c>
      <c r="AB39" s="215">
        <f t="shared" si="11"/>
        <v>0</v>
      </c>
      <c r="AC39" s="436"/>
    </row>
    <row r="40" spans="1:30" ht="16.5" thickTop="1" thickBot="1" x14ac:dyDescent="0.3">
      <c r="A40" s="444">
        <v>2</v>
      </c>
      <c r="B40" s="445" t="s">
        <v>738</v>
      </c>
      <c r="C40" s="445" t="s">
        <v>735</v>
      </c>
      <c r="D40" s="446" t="s">
        <v>738</v>
      </c>
      <c r="E40" s="444"/>
      <c r="F40" s="444"/>
      <c r="G40" s="444"/>
      <c r="H40" s="447" t="s">
        <v>774</v>
      </c>
      <c r="I40" s="481"/>
      <c r="J40" s="482"/>
      <c r="K40" s="482"/>
      <c r="L40" s="482"/>
      <c r="M40" s="482"/>
      <c r="N40" s="482"/>
      <c r="O40" s="482"/>
      <c r="P40" s="482"/>
      <c r="Q40" s="482"/>
      <c r="R40" s="482"/>
      <c r="S40" s="482"/>
      <c r="T40" s="482"/>
      <c r="U40" s="482"/>
      <c r="V40" s="482"/>
      <c r="W40" s="482"/>
      <c r="X40" s="482"/>
      <c r="Y40" s="482">
        <f t="shared" si="11"/>
        <v>0</v>
      </c>
      <c r="Z40" s="482">
        <f t="shared" si="11"/>
        <v>0</v>
      </c>
      <c r="AA40" s="482">
        <f t="shared" si="11"/>
        <v>0</v>
      </c>
      <c r="AB40" s="215">
        <f t="shared" si="11"/>
        <v>0</v>
      </c>
      <c r="AC40" s="436"/>
    </row>
    <row r="41" spans="1:30" ht="16.5" thickTop="1" thickBot="1" x14ac:dyDescent="0.3">
      <c r="A41" s="444">
        <v>2</v>
      </c>
      <c r="B41" s="445" t="s">
        <v>738</v>
      </c>
      <c r="C41" s="445" t="s">
        <v>735</v>
      </c>
      <c r="D41" s="446" t="s">
        <v>742</v>
      </c>
      <c r="E41" s="444"/>
      <c r="F41" s="444"/>
      <c r="G41" s="444"/>
      <c r="H41" s="447" t="s">
        <v>756</v>
      </c>
      <c r="I41" s="481"/>
      <c r="J41" s="482"/>
      <c r="K41" s="482"/>
      <c r="L41" s="482"/>
      <c r="M41" s="482"/>
      <c r="N41" s="482"/>
      <c r="O41" s="482"/>
      <c r="P41" s="482"/>
      <c r="Q41" s="482"/>
      <c r="R41" s="482"/>
      <c r="S41" s="482"/>
      <c r="T41" s="482"/>
      <c r="U41" s="482"/>
      <c r="V41" s="482"/>
      <c r="W41" s="482"/>
      <c r="X41" s="482"/>
      <c r="Y41" s="482">
        <f t="shared" si="11"/>
        <v>0</v>
      </c>
      <c r="Z41" s="482">
        <f t="shared" si="11"/>
        <v>0</v>
      </c>
      <c r="AA41" s="482">
        <f t="shared" si="11"/>
        <v>0</v>
      </c>
      <c r="AB41" s="215">
        <f t="shared" si="11"/>
        <v>0</v>
      </c>
      <c r="AC41" s="436"/>
    </row>
    <row r="42" spans="1:30" ht="16.5" thickTop="1" thickBot="1" x14ac:dyDescent="0.3">
      <c r="A42" s="472">
        <v>2</v>
      </c>
      <c r="B42" s="473" t="s">
        <v>738</v>
      </c>
      <c r="C42" s="456" t="s">
        <v>738</v>
      </c>
      <c r="D42" s="455"/>
      <c r="E42" s="456"/>
      <c r="F42" s="456"/>
      <c r="G42" s="456"/>
      <c r="H42" s="457" t="s">
        <v>775</v>
      </c>
      <c r="I42" s="476">
        <f>+I43+I44+I45+I46</f>
        <v>0</v>
      </c>
      <c r="J42" s="479">
        <f t="shared" ref="J42:X42" si="20">+J43+J44+J45+J46</f>
        <v>0</v>
      </c>
      <c r="K42" s="479">
        <f t="shared" si="20"/>
        <v>0</v>
      </c>
      <c r="L42" s="479">
        <f t="shared" si="20"/>
        <v>0</v>
      </c>
      <c r="M42" s="479">
        <f>+M43+M44+M45+M46</f>
        <v>145348481</v>
      </c>
      <c r="N42" s="479">
        <f>+N43+N44+N45+N46</f>
        <v>0</v>
      </c>
      <c r="O42" s="479">
        <f>+O43+O44+O45+O46</f>
        <v>0</v>
      </c>
      <c r="P42" s="479">
        <f>+P43+P44+P45+P46</f>
        <v>0</v>
      </c>
      <c r="Q42" s="479">
        <f t="shared" si="20"/>
        <v>0</v>
      </c>
      <c r="R42" s="479">
        <f t="shared" si="20"/>
        <v>0</v>
      </c>
      <c r="S42" s="479">
        <f t="shared" si="20"/>
        <v>0</v>
      </c>
      <c r="T42" s="479">
        <f t="shared" si="20"/>
        <v>0</v>
      </c>
      <c r="U42" s="479">
        <f t="shared" si="20"/>
        <v>0</v>
      </c>
      <c r="V42" s="479">
        <f t="shared" si="20"/>
        <v>0</v>
      </c>
      <c r="W42" s="479">
        <f t="shared" si="20"/>
        <v>0</v>
      </c>
      <c r="X42" s="479">
        <f t="shared" si="20"/>
        <v>0</v>
      </c>
      <c r="Y42" s="459">
        <f t="shared" si="11"/>
        <v>145348481</v>
      </c>
      <c r="Z42" s="479">
        <f t="shared" si="11"/>
        <v>0</v>
      </c>
      <c r="AA42" s="479">
        <f t="shared" si="11"/>
        <v>0</v>
      </c>
      <c r="AB42" s="480">
        <f t="shared" si="11"/>
        <v>0</v>
      </c>
      <c r="AC42" s="436"/>
    </row>
    <row r="43" spans="1:30" ht="16.5" thickTop="1" thickBot="1" x14ac:dyDescent="0.3">
      <c r="A43" s="444">
        <v>2</v>
      </c>
      <c r="B43" s="445" t="s">
        <v>738</v>
      </c>
      <c r="C43" s="445" t="s">
        <v>738</v>
      </c>
      <c r="D43" s="445" t="s">
        <v>735</v>
      </c>
      <c r="E43" s="444"/>
      <c r="F43" s="444"/>
      <c r="G43" s="444"/>
      <c r="H43" s="447" t="s">
        <v>775</v>
      </c>
      <c r="I43" s="448"/>
      <c r="J43" s="449"/>
      <c r="K43" s="449"/>
      <c r="L43" s="449"/>
      <c r="M43" s="449">
        <v>0</v>
      </c>
      <c r="N43" s="449"/>
      <c r="O43" s="449"/>
      <c r="P43" s="449"/>
      <c r="Q43" s="449"/>
      <c r="R43" s="449"/>
      <c r="S43" s="449"/>
      <c r="T43" s="449"/>
      <c r="U43" s="449"/>
      <c r="V43" s="449"/>
      <c r="W43" s="449"/>
      <c r="X43" s="449"/>
      <c r="Y43" s="449">
        <f t="shared" si="11"/>
        <v>0</v>
      </c>
      <c r="Z43" s="449">
        <f t="shared" si="11"/>
        <v>0</v>
      </c>
      <c r="AA43" s="449">
        <f t="shared" si="11"/>
        <v>0</v>
      </c>
      <c r="AB43" s="212">
        <f t="shared" si="11"/>
        <v>0</v>
      </c>
      <c r="AC43" s="436"/>
    </row>
    <row r="44" spans="1:30" ht="16.5" thickTop="1" thickBot="1" x14ac:dyDescent="0.3">
      <c r="A44" s="444">
        <v>2</v>
      </c>
      <c r="B44" s="445" t="s">
        <v>738</v>
      </c>
      <c r="C44" s="445" t="s">
        <v>738</v>
      </c>
      <c r="D44" s="445" t="s">
        <v>738</v>
      </c>
      <c r="E44" s="444"/>
      <c r="F44" s="444"/>
      <c r="G44" s="444"/>
      <c r="H44" s="447" t="s">
        <v>776</v>
      </c>
      <c r="I44" s="448"/>
      <c r="J44" s="449"/>
      <c r="K44" s="449"/>
      <c r="L44" s="449"/>
      <c r="M44" s="449">
        <v>0</v>
      </c>
      <c r="N44" s="449"/>
      <c r="O44" s="449"/>
      <c r="P44" s="449"/>
      <c r="Q44" s="449"/>
      <c r="R44" s="449"/>
      <c r="S44" s="449"/>
      <c r="T44" s="449"/>
      <c r="U44" s="449"/>
      <c r="V44" s="449"/>
      <c r="W44" s="449"/>
      <c r="X44" s="449"/>
      <c r="Y44" s="449">
        <f t="shared" si="11"/>
        <v>0</v>
      </c>
      <c r="Z44" s="449">
        <f t="shared" si="11"/>
        <v>0</v>
      </c>
      <c r="AA44" s="449">
        <f t="shared" si="11"/>
        <v>0</v>
      </c>
      <c r="AB44" s="212">
        <f t="shared" si="11"/>
        <v>0</v>
      </c>
      <c r="AC44" s="436"/>
    </row>
    <row r="45" spans="1:30" ht="16.5" thickTop="1" thickBot="1" x14ac:dyDescent="0.3">
      <c r="A45" s="444">
        <v>2</v>
      </c>
      <c r="B45" s="445" t="s">
        <v>738</v>
      </c>
      <c r="C45" s="445" t="s">
        <v>738</v>
      </c>
      <c r="D45" s="445" t="s">
        <v>742</v>
      </c>
      <c r="E45" s="444"/>
      <c r="F45" s="444"/>
      <c r="G45" s="444"/>
      <c r="H45" s="447" t="s">
        <v>756</v>
      </c>
      <c r="I45" s="448"/>
      <c r="J45" s="449"/>
      <c r="K45" s="449"/>
      <c r="L45" s="449"/>
      <c r="M45" s="449">
        <v>0</v>
      </c>
      <c r="N45" s="449"/>
      <c r="O45" s="449"/>
      <c r="P45" s="449"/>
      <c r="Q45" s="449"/>
      <c r="R45" s="449"/>
      <c r="S45" s="449"/>
      <c r="T45" s="449"/>
      <c r="U45" s="449"/>
      <c r="V45" s="449"/>
      <c r="W45" s="449"/>
      <c r="X45" s="449"/>
      <c r="Y45" s="449">
        <f t="shared" si="11"/>
        <v>0</v>
      </c>
      <c r="Z45" s="449">
        <f t="shared" si="11"/>
        <v>0</v>
      </c>
      <c r="AA45" s="449">
        <f t="shared" si="11"/>
        <v>0</v>
      </c>
      <c r="AB45" s="212">
        <f t="shared" si="11"/>
        <v>0</v>
      </c>
      <c r="AC45" s="436"/>
    </row>
    <row r="46" spans="1:30" ht="16.5" thickTop="1" thickBot="1" x14ac:dyDescent="0.3">
      <c r="A46" s="444">
        <v>2</v>
      </c>
      <c r="B46" s="445" t="s">
        <v>738</v>
      </c>
      <c r="C46" s="445" t="s">
        <v>738</v>
      </c>
      <c r="D46" s="445" t="s">
        <v>758</v>
      </c>
      <c r="E46" s="444"/>
      <c r="F46" s="444"/>
      <c r="G46" s="444"/>
      <c r="H46" s="447" t="s">
        <v>777</v>
      </c>
      <c r="I46" s="448"/>
      <c r="J46" s="461"/>
      <c r="K46" s="461"/>
      <c r="L46" s="461"/>
      <c r="M46" s="461">
        <v>145348481</v>
      </c>
      <c r="N46" s="461">
        <v>0</v>
      </c>
      <c r="O46" s="461">
        <v>0</v>
      </c>
      <c r="P46" s="461">
        <v>0</v>
      </c>
      <c r="Q46" s="461"/>
      <c r="R46" s="461"/>
      <c r="S46" s="461"/>
      <c r="T46" s="461"/>
      <c r="U46" s="461"/>
      <c r="V46" s="461"/>
      <c r="W46" s="461"/>
      <c r="X46" s="461"/>
      <c r="Y46" s="462">
        <f t="shared" si="11"/>
        <v>145348481</v>
      </c>
      <c r="Z46" s="461">
        <f t="shared" si="11"/>
        <v>0</v>
      </c>
      <c r="AA46" s="461">
        <f t="shared" si="11"/>
        <v>0</v>
      </c>
      <c r="AB46" s="213">
        <f t="shared" si="11"/>
        <v>0</v>
      </c>
      <c r="AC46" s="436"/>
    </row>
    <row r="47" spans="1:30" ht="16.5" thickTop="1" thickBot="1" x14ac:dyDescent="0.3">
      <c r="A47" s="431">
        <v>2</v>
      </c>
      <c r="B47" s="431" t="s">
        <v>742</v>
      </c>
      <c r="C47" s="431"/>
      <c r="D47" s="431"/>
      <c r="E47" s="431"/>
      <c r="F47" s="431"/>
      <c r="G47" s="431"/>
      <c r="H47" s="432" t="s">
        <v>1459</v>
      </c>
      <c r="I47" s="433">
        <f t="shared" ref="I47:T47" si="21">I49+I74+I88+I121+I127+I145+I159+I184</f>
        <v>22737403622</v>
      </c>
      <c r="J47" s="433">
        <f t="shared" si="21"/>
        <v>19044166575</v>
      </c>
      <c r="K47" s="433">
        <f t="shared" si="21"/>
        <v>11131083260</v>
      </c>
      <c r="L47" s="433">
        <f>L49+L74+L88+L121+L127+L145+L159+L184</f>
        <v>10728795377</v>
      </c>
      <c r="M47" s="433">
        <f t="shared" si="21"/>
        <v>43287542076</v>
      </c>
      <c r="N47" s="433">
        <f t="shared" si="21"/>
        <v>43272325138</v>
      </c>
      <c r="O47" s="433">
        <f t="shared" si="21"/>
        <v>17077567859</v>
      </c>
      <c r="P47" s="433">
        <f t="shared" si="21"/>
        <v>17077567859</v>
      </c>
      <c r="Q47" s="433">
        <f t="shared" si="21"/>
        <v>0</v>
      </c>
      <c r="R47" s="433">
        <f t="shared" si="21"/>
        <v>0</v>
      </c>
      <c r="S47" s="433">
        <f t="shared" si="21"/>
        <v>0</v>
      </c>
      <c r="T47" s="433">
        <f t="shared" si="21"/>
        <v>0</v>
      </c>
      <c r="U47" s="433">
        <f>U49+U74+U88+U121+U127+U145+U159+U184</f>
        <v>15693880576</v>
      </c>
      <c r="V47" s="433">
        <f>V49+V74+V88+V121+V127+V145+V159+V184</f>
        <v>13981014005.459999</v>
      </c>
      <c r="W47" s="433">
        <f>W49+W74+W88+W121+W127+W145+W159+W184</f>
        <v>7902530787.6899996</v>
      </c>
      <c r="X47" s="433">
        <f>X49+X74+X88+X121+X127+X145+X159+X184</f>
        <v>7902530787.6899996</v>
      </c>
      <c r="Y47" s="483">
        <f>Y48+Y87+Y126+Y144+Y158</f>
        <v>81718826274</v>
      </c>
      <c r="Z47" s="483">
        <f>Z49+Z74+Z88+Z121+Z127+Z145+Z159+Z184</f>
        <v>76297505718.459991</v>
      </c>
      <c r="AA47" s="483">
        <f>AA49+AA74+AA88+AA121+AA127+AA145+AA159+AA184</f>
        <v>36111181906.689995</v>
      </c>
      <c r="AB47" s="483">
        <f>AB49+AB74+AB88+AB121+AB127+AB145+AB159+AB184</f>
        <v>35708894023.689995</v>
      </c>
      <c r="AC47" s="436"/>
      <c r="AD47" s="534" t="e">
        <f>+#REF!</f>
        <v>#REF!</v>
      </c>
    </row>
    <row r="48" spans="1:30" ht="16.5" thickTop="1" thickBot="1" x14ac:dyDescent="0.3">
      <c r="A48" s="484"/>
      <c r="B48" s="437"/>
      <c r="C48" s="437"/>
      <c r="D48" s="437"/>
      <c r="E48" s="484"/>
      <c r="F48" s="484"/>
      <c r="G48" s="484"/>
      <c r="H48" s="485" t="s">
        <v>116</v>
      </c>
      <c r="I48" s="448">
        <f>+I49+I74</f>
        <v>5953000000</v>
      </c>
      <c r="J48" s="486">
        <f>+J49+J74</f>
        <v>4758749897</v>
      </c>
      <c r="K48" s="486">
        <f t="shared" ref="K48:AB48" si="22">+K49+K74</f>
        <v>1329480319</v>
      </c>
      <c r="L48" s="486">
        <f t="shared" si="22"/>
        <v>1292556372</v>
      </c>
      <c r="M48" s="486">
        <f>+M49+M74+M88</f>
        <v>43287542076</v>
      </c>
      <c r="N48" s="486">
        <f>+N49+N74+N88</f>
        <v>43272325138</v>
      </c>
      <c r="O48" s="486">
        <f>+O49+O74+O88</f>
        <v>17077567859</v>
      </c>
      <c r="P48" s="486">
        <f>+P49+P74+P88</f>
        <v>17077567859</v>
      </c>
      <c r="Q48" s="486">
        <f t="shared" si="22"/>
        <v>0</v>
      </c>
      <c r="R48" s="486">
        <f t="shared" si="22"/>
        <v>0</v>
      </c>
      <c r="S48" s="486">
        <f t="shared" si="22"/>
        <v>0</v>
      </c>
      <c r="T48" s="486">
        <f t="shared" si="22"/>
        <v>0</v>
      </c>
      <c r="U48" s="486">
        <f t="shared" si="22"/>
        <v>3982643245</v>
      </c>
      <c r="V48" s="486">
        <f t="shared" si="22"/>
        <v>2273021315.96</v>
      </c>
      <c r="W48" s="486">
        <f t="shared" si="22"/>
        <v>2256535598.96</v>
      </c>
      <c r="X48" s="486">
        <f t="shared" si="22"/>
        <v>2256535598.96</v>
      </c>
      <c r="Y48" s="487">
        <f t="shared" si="22"/>
        <v>35105836737</v>
      </c>
      <c r="Z48" s="487">
        <f t="shared" si="22"/>
        <v>32199458579.959999</v>
      </c>
      <c r="AA48" s="487">
        <f t="shared" si="22"/>
        <v>15457594026.959999</v>
      </c>
      <c r="AB48" s="488">
        <f t="shared" si="22"/>
        <v>15420670079.959999</v>
      </c>
      <c r="AC48" s="436"/>
    </row>
    <row r="49" spans="1:29" ht="27" thickTop="1" thickBot="1" x14ac:dyDescent="0.3">
      <c r="A49" s="484"/>
      <c r="B49" s="437"/>
      <c r="C49" s="437"/>
      <c r="D49" s="489"/>
      <c r="E49" s="490"/>
      <c r="F49" s="490"/>
      <c r="G49" s="490"/>
      <c r="H49" s="216" t="s">
        <v>117</v>
      </c>
      <c r="I49" s="448">
        <f>+I50+I54+I58+I62+I66+I70</f>
        <v>4413000000</v>
      </c>
      <c r="J49" s="448">
        <f>+J50+J54+J58+J62+J66+J70</f>
        <v>3910331307</v>
      </c>
      <c r="K49" s="448">
        <f>+K50+K54+K58+K62+K66+K70</f>
        <v>894389661</v>
      </c>
      <c r="L49" s="448">
        <f>+L50+L54+L58+L62+L66+L70</f>
        <v>857465714</v>
      </c>
      <c r="M49" s="486">
        <f t="shared" ref="M49:X49" si="23">+M50+M70</f>
        <v>0</v>
      </c>
      <c r="N49" s="486">
        <f t="shared" si="23"/>
        <v>0</v>
      </c>
      <c r="O49" s="486">
        <f t="shared" si="23"/>
        <v>0</v>
      </c>
      <c r="P49" s="486">
        <f t="shared" si="23"/>
        <v>0</v>
      </c>
      <c r="Q49" s="486">
        <f t="shared" si="23"/>
        <v>0</v>
      </c>
      <c r="R49" s="486">
        <f t="shared" si="23"/>
        <v>0</v>
      </c>
      <c r="S49" s="486">
        <f t="shared" si="23"/>
        <v>0</v>
      </c>
      <c r="T49" s="486">
        <f t="shared" si="23"/>
        <v>0</v>
      </c>
      <c r="U49" s="564">
        <f t="shared" si="23"/>
        <v>1709455689</v>
      </c>
      <c r="V49" s="486">
        <f t="shared" si="23"/>
        <v>0</v>
      </c>
      <c r="W49" s="486">
        <f t="shared" si="23"/>
        <v>0</v>
      </c>
      <c r="X49" s="486">
        <f t="shared" si="23"/>
        <v>0</v>
      </c>
      <c r="Y49" s="487">
        <f>Y50+Y54+Y58+Y62+Y66+Y70</f>
        <v>6122455689</v>
      </c>
      <c r="Z49" s="487">
        <f>Z50+Z54+Z58+Z62+Z66+Z70</f>
        <v>3910331307</v>
      </c>
      <c r="AA49" s="487">
        <f>AA50+AA54+AA58+AA62+AA66+AA70</f>
        <v>894389661</v>
      </c>
      <c r="AB49" s="487">
        <f>AB50+AB54+AB58+AB62+AB66+AB70</f>
        <v>857465714</v>
      </c>
      <c r="AC49" s="436"/>
    </row>
    <row r="50" spans="1:29" ht="39" customHeight="1" thickTop="1" thickBot="1" x14ac:dyDescent="0.3">
      <c r="A50" s="472"/>
      <c r="B50" s="472"/>
      <c r="C50" s="472"/>
      <c r="D50" s="472"/>
      <c r="E50" s="472"/>
      <c r="F50" s="472"/>
      <c r="G50" s="472"/>
      <c r="H50" s="491" t="s">
        <v>778</v>
      </c>
      <c r="I50" s="448">
        <f>+I51</f>
        <v>350000000</v>
      </c>
      <c r="J50" s="448">
        <f>+J51</f>
        <v>171378552</v>
      </c>
      <c r="K50" s="448">
        <f t="shared" ref="J50:X52" si="24">+K51</f>
        <v>51378552</v>
      </c>
      <c r="L50" s="448">
        <f t="shared" si="24"/>
        <v>51378552</v>
      </c>
      <c r="M50" s="492">
        <f t="shared" si="24"/>
        <v>0</v>
      </c>
      <c r="N50" s="492">
        <f t="shared" si="24"/>
        <v>0</v>
      </c>
      <c r="O50" s="492">
        <f t="shared" si="24"/>
        <v>0</v>
      </c>
      <c r="P50" s="492">
        <f t="shared" si="24"/>
        <v>0</v>
      </c>
      <c r="Q50" s="492">
        <f t="shared" si="24"/>
        <v>0</v>
      </c>
      <c r="R50" s="492">
        <f t="shared" si="24"/>
        <v>0</v>
      </c>
      <c r="S50" s="492">
        <f t="shared" si="24"/>
        <v>0</v>
      </c>
      <c r="T50" s="492">
        <f t="shared" si="24"/>
        <v>0</v>
      </c>
      <c r="U50" s="492">
        <f t="shared" si="24"/>
        <v>1709455689</v>
      </c>
      <c r="V50" s="492">
        <f t="shared" si="24"/>
        <v>0</v>
      </c>
      <c r="W50" s="492">
        <f t="shared" si="24"/>
        <v>0</v>
      </c>
      <c r="X50" s="492">
        <f t="shared" si="24"/>
        <v>0</v>
      </c>
      <c r="Y50" s="493">
        <f>I50+M50+Q50+U50</f>
        <v>2059455689</v>
      </c>
      <c r="Z50" s="493">
        <f>J50+N50+R50+V50</f>
        <v>171378552</v>
      </c>
      <c r="AA50" s="493">
        <f>K50+O50+S50+W50</f>
        <v>51378552</v>
      </c>
      <c r="AB50" s="493">
        <f>L50+P50+T50+X50</f>
        <v>51378552</v>
      </c>
      <c r="AC50" s="436"/>
    </row>
    <row r="51" spans="1:29" ht="16.5" thickTop="1" thickBot="1" x14ac:dyDescent="0.3">
      <c r="A51" s="472"/>
      <c r="B51" s="472"/>
      <c r="C51" s="472"/>
      <c r="D51" s="472"/>
      <c r="E51" s="472"/>
      <c r="F51" s="472"/>
      <c r="G51" s="472"/>
      <c r="H51" s="495" t="s">
        <v>779</v>
      </c>
      <c r="I51" s="448">
        <f>+I52</f>
        <v>350000000</v>
      </c>
      <c r="J51" s="448">
        <f t="shared" si="24"/>
        <v>171378552</v>
      </c>
      <c r="K51" s="448">
        <f t="shared" si="24"/>
        <v>51378552</v>
      </c>
      <c r="L51" s="448">
        <f t="shared" si="24"/>
        <v>51378552</v>
      </c>
      <c r="M51" s="492">
        <f t="shared" si="24"/>
        <v>0</v>
      </c>
      <c r="N51" s="492">
        <f t="shared" si="24"/>
        <v>0</v>
      </c>
      <c r="O51" s="492">
        <f t="shared" si="24"/>
        <v>0</v>
      </c>
      <c r="P51" s="492">
        <f t="shared" si="24"/>
        <v>0</v>
      </c>
      <c r="Q51" s="492">
        <f t="shared" si="24"/>
        <v>0</v>
      </c>
      <c r="R51" s="492">
        <f t="shared" si="24"/>
        <v>0</v>
      </c>
      <c r="S51" s="492">
        <f t="shared" si="24"/>
        <v>0</v>
      </c>
      <c r="T51" s="492">
        <f t="shared" si="24"/>
        <v>0</v>
      </c>
      <c r="U51" s="492">
        <f t="shared" si="24"/>
        <v>1709455689</v>
      </c>
      <c r="V51" s="492">
        <f t="shared" si="24"/>
        <v>0</v>
      </c>
      <c r="W51" s="492">
        <f t="shared" si="24"/>
        <v>0</v>
      </c>
      <c r="X51" s="492">
        <f t="shared" si="24"/>
        <v>0</v>
      </c>
      <c r="Y51" s="493">
        <f t="shared" si="11"/>
        <v>2059455689</v>
      </c>
      <c r="Z51" s="493">
        <f t="shared" si="11"/>
        <v>171378552</v>
      </c>
      <c r="AA51" s="493">
        <f t="shared" si="11"/>
        <v>51378552</v>
      </c>
      <c r="AB51" s="494">
        <f t="shared" si="11"/>
        <v>51378552</v>
      </c>
      <c r="AC51" s="436"/>
    </row>
    <row r="52" spans="1:29" ht="16.5" thickTop="1" thickBot="1" x14ac:dyDescent="0.3">
      <c r="A52" s="444"/>
      <c r="B52" s="444"/>
      <c r="C52" s="444"/>
      <c r="D52" s="444"/>
      <c r="E52" s="445"/>
      <c r="F52" s="445"/>
      <c r="G52" s="444"/>
      <c r="H52" s="496" t="s">
        <v>780</v>
      </c>
      <c r="I52" s="448">
        <f>+I53</f>
        <v>350000000</v>
      </c>
      <c r="J52" s="448">
        <f t="shared" si="24"/>
        <v>171378552</v>
      </c>
      <c r="K52" s="448">
        <f t="shared" si="24"/>
        <v>51378552</v>
      </c>
      <c r="L52" s="448">
        <f t="shared" si="24"/>
        <v>51378552</v>
      </c>
      <c r="M52" s="497">
        <f t="shared" si="24"/>
        <v>0</v>
      </c>
      <c r="N52" s="497">
        <f t="shared" si="24"/>
        <v>0</v>
      </c>
      <c r="O52" s="497">
        <f t="shared" si="24"/>
        <v>0</v>
      </c>
      <c r="P52" s="497">
        <f t="shared" si="24"/>
        <v>0</v>
      </c>
      <c r="Q52" s="497">
        <f t="shared" si="24"/>
        <v>0</v>
      </c>
      <c r="R52" s="497">
        <f t="shared" si="24"/>
        <v>0</v>
      </c>
      <c r="S52" s="497">
        <f t="shared" si="24"/>
        <v>0</v>
      </c>
      <c r="T52" s="497">
        <f t="shared" si="24"/>
        <v>0</v>
      </c>
      <c r="U52" s="497">
        <f t="shared" si="24"/>
        <v>1709455689</v>
      </c>
      <c r="V52" s="497">
        <f t="shared" si="24"/>
        <v>0</v>
      </c>
      <c r="W52" s="497">
        <f t="shared" si="24"/>
        <v>0</v>
      </c>
      <c r="X52" s="497">
        <f t="shared" si="24"/>
        <v>0</v>
      </c>
      <c r="Y52" s="450">
        <f t="shared" si="11"/>
        <v>2059455689</v>
      </c>
      <c r="Z52" s="450">
        <f t="shared" si="11"/>
        <v>171378552</v>
      </c>
      <c r="AA52" s="450">
        <f t="shared" si="11"/>
        <v>51378552</v>
      </c>
      <c r="AB52" s="451">
        <f t="shared" si="11"/>
        <v>51378552</v>
      </c>
      <c r="AC52" s="436"/>
    </row>
    <row r="53" spans="1:29" ht="16.5" thickTop="1" thickBot="1" x14ac:dyDescent="0.3">
      <c r="A53" s="444"/>
      <c r="B53" s="444"/>
      <c r="C53" s="444"/>
      <c r="D53" s="444"/>
      <c r="E53" s="445"/>
      <c r="F53" s="445"/>
      <c r="G53" s="445"/>
      <c r="H53" s="496" t="s">
        <v>781</v>
      </c>
      <c r="I53" s="448">
        <v>350000000</v>
      </c>
      <c r="J53" s="448">
        <v>171378552</v>
      </c>
      <c r="K53" s="448">
        <v>51378552</v>
      </c>
      <c r="L53" s="448">
        <v>51378552</v>
      </c>
      <c r="M53" s="497"/>
      <c r="N53" s="497"/>
      <c r="O53" s="497"/>
      <c r="P53" s="497"/>
      <c r="Q53" s="497"/>
      <c r="R53" s="497"/>
      <c r="S53" s="497"/>
      <c r="T53" s="497"/>
      <c r="U53" s="497">
        <v>1709455689</v>
      </c>
      <c r="V53" s="497"/>
      <c r="W53" s="497"/>
      <c r="X53" s="497"/>
      <c r="Y53" s="450">
        <f t="shared" si="11"/>
        <v>2059455689</v>
      </c>
      <c r="Z53" s="450">
        <f t="shared" si="11"/>
        <v>171378552</v>
      </c>
      <c r="AA53" s="450">
        <f t="shared" si="11"/>
        <v>51378552</v>
      </c>
      <c r="AB53" s="451">
        <f t="shared" si="11"/>
        <v>51378552</v>
      </c>
      <c r="AC53" s="436"/>
    </row>
    <row r="54" spans="1:29" ht="28.5" customHeight="1" thickTop="1" thickBot="1" x14ac:dyDescent="0.3">
      <c r="A54" s="444"/>
      <c r="B54" s="444"/>
      <c r="C54" s="444"/>
      <c r="D54" s="444"/>
      <c r="E54" s="445"/>
      <c r="F54" s="445"/>
      <c r="G54" s="445"/>
      <c r="H54" s="498" t="s">
        <v>140</v>
      </c>
      <c r="I54" s="448">
        <f>I55</f>
        <v>113000000</v>
      </c>
      <c r="J54" s="448">
        <f t="shared" ref="J54:X54" si="25">J55</f>
        <v>95450780</v>
      </c>
      <c r="K54" s="448">
        <f t="shared" si="25"/>
        <v>95450780</v>
      </c>
      <c r="L54" s="448">
        <f t="shared" si="25"/>
        <v>88250780</v>
      </c>
      <c r="M54" s="497">
        <f t="shared" si="25"/>
        <v>0</v>
      </c>
      <c r="N54" s="497">
        <f t="shared" si="25"/>
        <v>0</v>
      </c>
      <c r="O54" s="497">
        <f t="shared" si="25"/>
        <v>0</v>
      </c>
      <c r="P54" s="497">
        <f t="shared" si="25"/>
        <v>0</v>
      </c>
      <c r="Q54" s="497">
        <f t="shared" si="25"/>
        <v>0</v>
      </c>
      <c r="R54" s="497">
        <f t="shared" si="25"/>
        <v>0</v>
      </c>
      <c r="S54" s="497">
        <f t="shared" si="25"/>
        <v>0</v>
      </c>
      <c r="T54" s="497">
        <f t="shared" si="25"/>
        <v>0</v>
      </c>
      <c r="U54" s="497">
        <f t="shared" si="25"/>
        <v>0</v>
      </c>
      <c r="V54" s="497">
        <f t="shared" si="25"/>
        <v>0</v>
      </c>
      <c r="W54" s="497">
        <f t="shared" si="25"/>
        <v>0</v>
      </c>
      <c r="X54" s="497">
        <f t="shared" si="25"/>
        <v>0</v>
      </c>
      <c r="Y54" s="450">
        <f>I54+M54+Q54+U54</f>
        <v>113000000</v>
      </c>
      <c r="Z54" s="450">
        <f>J54+N54+R54+V54</f>
        <v>95450780</v>
      </c>
      <c r="AA54" s="450">
        <f>K54+O54+S54+W54</f>
        <v>95450780</v>
      </c>
      <c r="AB54" s="450">
        <f>L54+P54+T54+X54</f>
        <v>88250780</v>
      </c>
      <c r="AC54" s="450">
        <f>M54+Q54+U54+Y54</f>
        <v>113000000</v>
      </c>
    </row>
    <row r="55" spans="1:29" ht="16.5" thickTop="1" thickBot="1" x14ac:dyDescent="0.3">
      <c r="A55" s="472"/>
      <c r="B55" s="472"/>
      <c r="C55" s="472"/>
      <c r="D55" s="472"/>
      <c r="E55" s="472"/>
      <c r="F55" s="472"/>
      <c r="G55" s="472"/>
      <c r="H55" s="499" t="s">
        <v>779</v>
      </c>
      <c r="I55" s="448">
        <f>+I56</f>
        <v>113000000</v>
      </c>
      <c r="J55" s="448">
        <f t="shared" ref="J55:X56" si="26">+J56</f>
        <v>95450780</v>
      </c>
      <c r="K55" s="448">
        <f t="shared" si="26"/>
        <v>95450780</v>
      </c>
      <c r="L55" s="448">
        <f t="shared" si="26"/>
        <v>88250780</v>
      </c>
      <c r="M55" s="492">
        <f t="shared" si="26"/>
        <v>0</v>
      </c>
      <c r="N55" s="492">
        <f t="shared" si="26"/>
        <v>0</v>
      </c>
      <c r="O55" s="492">
        <f t="shared" si="26"/>
        <v>0</v>
      </c>
      <c r="P55" s="492">
        <f t="shared" si="26"/>
        <v>0</v>
      </c>
      <c r="Q55" s="492">
        <f t="shared" si="26"/>
        <v>0</v>
      </c>
      <c r="R55" s="492">
        <f t="shared" si="26"/>
        <v>0</v>
      </c>
      <c r="S55" s="492">
        <f t="shared" si="26"/>
        <v>0</v>
      </c>
      <c r="T55" s="492">
        <f t="shared" si="26"/>
        <v>0</v>
      </c>
      <c r="U55" s="492">
        <f t="shared" si="26"/>
        <v>0</v>
      </c>
      <c r="V55" s="492">
        <f t="shared" si="26"/>
        <v>0</v>
      </c>
      <c r="W55" s="492">
        <f t="shared" si="26"/>
        <v>0</v>
      </c>
      <c r="X55" s="492">
        <f t="shared" si="26"/>
        <v>0</v>
      </c>
      <c r="Y55" s="493">
        <f t="shared" ref="Y55:AB57" si="27">+I55+M55+Q55+U55</f>
        <v>113000000</v>
      </c>
      <c r="Z55" s="493">
        <f t="shared" si="27"/>
        <v>95450780</v>
      </c>
      <c r="AA55" s="493">
        <f t="shared" si="27"/>
        <v>95450780</v>
      </c>
      <c r="AB55" s="494">
        <f t="shared" si="27"/>
        <v>88250780</v>
      </c>
      <c r="AC55" s="436"/>
    </row>
    <row r="56" spans="1:29" ht="16.5" thickTop="1" thickBot="1" x14ac:dyDescent="0.3">
      <c r="A56" s="444"/>
      <c r="B56" s="444"/>
      <c r="C56" s="444"/>
      <c r="D56" s="444"/>
      <c r="E56" s="445"/>
      <c r="F56" s="445"/>
      <c r="G56" s="444"/>
      <c r="H56" s="217" t="s">
        <v>780</v>
      </c>
      <c r="I56" s="448">
        <f>+I57</f>
        <v>113000000</v>
      </c>
      <c r="J56" s="448">
        <f t="shared" si="26"/>
        <v>95450780</v>
      </c>
      <c r="K56" s="448">
        <f t="shared" si="26"/>
        <v>95450780</v>
      </c>
      <c r="L56" s="448">
        <f t="shared" si="26"/>
        <v>88250780</v>
      </c>
      <c r="M56" s="497">
        <f t="shared" si="26"/>
        <v>0</v>
      </c>
      <c r="N56" s="497">
        <f t="shared" si="26"/>
        <v>0</v>
      </c>
      <c r="O56" s="497">
        <f t="shared" si="26"/>
        <v>0</v>
      </c>
      <c r="P56" s="497">
        <f t="shared" si="26"/>
        <v>0</v>
      </c>
      <c r="Q56" s="497">
        <f t="shared" si="26"/>
        <v>0</v>
      </c>
      <c r="R56" s="497">
        <f t="shared" si="26"/>
        <v>0</v>
      </c>
      <c r="S56" s="497">
        <f t="shared" si="26"/>
        <v>0</v>
      </c>
      <c r="T56" s="497">
        <f t="shared" si="26"/>
        <v>0</v>
      </c>
      <c r="U56" s="497">
        <f t="shared" si="26"/>
        <v>0</v>
      </c>
      <c r="V56" s="497">
        <f t="shared" si="26"/>
        <v>0</v>
      </c>
      <c r="W56" s="497">
        <f t="shared" si="26"/>
        <v>0</v>
      </c>
      <c r="X56" s="497">
        <f t="shared" si="26"/>
        <v>0</v>
      </c>
      <c r="Y56" s="450">
        <f t="shared" si="27"/>
        <v>113000000</v>
      </c>
      <c r="Z56" s="450">
        <f t="shared" si="27"/>
        <v>95450780</v>
      </c>
      <c r="AA56" s="450">
        <f t="shared" si="27"/>
        <v>95450780</v>
      </c>
      <c r="AB56" s="451">
        <f t="shared" si="27"/>
        <v>88250780</v>
      </c>
      <c r="AC56" s="436"/>
    </row>
    <row r="57" spans="1:29" ht="16.5" thickTop="1" thickBot="1" x14ac:dyDescent="0.3">
      <c r="A57" s="444"/>
      <c r="B57" s="444"/>
      <c r="C57" s="444"/>
      <c r="D57" s="444"/>
      <c r="E57" s="445"/>
      <c r="F57" s="445"/>
      <c r="G57" s="445"/>
      <c r="H57" s="217" t="s">
        <v>781</v>
      </c>
      <c r="I57" s="448">
        <v>113000000</v>
      </c>
      <c r="J57" s="448">
        <v>95450780</v>
      </c>
      <c r="K57" s="448">
        <v>95450780</v>
      </c>
      <c r="L57" s="448">
        <v>88250780</v>
      </c>
      <c r="M57" s="497"/>
      <c r="N57" s="497"/>
      <c r="O57" s="497"/>
      <c r="P57" s="497"/>
      <c r="Q57" s="497"/>
      <c r="R57" s="497"/>
      <c r="S57" s="497"/>
      <c r="T57" s="497"/>
      <c r="U57" s="497"/>
      <c r="V57" s="497"/>
      <c r="W57" s="497"/>
      <c r="X57" s="497"/>
      <c r="Y57" s="450">
        <f t="shared" si="27"/>
        <v>113000000</v>
      </c>
      <c r="Z57" s="450">
        <f t="shared" si="27"/>
        <v>95450780</v>
      </c>
      <c r="AA57" s="450">
        <f t="shared" si="27"/>
        <v>95450780</v>
      </c>
      <c r="AB57" s="451">
        <f t="shared" si="27"/>
        <v>88250780</v>
      </c>
      <c r="AC57" s="436"/>
    </row>
    <row r="58" spans="1:29" ht="27.75" customHeight="1" thickTop="1" thickBot="1" x14ac:dyDescent="0.3">
      <c r="A58" s="444"/>
      <c r="B58" s="444"/>
      <c r="C58" s="444"/>
      <c r="D58" s="444"/>
      <c r="E58" s="445"/>
      <c r="F58" s="445"/>
      <c r="G58" s="445"/>
      <c r="H58" s="498" t="s">
        <v>149</v>
      </c>
      <c r="I58" s="448">
        <f>+I59</f>
        <v>500000000</v>
      </c>
      <c r="J58" s="448">
        <f t="shared" ref="J58:X60" si="28">+J59</f>
        <v>462839933</v>
      </c>
      <c r="K58" s="448">
        <f t="shared" si="28"/>
        <v>441168133</v>
      </c>
      <c r="L58" s="448">
        <f t="shared" si="28"/>
        <v>427866133</v>
      </c>
      <c r="M58" s="497">
        <f t="shared" si="28"/>
        <v>0</v>
      </c>
      <c r="N58" s="497">
        <f t="shared" si="28"/>
        <v>0</v>
      </c>
      <c r="O58" s="497">
        <f t="shared" si="28"/>
        <v>0</v>
      </c>
      <c r="P58" s="497">
        <f t="shared" si="28"/>
        <v>0</v>
      </c>
      <c r="Q58" s="497">
        <f t="shared" si="28"/>
        <v>0</v>
      </c>
      <c r="R58" s="497">
        <f t="shared" si="28"/>
        <v>0</v>
      </c>
      <c r="S58" s="497">
        <f t="shared" si="28"/>
        <v>0</v>
      </c>
      <c r="T58" s="497">
        <f t="shared" si="28"/>
        <v>0</v>
      </c>
      <c r="U58" s="497">
        <f t="shared" si="28"/>
        <v>0</v>
      </c>
      <c r="V58" s="497">
        <f t="shared" si="28"/>
        <v>0</v>
      </c>
      <c r="W58" s="497">
        <f t="shared" si="28"/>
        <v>0</v>
      </c>
      <c r="X58" s="497">
        <f t="shared" si="28"/>
        <v>0</v>
      </c>
      <c r="Y58" s="450">
        <f>I58+M58+Q58+U58</f>
        <v>500000000</v>
      </c>
      <c r="Z58" s="450">
        <f>J58+N58+R58+V58</f>
        <v>462839933</v>
      </c>
      <c r="AA58" s="450">
        <f>K58+O58+S58+W58</f>
        <v>441168133</v>
      </c>
      <c r="AB58" s="450">
        <f>L58+P58+T58+X58</f>
        <v>427866133</v>
      </c>
      <c r="AC58" s="450">
        <f>M58+Q58+U58+Y58</f>
        <v>500000000</v>
      </c>
    </row>
    <row r="59" spans="1:29" ht="16.5" thickTop="1" thickBot="1" x14ac:dyDescent="0.3">
      <c r="A59" s="472"/>
      <c r="B59" s="472"/>
      <c r="C59" s="472"/>
      <c r="D59" s="472"/>
      <c r="E59" s="472"/>
      <c r="F59" s="472"/>
      <c r="G59" s="472"/>
      <c r="H59" s="499" t="s">
        <v>779</v>
      </c>
      <c r="I59" s="448">
        <f>+I60</f>
        <v>500000000</v>
      </c>
      <c r="J59" s="448">
        <f t="shared" si="28"/>
        <v>462839933</v>
      </c>
      <c r="K59" s="448">
        <f t="shared" si="28"/>
        <v>441168133</v>
      </c>
      <c r="L59" s="448">
        <f t="shared" si="28"/>
        <v>427866133</v>
      </c>
      <c r="M59" s="492">
        <f t="shared" si="28"/>
        <v>0</v>
      </c>
      <c r="N59" s="492">
        <f t="shared" si="28"/>
        <v>0</v>
      </c>
      <c r="O59" s="492">
        <f t="shared" si="28"/>
        <v>0</v>
      </c>
      <c r="P59" s="492">
        <f t="shared" si="28"/>
        <v>0</v>
      </c>
      <c r="Q59" s="492">
        <f t="shared" si="28"/>
        <v>0</v>
      </c>
      <c r="R59" s="492">
        <f t="shared" si="28"/>
        <v>0</v>
      </c>
      <c r="S59" s="492">
        <f t="shared" si="28"/>
        <v>0</v>
      </c>
      <c r="T59" s="492">
        <f t="shared" si="28"/>
        <v>0</v>
      </c>
      <c r="U59" s="492">
        <f t="shared" si="28"/>
        <v>0</v>
      </c>
      <c r="V59" s="492">
        <f t="shared" si="28"/>
        <v>0</v>
      </c>
      <c r="W59" s="492">
        <f t="shared" si="28"/>
        <v>0</v>
      </c>
      <c r="X59" s="492">
        <f t="shared" si="28"/>
        <v>0</v>
      </c>
      <c r="Y59" s="493">
        <f t="shared" ref="Y59:AB61" si="29">+I59+M59+Q59+U59</f>
        <v>500000000</v>
      </c>
      <c r="Z59" s="493">
        <f t="shared" si="29"/>
        <v>462839933</v>
      </c>
      <c r="AA59" s="493">
        <f t="shared" si="29"/>
        <v>441168133</v>
      </c>
      <c r="AB59" s="494">
        <f t="shared" si="29"/>
        <v>427866133</v>
      </c>
      <c r="AC59" s="436"/>
    </row>
    <row r="60" spans="1:29" ht="16.5" thickTop="1" thickBot="1" x14ac:dyDescent="0.3">
      <c r="A60" s="444"/>
      <c r="B60" s="444"/>
      <c r="C60" s="444"/>
      <c r="D60" s="444"/>
      <c r="E60" s="445"/>
      <c r="F60" s="445"/>
      <c r="G60" s="444"/>
      <c r="H60" s="217" t="s">
        <v>780</v>
      </c>
      <c r="I60" s="448">
        <f>+I61</f>
        <v>500000000</v>
      </c>
      <c r="J60" s="448">
        <f t="shared" si="28"/>
        <v>462839933</v>
      </c>
      <c r="K60" s="448">
        <f t="shared" si="28"/>
        <v>441168133</v>
      </c>
      <c r="L60" s="448">
        <f t="shared" si="28"/>
        <v>427866133</v>
      </c>
      <c r="M60" s="497">
        <f t="shared" si="28"/>
        <v>0</v>
      </c>
      <c r="N60" s="497">
        <f t="shared" si="28"/>
        <v>0</v>
      </c>
      <c r="O60" s="497">
        <f t="shared" si="28"/>
        <v>0</v>
      </c>
      <c r="P60" s="497">
        <f t="shared" si="28"/>
        <v>0</v>
      </c>
      <c r="Q60" s="497">
        <f t="shared" si="28"/>
        <v>0</v>
      </c>
      <c r="R60" s="497">
        <f t="shared" si="28"/>
        <v>0</v>
      </c>
      <c r="S60" s="497">
        <f t="shared" si="28"/>
        <v>0</v>
      </c>
      <c r="T60" s="497">
        <f t="shared" si="28"/>
        <v>0</v>
      </c>
      <c r="U60" s="497">
        <f t="shared" si="28"/>
        <v>0</v>
      </c>
      <c r="V60" s="497">
        <f t="shared" si="28"/>
        <v>0</v>
      </c>
      <c r="W60" s="497">
        <f t="shared" si="28"/>
        <v>0</v>
      </c>
      <c r="X60" s="497">
        <f t="shared" si="28"/>
        <v>0</v>
      </c>
      <c r="Y60" s="450">
        <f t="shared" si="29"/>
        <v>500000000</v>
      </c>
      <c r="Z60" s="450">
        <f t="shared" si="29"/>
        <v>462839933</v>
      </c>
      <c r="AA60" s="450">
        <f t="shared" si="29"/>
        <v>441168133</v>
      </c>
      <c r="AB60" s="451">
        <f t="shared" si="29"/>
        <v>427866133</v>
      </c>
      <c r="AC60" s="436"/>
    </row>
    <row r="61" spans="1:29" ht="16.5" thickTop="1" thickBot="1" x14ac:dyDescent="0.3">
      <c r="A61" s="444"/>
      <c r="B61" s="444"/>
      <c r="C61" s="444"/>
      <c r="D61" s="444"/>
      <c r="E61" s="445"/>
      <c r="F61" s="445"/>
      <c r="G61" s="445"/>
      <c r="H61" s="217" t="s">
        <v>781</v>
      </c>
      <c r="I61" s="448">
        <v>500000000</v>
      </c>
      <c r="J61" s="448">
        <v>462839933</v>
      </c>
      <c r="K61" s="448">
        <v>441168133</v>
      </c>
      <c r="L61" s="448">
        <v>427866133</v>
      </c>
      <c r="M61" s="497"/>
      <c r="N61" s="497"/>
      <c r="O61" s="497"/>
      <c r="P61" s="497"/>
      <c r="Q61" s="497"/>
      <c r="R61" s="497"/>
      <c r="S61" s="497"/>
      <c r="T61" s="497"/>
      <c r="U61" s="497"/>
      <c r="V61" s="497"/>
      <c r="W61" s="497"/>
      <c r="X61" s="497"/>
      <c r="Y61" s="450">
        <f t="shared" si="29"/>
        <v>500000000</v>
      </c>
      <c r="Z61" s="450">
        <f t="shared" si="29"/>
        <v>462839933</v>
      </c>
      <c r="AA61" s="450">
        <f t="shared" si="29"/>
        <v>441168133</v>
      </c>
      <c r="AB61" s="451">
        <f t="shared" si="29"/>
        <v>427866133</v>
      </c>
      <c r="AC61" s="436"/>
    </row>
    <row r="62" spans="1:29" ht="27" customHeight="1" thickTop="1" thickBot="1" x14ac:dyDescent="0.3">
      <c r="A62" s="444"/>
      <c r="B62" s="444"/>
      <c r="C62" s="444"/>
      <c r="D62" s="444"/>
      <c r="E62" s="445"/>
      <c r="F62" s="445"/>
      <c r="G62" s="445"/>
      <c r="H62" s="498" t="s">
        <v>166</v>
      </c>
      <c r="I62" s="448">
        <f>+I63</f>
        <v>300000000</v>
      </c>
      <c r="J62" s="448">
        <f t="shared" ref="J62:X64" si="30">+J63</f>
        <v>80426000</v>
      </c>
      <c r="K62" s="448">
        <f t="shared" si="30"/>
        <v>80426000</v>
      </c>
      <c r="L62" s="448">
        <f t="shared" si="30"/>
        <v>71426053</v>
      </c>
      <c r="M62" s="497">
        <f t="shared" si="30"/>
        <v>0</v>
      </c>
      <c r="N62" s="497">
        <f t="shared" si="30"/>
        <v>0</v>
      </c>
      <c r="O62" s="497">
        <f t="shared" si="30"/>
        <v>0</v>
      </c>
      <c r="P62" s="497">
        <f t="shared" si="30"/>
        <v>0</v>
      </c>
      <c r="Q62" s="497">
        <f t="shared" si="30"/>
        <v>0</v>
      </c>
      <c r="R62" s="497">
        <f t="shared" si="30"/>
        <v>0</v>
      </c>
      <c r="S62" s="497">
        <f t="shared" si="30"/>
        <v>0</v>
      </c>
      <c r="T62" s="497">
        <f t="shared" si="30"/>
        <v>0</v>
      </c>
      <c r="U62" s="497">
        <f t="shared" si="30"/>
        <v>0</v>
      </c>
      <c r="V62" s="497">
        <f t="shared" si="30"/>
        <v>0</v>
      </c>
      <c r="W62" s="497">
        <f t="shared" si="30"/>
        <v>0</v>
      </c>
      <c r="X62" s="497">
        <f t="shared" si="30"/>
        <v>0</v>
      </c>
      <c r="Y62" s="450">
        <f>I62+M62+Q62+U62</f>
        <v>300000000</v>
      </c>
      <c r="Z62" s="450">
        <f>J62+N62+R62+V62</f>
        <v>80426000</v>
      </c>
      <c r="AA62" s="450">
        <f>K62+O62+S62+W62</f>
        <v>80426000</v>
      </c>
      <c r="AB62" s="450">
        <f>L62+P62+T62+X62</f>
        <v>71426053</v>
      </c>
      <c r="AC62" s="450">
        <f>M62+Q62+U62+Y62</f>
        <v>300000000</v>
      </c>
    </row>
    <row r="63" spans="1:29" ht="16.5" thickTop="1" thickBot="1" x14ac:dyDescent="0.3">
      <c r="A63" s="472"/>
      <c r="B63" s="472"/>
      <c r="C63" s="472"/>
      <c r="D63" s="472"/>
      <c r="E63" s="472"/>
      <c r="F63" s="472"/>
      <c r="G63" s="472"/>
      <c r="H63" s="499" t="s">
        <v>779</v>
      </c>
      <c r="I63" s="448">
        <f>+I64</f>
        <v>300000000</v>
      </c>
      <c r="J63" s="448">
        <f t="shared" si="30"/>
        <v>80426000</v>
      </c>
      <c r="K63" s="448">
        <f t="shared" si="30"/>
        <v>80426000</v>
      </c>
      <c r="L63" s="448">
        <f t="shared" si="30"/>
        <v>71426053</v>
      </c>
      <c r="M63" s="492">
        <f t="shared" si="30"/>
        <v>0</v>
      </c>
      <c r="N63" s="492">
        <f t="shared" si="30"/>
        <v>0</v>
      </c>
      <c r="O63" s="492">
        <f t="shared" si="30"/>
        <v>0</v>
      </c>
      <c r="P63" s="492">
        <f t="shared" si="30"/>
        <v>0</v>
      </c>
      <c r="Q63" s="492">
        <f t="shared" si="30"/>
        <v>0</v>
      </c>
      <c r="R63" s="492">
        <f t="shared" si="30"/>
        <v>0</v>
      </c>
      <c r="S63" s="492">
        <f t="shared" si="30"/>
        <v>0</v>
      </c>
      <c r="T63" s="492">
        <f t="shared" si="30"/>
        <v>0</v>
      </c>
      <c r="U63" s="492">
        <f t="shared" si="30"/>
        <v>0</v>
      </c>
      <c r="V63" s="492">
        <f t="shared" si="30"/>
        <v>0</v>
      </c>
      <c r="W63" s="492">
        <f t="shared" si="30"/>
        <v>0</v>
      </c>
      <c r="X63" s="492">
        <f t="shared" si="30"/>
        <v>0</v>
      </c>
      <c r="Y63" s="493">
        <f t="shared" ref="Y63:AB65" si="31">+I63+M63+Q63+U63</f>
        <v>300000000</v>
      </c>
      <c r="Z63" s="493">
        <f t="shared" si="31"/>
        <v>80426000</v>
      </c>
      <c r="AA63" s="493">
        <f t="shared" si="31"/>
        <v>80426000</v>
      </c>
      <c r="AB63" s="494">
        <f t="shared" si="31"/>
        <v>71426053</v>
      </c>
      <c r="AC63" s="436"/>
    </row>
    <row r="64" spans="1:29" ht="16.5" thickTop="1" thickBot="1" x14ac:dyDescent="0.3">
      <c r="A64" s="444"/>
      <c r="B64" s="444"/>
      <c r="C64" s="444"/>
      <c r="D64" s="444"/>
      <c r="E64" s="445"/>
      <c r="F64" s="445"/>
      <c r="G64" s="444"/>
      <c r="H64" s="217" t="s">
        <v>780</v>
      </c>
      <c r="I64" s="448">
        <f>+I65</f>
        <v>300000000</v>
      </c>
      <c r="J64" s="448">
        <f t="shared" si="30"/>
        <v>80426000</v>
      </c>
      <c r="K64" s="448">
        <f t="shared" si="30"/>
        <v>80426000</v>
      </c>
      <c r="L64" s="448">
        <f t="shared" si="30"/>
        <v>71426053</v>
      </c>
      <c r="M64" s="497">
        <f t="shared" si="30"/>
        <v>0</v>
      </c>
      <c r="N64" s="497">
        <f t="shared" si="30"/>
        <v>0</v>
      </c>
      <c r="O64" s="497">
        <f t="shared" si="30"/>
        <v>0</v>
      </c>
      <c r="P64" s="497">
        <f t="shared" si="30"/>
        <v>0</v>
      </c>
      <c r="Q64" s="497">
        <f t="shared" si="30"/>
        <v>0</v>
      </c>
      <c r="R64" s="497">
        <f t="shared" si="30"/>
        <v>0</v>
      </c>
      <c r="S64" s="497">
        <f t="shared" si="30"/>
        <v>0</v>
      </c>
      <c r="T64" s="497">
        <f t="shared" si="30"/>
        <v>0</v>
      </c>
      <c r="U64" s="497">
        <f t="shared" si="30"/>
        <v>0</v>
      </c>
      <c r="V64" s="497">
        <f t="shared" si="30"/>
        <v>0</v>
      </c>
      <c r="W64" s="497">
        <f t="shared" si="30"/>
        <v>0</v>
      </c>
      <c r="X64" s="497">
        <f t="shared" si="30"/>
        <v>0</v>
      </c>
      <c r="Y64" s="450">
        <f t="shared" si="31"/>
        <v>300000000</v>
      </c>
      <c r="Z64" s="450">
        <f t="shared" si="31"/>
        <v>80426000</v>
      </c>
      <c r="AA64" s="450">
        <f t="shared" si="31"/>
        <v>80426000</v>
      </c>
      <c r="AB64" s="451">
        <f t="shared" si="31"/>
        <v>71426053</v>
      </c>
      <c r="AC64" s="436"/>
    </row>
    <row r="65" spans="1:59" ht="16.5" thickTop="1" thickBot="1" x14ac:dyDescent="0.3">
      <c r="A65" s="444"/>
      <c r="B65" s="444"/>
      <c r="C65" s="444"/>
      <c r="D65" s="444"/>
      <c r="E65" s="445"/>
      <c r="F65" s="445"/>
      <c r="G65" s="445"/>
      <c r="H65" s="217" t="s">
        <v>781</v>
      </c>
      <c r="I65" s="448">
        <v>300000000</v>
      </c>
      <c r="J65" s="448">
        <v>80426000</v>
      </c>
      <c r="K65" s="448">
        <v>80426000</v>
      </c>
      <c r="L65" s="448">
        <v>71426053</v>
      </c>
      <c r="M65" s="497"/>
      <c r="N65" s="497"/>
      <c r="O65" s="497"/>
      <c r="P65" s="497"/>
      <c r="Q65" s="497"/>
      <c r="R65" s="497"/>
      <c r="S65" s="497"/>
      <c r="T65" s="497"/>
      <c r="U65" s="497"/>
      <c r="V65" s="497"/>
      <c r="W65" s="497"/>
      <c r="X65" s="497"/>
      <c r="Y65" s="450">
        <f t="shared" si="31"/>
        <v>300000000</v>
      </c>
      <c r="Z65" s="450">
        <f t="shared" si="31"/>
        <v>80426000</v>
      </c>
      <c r="AA65" s="450">
        <f t="shared" si="31"/>
        <v>80426000</v>
      </c>
      <c r="AB65" s="451">
        <f t="shared" si="31"/>
        <v>71426053</v>
      </c>
      <c r="AC65" s="436"/>
    </row>
    <row r="66" spans="1:59" ht="25.5" customHeight="1" thickTop="1" thickBot="1" x14ac:dyDescent="0.3">
      <c r="A66" s="444"/>
      <c r="B66" s="444"/>
      <c r="C66" s="444"/>
      <c r="D66" s="444"/>
      <c r="E66" s="445"/>
      <c r="F66" s="445"/>
      <c r="G66" s="445"/>
      <c r="H66" s="498" t="s">
        <v>183</v>
      </c>
      <c r="I66" s="448">
        <f>+I67</f>
        <v>400000000</v>
      </c>
      <c r="J66" s="448">
        <f t="shared" ref="J66:X68" si="32">+J67</f>
        <v>396862738</v>
      </c>
      <c r="K66" s="448">
        <f t="shared" si="32"/>
        <v>179550605</v>
      </c>
      <c r="L66" s="448">
        <f t="shared" si="32"/>
        <v>172128605</v>
      </c>
      <c r="M66" s="497">
        <f t="shared" si="32"/>
        <v>0</v>
      </c>
      <c r="N66" s="497">
        <f t="shared" si="32"/>
        <v>0</v>
      </c>
      <c r="O66" s="497">
        <f t="shared" si="32"/>
        <v>0</v>
      </c>
      <c r="P66" s="497">
        <f t="shared" si="32"/>
        <v>0</v>
      </c>
      <c r="Q66" s="497">
        <f t="shared" si="32"/>
        <v>0</v>
      </c>
      <c r="R66" s="497">
        <f t="shared" si="32"/>
        <v>0</v>
      </c>
      <c r="S66" s="497">
        <f t="shared" si="32"/>
        <v>0</v>
      </c>
      <c r="T66" s="497">
        <f t="shared" si="32"/>
        <v>0</v>
      </c>
      <c r="U66" s="497">
        <f t="shared" si="32"/>
        <v>0</v>
      </c>
      <c r="V66" s="497">
        <f t="shared" si="32"/>
        <v>0</v>
      </c>
      <c r="W66" s="497">
        <f t="shared" si="32"/>
        <v>0</v>
      </c>
      <c r="X66" s="497">
        <f t="shared" si="32"/>
        <v>0</v>
      </c>
      <c r="Y66" s="450">
        <f>I66+M66+Q66+U66</f>
        <v>400000000</v>
      </c>
      <c r="Z66" s="450">
        <f>J66+N66+R66+V66</f>
        <v>396862738</v>
      </c>
      <c r="AA66" s="450">
        <f>K66+O66+S66+W66</f>
        <v>179550605</v>
      </c>
      <c r="AB66" s="450">
        <f>L66+P66+T66+X66</f>
        <v>172128605</v>
      </c>
      <c r="AC66" s="450">
        <f>M66+Q66+U66+Y66</f>
        <v>400000000</v>
      </c>
    </row>
    <row r="67" spans="1:59" ht="16.5" thickTop="1" thickBot="1" x14ac:dyDescent="0.3">
      <c r="A67" s="472"/>
      <c r="B67" s="472"/>
      <c r="C67" s="472"/>
      <c r="D67" s="472"/>
      <c r="E67" s="472"/>
      <c r="F67" s="472"/>
      <c r="G67" s="472"/>
      <c r="H67" s="499" t="s">
        <v>779</v>
      </c>
      <c r="I67" s="448">
        <f>+I68</f>
        <v>400000000</v>
      </c>
      <c r="J67" s="448">
        <f t="shared" si="32"/>
        <v>396862738</v>
      </c>
      <c r="K67" s="448">
        <f t="shared" si="32"/>
        <v>179550605</v>
      </c>
      <c r="L67" s="448">
        <f t="shared" si="32"/>
        <v>172128605</v>
      </c>
      <c r="M67" s="492">
        <f t="shared" si="32"/>
        <v>0</v>
      </c>
      <c r="N67" s="492">
        <f t="shared" si="32"/>
        <v>0</v>
      </c>
      <c r="O67" s="492">
        <f t="shared" si="32"/>
        <v>0</v>
      </c>
      <c r="P67" s="492">
        <f t="shared" si="32"/>
        <v>0</v>
      </c>
      <c r="Q67" s="492">
        <f t="shared" si="32"/>
        <v>0</v>
      </c>
      <c r="R67" s="492">
        <f t="shared" si="32"/>
        <v>0</v>
      </c>
      <c r="S67" s="492">
        <f t="shared" si="32"/>
        <v>0</v>
      </c>
      <c r="T67" s="492">
        <f t="shared" si="32"/>
        <v>0</v>
      </c>
      <c r="U67" s="492">
        <f t="shared" si="32"/>
        <v>0</v>
      </c>
      <c r="V67" s="492">
        <f t="shared" si="32"/>
        <v>0</v>
      </c>
      <c r="W67" s="492">
        <f t="shared" si="32"/>
        <v>0</v>
      </c>
      <c r="X67" s="492">
        <f t="shared" si="32"/>
        <v>0</v>
      </c>
      <c r="Y67" s="493">
        <f t="shared" ref="Y67:AB70" si="33">+I67+M67+Q67+U67</f>
        <v>400000000</v>
      </c>
      <c r="Z67" s="493">
        <f t="shared" si="33"/>
        <v>396862738</v>
      </c>
      <c r="AA67" s="493">
        <f t="shared" si="33"/>
        <v>179550605</v>
      </c>
      <c r="AB67" s="494">
        <f t="shared" si="33"/>
        <v>172128605</v>
      </c>
      <c r="AC67" s="436"/>
    </row>
    <row r="68" spans="1:59" ht="16.5" thickTop="1" thickBot="1" x14ac:dyDescent="0.3">
      <c r="A68" s="444"/>
      <c r="B68" s="444"/>
      <c r="C68" s="444"/>
      <c r="D68" s="444"/>
      <c r="E68" s="445"/>
      <c r="F68" s="445"/>
      <c r="G68" s="444"/>
      <c r="H68" s="217" t="s">
        <v>780</v>
      </c>
      <c r="I68" s="448">
        <f>+I69</f>
        <v>400000000</v>
      </c>
      <c r="J68" s="448">
        <f t="shared" si="32"/>
        <v>396862738</v>
      </c>
      <c r="K68" s="448">
        <f t="shared" si="32"/>
        <v>179550605</v>
      </c>
      <c r="L68" s="448">
        <f>+L69</f>
        <v>172128605</v>
      </c>
      <c r="M68" s="497">
        <f t="shared" si="32"/>
        <v>0</v>
      </c>
      <c r="N68" s="497">
        <f t="shared" si="32"/>
        <v>0</v>
      </c>
      <c r="O68" s="497">
        <f t="shared" si="32"/>
        <v>0</v>
      </c>
      <c r="P68" s="497">
        <f t="shared" si="32"/>
        <v>0</v>
      </c>
      <c r="Q68" s="497">
        <f t="shared" si="32"/>
        <v>0</v>
      </c>
      <c r="R68" s="497">
        <f t="shared" si="32"/>
        <v>0</v>
      </c>
      <c r="S68" s="497">
        <f t="shared" si="32"/>
        <v>0</v>
      </c>
      <c r="T68" s="497">
        <f t="shared" si="32"/>
        <v>0</v>
      </c>
      <c r="U68" s="497">
        <f t="shared" si="32"/>
        <v>0</v>
      </c>
      <c r="V68" s="497">
        <f t="shared" si="32"/>
        <v>0</v>
      </c>
      <c r="W68" s="497">
        <f t="shared" si="32"/>
        <v>0</v>
      </c>
      <c r="X68" s="497">
        <f t="shared" si="32"/>
        <v>0</v>
      </c>
      <c r="Y68" s="450">
        <f t="shared" si="33"/>
        <v>400000000</v>
      </c>
      <c r="Z68" s="450">
        <f t="shared" si="33"/>
        <v>396862738</v>
      </c>
      <c r="AA68" s="450">
        <f t="shared" si="33"/>
        <v>179550605</v>
      </c>
      <c r="AB68" s="451">
        <f t="shared" si="33"/>
        <v>172128605</v>
      </c>
      <c r="AC68" s="436"/>
    </row>
    <row r="69" spans="1:59" ht="16.5" thickTop="1" thickBot="1" x14ac:dyDescent="0.3">
      <c r="A69" s="444"/>
      <c r="B69" s="444"/>
      <c r="C69" s="444"/>
      <c r="D69" s="444"/>
      <c r="E69" s="445"/>
      <c r="F69" s="445"/>
      <c r="G69" s="445"/>
      <c r="H69" s="217" t="s">
        <v>781</v>
      </c>
      <c r="I69" s="448">
        <v>400000000</v>
      </c>
      <c r="J69" s="448">
        <v>396862738</v>
      </c>
      <c r="K69" s="448">
        <v>179550605</v>
      </c>
      <c r="L69" s="448">
        <v>172128605</v>
      </c>
      <c r="M69" s="497"/>
      <c r="N69" s="497"/>
      <c r="O69" s="497"/>
      <c r="P69" s="497"/>
      <c r="Q69" s="497"/>
      <c r="R69" s="497"/>
      <c r="S69" s="497"/>
      <c r="T69" s="497"/>
      <c r="U69" s="497"/>
      <c r="V69" s="497"/>
      <c r="W69" s="497"/>
      <c r="X69" s="497"/>
      <c r="Y69" s="450">
        <f t="shared" si="33"/>
        <v>400000000</v>
      </c>
      <c r="Z69" s="450">
        <f t="shared" si="33"/>
        <v>396862738</v>
      </c>
      <c r="AA69" s="450">
        <f t="shared" si="33"/>
        <v>179550605</v>
      </c>
      <c r="AB69" s="451">
        <f t="shared" si="33"/>
        <v>172128605</v>
      </c>
      <c r="AC69" s="436"/>
    </row>
    <row r="70" spans="1:59" ht="24.75" customHeight="1" thickTop="1" thickBot="1" x14ac:dyDescent="0.3">
      <c r="A70" s="472"/>
      <c r="B70" s="472"/>
      <c r="C70" s="472"/>
      <c r="D70" s="472"/>
      <c r="E70" s="472"/>
      <c r="F70" s="472"/>
      <c r="G70" s="472"/>
      <c r="H70" s="498" t="s">
        <v>198</v>
      </c>
      <c r="I70" s="448">
        <f>+I71</f>
        <v>2750000000</v>
      </c>
      <c r="J70" s="448">
        <f t="shared" ref="J70:X72" si="34">+J71</f>
        <v>2703373304</v>
      </c>
      <c r="K70" s="448">
        <f t="shared" si="34"/>
        <v>46415591</v>
      </c>
      <c r="L70" s="448">
        <f t="shared" si="34"/>
        <v>46415591</v>
      </c>
      <c r="M70" s="492">
        <f t="shared" si="34"/>
        <v>0</v>
      </c>
      <c r="N70" s="492">
        <f t="shared" si="34"/>
        <v>0</v>
      </c>
      <c r="O70" s="492">
        <f t="shared" si="34"/>
        <v>0</v>
      </c>
      <c r="P70" s="492">
        <f t="shared" si="34"/>
        <v>0</v>
      </c>
      <c r="Q70" s="492">
        <f t="shared" si="34"/>
        <v>0</v>
      </c>
      <c r="R70" s="492">
        <f t="shared" si="34"/>
        <v>0</v>
      </c>
      <c r="S70" s="492">
        <f t="shared" si="34"/>
        <v>0</v>
      </c>
      <c r="T70" s="492">
        <f t="shared" si="34"/>
        <v>0</v>
      </c>
      <c r="U70" s="492">
        <f t="shared" si="34"/>
        <v>0</v>
      </c>
      <c r="V70" s="492">
        <f t="shared" si="34"/>
        <v>0</v>
      </c>
      <c r="W70" s="492">
        <f t="shared" si="34"/>
        <v>0</v>
      </c>
      <c r="X70" s="492">
        <f t="shared" si="34"/>
        <v>0</v>
      </c>
      <c r="Y70" s="493">
        <f t="shared" si="11"/>
        <v>2750000000</v>
      </c>
      <c r="Z70" s="493">
        <f t="shared" si="33"/>
        <v>2703373304</v>
      </c>
      <c r="AA70" s="493">
        <f t="shared" si="33"/>
        <v>46415591</v>
      </c>
      <c r="AB70" s="493">
        <f t="shared" si="33"/>
        <v>46415591</v>
      </c>
      <c r="AC70" s="436"/>
    </row>
    <row r="71" spans="1:59" ht="16.5" thickTop="1" thickBot="1" x14ac:dyDescent="0.3">
      <c r="A71" s="472"/>
      <c r="B71" s="472"/>
      <c r="C71" s="472"/>
      <c r="D71" s="472"/>
      <c r="E71" s="472"/>
      <c r="F71" s="472"/>
      <c r="G71" s="472"/>
      <c r="H71" s="499" t="s">
        <v>779</v>
      </c>
      <c r="I71" s="448">
        <f>+I72</f>
        <v>2750000000</v>
      </c>
      <c r="J71" s="448">
        <f>+J72</f>
        <v>2703373304</v>
      </c>
      <c r="K71" s="448">
        <f>+K72</f>
        <v>46415591</v>
      </c>
      <c r="L71" s="448">
        <f>+L72</f>
        <v>46415591</v>
      </c>
      <c r="M71" s="492">
        <f t="shared" si="34"/>
        <v>0</v>
      </c>
      <c r="N71" s="492">
        <f t="shared" si="34"/>
        <v>0</v>
      </c>
      <c r="O71" s="492">
        <f t="shared" si="34"/>
        <v>0</v>
      </c>
      <c r="P71" s="492">
        <f t="shared" si="34"/>
        <v>0</v>
      </c>
      <c r="Q71" s="492">
        <f t="shared" si="34"/>
        <v>0</v>
      </c>
      <c r="R71" s="492">
        <f t="shared" si="34"/>
        <v>0</v>
      </c>
      <c r="S71" s="492">
        <f t="shared" si="34"/>
        <v>0</v>
      </c>
      <c r="T71" s="492">
        <f t="shared" si="34"/>
        <v>0</v>
      </c>
      <c r="U71" s="492">
        <f t="shared" si="34"/>
        <v>0</v>
      </c>
      <c r="V71" s="492">
        <f t="shared" si="34"/>
        <v>0</v>
      </c>
      <c r="W71" s="492">
        <f t="shared" si="34"/>
        <v>0</v>
      </c>
      <c r="X71" s="492">
        <f t="shared" si="34"/>
        <v>0</v>
      </c>
      <c r="Y71" s="493">
        <f t="shared" si="11"/>
        <v>2750000000</v>
      </c>
      <c r="Z71" s="493">
        <f t="shared" si="11"/>
        <v>2703373304</v>
      </c>
      <c r="AA71" s="493">
        <f t="shared" si="11"/>
        <v>46415591</v>
      </c>
      <c r="AB71" s="494">
        <f t="shared" si="11"/>
        <v>46415591</v>
      </c>
      <c r="AC71" s="436"/>
    </row>
    <row r="72" spans="1:59" ht="16.5" thickTop="1" thickBot="1" x14ac:dyDescent="0.3">
      <c r="A72" s="444"/>
      <c r="B72" s="444"/>
      <c r="C72" s="444"/>
      <c r="D72" s="444"/>
      <c r="E72" s="445"/>
      <c r="F72" s="445"/>
      <c r="G72" s="444"/>
      <c r="H72" s="217" t="s">
        <v>780</v>
      </c>
      <c r="I72" s="448">
        <f>+I73</f>
        <v>2750000000</v>
      </c>
      <c r="J72" s="448">
        <f>+J73</f>
        <v>2703373304</v>
      </c>
      <c r="K72" s="448">
        <f>+K73</f>
        <v>46415591</v>
      </c>
      <c r="L72" s="448">
        <f t="shared" si="34"/>
        <v>46415591</v>
      </c>
      <c r="M72" s="497">
        <f t="shared" si="34"/>
        <v>0</v>
      </c>
      <c r="N72" s="497">
        <f t="shared" si="34"/>
        <v>0</v>
      </c>
      <c r="O72" s="497">
        <f t="shared" si="34"/>
        <v>0</v>
      </c>
      <c r="P72" s="497">
        <f t="shared" si="34"/>
        <v>0</v>
      </c>
      <c r="Q72" s="497">
        <f t="shared" si="34"/>
        <v>0</v>
      </c>
      <c r="R72" s="497">
        <f t="shared" si="34"/>
        <v>0</v>
      </c>
      <c r="S72" s="497">
        <f t="shared" si="34"/>
        <v>0</v>
      </c>
      <c r="T72" s="497">
        <f t="shared" si="34"/>
        <v>0</v>
      </c>
      <c r="U72" s="497">
        <f t="shared" si="34"/>
        <v>0</v>
      </c>
      <c r="V72" s="497">
        <f t="shared" si="34"/>
        <v>0</v>
      </c>
      <c r="W72" s="497">
        <f t="shared" si="34"/>
        <v>0</v>
      </c>
      <c r="X72" s="497">
        <f t="shared" si="34"/>
        <v>0</v>
      </c>
      <c r="Y72" s="450">
        <f t="shared" si="11"/>
        <v>2750000000</v>
      </c>
      <c r="Z72" s="450">
        <f t="shared" si="11"/>
        <v>2703373304</v>
      </c>
      <c r="AA72" s="450">
        <f t="shared" si="11"/>
        <v>46415591</v>
      </c>
      <c r="AB72" s="451">
        <f t="shared" si="11"/>
        <v>46415591</v>
      </c>
      <c r="AC72" s="436"/>
    </row>
    <row r="73" spans="1:59" ht="16.5" thickTop="1" thickBot="1" x14ac:dyDescent="0.3">
      <c r="A73" s="444"/>
      <c r="B73" s="444"/>
      <c r="C73" s="444"/>
      <c r="D73" s="444"/>
      <c r="E73" s="445"/>
      <c r="F73" s="445"/>
      <c r="G73" s="445"/>
      <c r="H73" s="217" t="s">
        <v>781</v>
      </c>
      <c r="I73" s="448">
        <v>2750000000</v>
      </c>
      <c r="J73" s="448">
        <v>2703373304</v>
      </c>
      <c r="K73" s="448">
        <v>46415591</v>
      </c>
      <c r="L73" s="448">
        <v>46415591</v>
      </c>
      <c r="M73" s="497"/>
      <c r="N73" s="497"/>
      <c r="O73" s="497"/>
      <c r="P73" s="497"/>
      <c r="Q73" s="497"/>
      <c r="R73" s="497"/>
      <c r="S73" s="497"/>
      <c r="T73" s="497"/>
      <c r="U73" s="497"/>
      <c r="V73" s="497"/>
      <c r="W73" s="497"/>
      <c r="X73" s="497"/>
      <c r="Y73" s="450">
        <f t="shared" si="11"/>
        <v>2750000000</v>
      </c>
      <c r="Z73" s="450">
        <f t="shared" si="11"/>
        <v>2703373304</v>
      </c>
      <c r="AA73" s="450">
        <f t="shared" si="11"/>
        <v>46415591</v>
      </c>
      <c r="AB73" s="451">
        <f t="shared" si="11"/>
        <v>46415591</v>
      </c>
      <c r="AC73" s="436"/>
    </row>
    <row r="74" spans="1:59" s="484" customFormat="1" ht="24.75" customHeight="1" thickTop="1" thickBot="1" x14ac:dyDescent="0.3">
      <c r="H74" s="216" t="s">
        <v>221</v>
      </c>
      <c r="I74" s="500">
        <f>+I75+I79+I83</f>
        <v>1540000000</v>
      </c>
      <c r="J74" s="500">
        <f t="shared" ref="J74:AB74" si="35">+J75+J79+J83</f>
        <v>848418590</v>
      </c>
      <c r="K74" s="500">
        <f t="shared" si="35"/>
        <v>435090658</v>
      </c>
      <c r="L74" s="500">
        <f t="shared" si="35"/>
        <v>435090658</v>
      </c>
      <c r="M74" s="501">
        <f>+M75+M79+M83</f>
        <v>25170193492</v>
      </c>
      <c r="N74" s="501">
        <f>+N75+N79+N83</f>
        <v>25167687367</v>
      </c>
      <c r="O74" s="501">
        <f>+O75+O79+O83</f>
        <v>11871578109</v>
      </c>
      <c r="P74" s="501">
        <f>+P75+P79+P83</f>
        <v>11871578109</v>
      </c>
      <c r="Q74" s="501">
        <f t="shared" si="35"/>
        <v>0</v>
      </c>
      <c r="R74" s="501">
        <f t="shared" si="35"/>
        <v>0</v>
      </c>
      <c r="S74" s="501">
        <f t="shared" si="35"/>
        <v>0</v>
      </c>
      <c r="T74" s="501">
        <f t="shared" si="35"/>
        <v>0</v>
      </c>
      <c r="U74" s="563">
        <f t="shared" si="35"/>
        <v>2273187556</v>
      </c>
      <c r="V74" s="501">
        <f t="shared" si="35"/>
        <v>2273021315.96</v>
      </c>
      <c r="W74" s="501">
        <f t="shared" si="35"/>
        <v>2256535598.96</v>
      </c>
      <c r="X74" s="501">
        <f t="shared" si="35"/>
        <v>2256535598.96</v>
      </c>
      <c r="Y74" s="502">
        <f t="shared" si="35"/>
        <v>28983381048</v>
      </c>
      <c r="Z74" s="502">
        <f t="shared" si="35"/>
        <v>28289127272.959999</v>
      </c>
      <c r="AA74" s="502">
        <f t="shared" si="35"/>
        <v>14563204365.959999</v>
      </c>
      <c r="AB74" s="502">
        <f t="shared" si="35"/>
        <v>14563204365.959999</v>
      </c>
      <c r="AC74" s="436"/>
      <c r="AD74"/>
      <c r="AE74"/>
      <c r="AF74"/>
      <c r="AG74"/>
      <c r="AH74"/>
      <c r="AI74"/>
      <c r="AJ74"/>
      <c r="AK74"/>
      <c r="AL74"/>
      <c r="AM74"/>
      <c r="AN74"/>
      <c r="AO74"/>
      <c r="AP74"/>
      <c r="AQ74"/>
      <c r="AR74"/>
      <c r="AS74"/>
      <c r="AT74"/>
      <c r="AU74"/>
      <c r="AV74"/>
      <c r="AW74"/>
      <c r="AX74"/>
      <c r="AY74"/>
      <c r="AZ74"/>
      <c r="BA74"/>
      <c r="BB74"/>
      <c r="BC74"/>
      <c r="BD74"/>
      <c r="BE74"/>
      <c r="BF74"/>
      <c r="BG74"/>
    </row>
    <row r="75" spans="1:59" s="472" customFormat="1" ht="29.25" customHeight="1" thickTop="1" thickBot="1" x14ac:dyDescent="0.3">
      <c r="H75" s="498" t="s">
        <v>222</v>
      </c>
      <c r="I75" s="448">
        <f>+I76</f>
        <v>500000000</v>
      </c>
      <c r="J75" s="448">
        <f t="shared" ref="J75:X77" si="36">+J76</f>
        <v>173216500</v>
      </c>
      <c r="K75" s="448">
        <f t="shared" si="36"/>
        <v>73216500</v>
      </c>
      <c r="L75" s="448">
        <f t="shared" si="36"/>
        <v>73216500</v>
      </c>
      <c r="M75" s="492">
        <f t="shared" si="36"/>
        <v>0</v>
      </c>
      <c r="N75" s="492">
        <f t="shared" si="36"/>
        <v>0</v>
      </c>
      <c r="O75" s="492">
        <f t="shared" si="36"/>
        <v>0</v>
      </c>
      <c r="P75" s="492">
        <f t="shared" si="36"/>
        <v>0</v>
      </c>
      <c r="Q75" s="492">
        <f t="shared" si="36"/>
        <v>0</v>
      </c>
      <c r="R75" s="492">
        <f t="shared" si="36"/>
        <v>0</v>
      </c>
      <c r="S75" s="492">
        <f t="shared" si="36"/>
        <v>0</v>
      </c>
      <c r="T75" s="492">
        <f t="shared" si="36"/>
        <v>0</v>
      </c>
      <c r="U75" s="492">
        <f t="shared" si="36"/>
        <v>2273187556</v>
      </c>
      <c r="V75" s="492">
        <f t="shared" si="36"/>
        <v>2273021315.96</v>
      </c>
      <c r="W75" s="492">
        <f t="shared" si="36"/>
        <v>2256535598.96</v>
      </c>
      <c r="X75" s="492">
        <f t="shared" si="36"/>
        <v>2256535598.96</v>
      </c>
      <c r="Y75" s="493">
        <f t="shared" si="11"/>
        <v>2773187556</v>
      </c>
      <c r="Z75" s="493">
        <f t="shared" si="11"/>
        <v>2446237815.96</v>
      </c>
      <c r="AA75" s="493">
        <f t="shared" si="11"/>
        <v>2329752098.96</v>
      </c>
      <c r="AB75" s="493">
        <f t="shared" si="11"/>
        <v>2329752098.96</v>
      </c>
      <c r="AC75" s="436"/>
      <c r="AD75"/>
      <c r="AE75"/>
      <c r="AF75"/>
      <c r="AG75"/>
      <c r="AH75"/>
      <c r="AI75"/>
      <c r="AJ75"/>
      <c r="AK75"/>
      <c r="AL75"/>
      <c r="AM75"/>
      <c r="AN75"/>
      <c r="AO75"/>
      <c r="AP75"/>
      <c r="AQ75"/>
      <c r="AR75"/>
      <c r="AS75"/>
      <c r="AT75"/>
      <c r="AU75"/>
      <c r="AV75"/>
      <c r="AW75"/>
      <c r="AX75"/>
      <c r="AY75"/>
      <c r="AZ75"/>
      <c r="BA75"/>
      <c r="BB75"/>
      <c r="BC75"/>
      <c r="BD75"/>
      <c r="BE75"/>
      <c r="BF75"/>
      <c r="BG75"/>
    </row>
    <row r="76" spans="1:59" ht="16.5" thickTop="1" thickBot="1" x14ac:dyDescent="0.3">
      <c r="A76" s="472"/>
      <c r="B76" s="472"/>
      <c r="C76" s="472"/>
      <c r="D76" s="472"/>
      <c r="E76" s="472"/>
      <c r="F76" s="472"/>
      <c r="G76" s="472"/>
      <c r="H76" s="499" t="s">
        <v>779</v>
      </c>
      <c r="I76" s="448">
        <f>+I77</f>
        <v>500000000</v>
      </c>
      <c r="J76" s="448">
        <f t="shared" si="36"/>
        <v>173216500</v>
      </c>
      <c r="K76" s="448">
        <f t="shared" si="36"/>
        <v>73216500</v>
      </c>
      <c r="L76" s="448">
        <f t="shared" si="36"/>
        <v>73216500</v>
      </c>
      <c r="M76" s="492">
        <f t="shared" si="36"/>
        <v>0</v>
      </c>
      <c r="N76" s="492">
        <f t="shared" si="36"/>
        <v>0</v>
      </c>
      <c r="O76" s="492">
        <f t="shared" si="36"/>
        <v>0</v>
      </c>
      <c r="P76" s="492">
        <f t="shared" si="36"/>
        <v>0</v>
      </c>
      <c r="Q76" s="492">
        <f t="shared" si="36"/>
        <v>0</v>
      </c>
      <c r="R76" s="492">
        <f t="shared" si="36"/>
        <v>0</v>
      </c>
      <c r="S76" s="492">
        <f t="shared" si="36"/>
        <v>0</v>
      </c>
      <c r="T76" s="492">
        <f t="shared" si="36"/>
        <v>0</v>
      </c>
      <c r="U76" s="492">
        <f t="shared" si="36"/>
        <v>2273187556</v>
      </c>
      <c r="V76" s="492">
        <f t="shared" si="36"/>
        <v>2273021315.96</v>
      </c>
      <c r="W76" s="492">
        <f t="shared" si="36"/>
        <v>2256535598.96</v>
      </c>
      <c r="X76" s="492">
        <f t="shared" si="36"/>
        <v>2256535598.96</v>
      </c>
      <c r="Y76" s="493">
        <f t="shared" si="11"/>
        <v>2773187556</v>
      </c>
      <c r="Z76" s="493">
        <f t="shared" si="11"/>
        <v>2446237815.96</v>
      </c>
      <c r="AA76" s="493">
        <f t="shared" si="11"/>
        <v>2329752098.96</v>
      </c>
      <c r="AB76" s="494">
        <f t="shared" si="11"/>
        <v>2329752098.96</v>
      </c>
      <c r="AC76" s="436"/>
    </row>
    <row r="77" spans="1:59" ht="16.5" thickTop="1" thickBot="1" x14ac:dyDescent="0.3">
      <c r="A77" s="444"/>
      <c r="B77" s="444"/>
      <c r="C77" s="444"/>
      <c r="D77" s="444"/>
      <c r="E77" s="445"/>
      <c r="F77" s="445"/>
      <c r="G77" s="444"/>
      <c r="H77" s="217" t="s">
        <v>780</v>
      </c>
      <c r="I77" s="448">
        <f>+I78</f>
        <v>500000000</v>
      </c>
      <c r="J77" s="448">
        <f t="shared" si="36"/>
        <v>173216500</v>
      </c>
      <c r="K77" s="448">
        <f t="shared" si="36"/>
        <v>73216500</v>
      </c>
      <c r="L77" s="448">
        <f t="shared" si="36"/>
        <v>73216500</v>
      </c>
      <c r="M77" s="497">
        <f t="shared" si="36"/>
        <v>0</v>
      </c>
      <c r="N77" s="497">
        <f t="shared" si="36"/>
        <v>0</v>
      </c>
      <c r="O77" s="497">
        <f t="shared" si="36"/>
        <v>0</v>
      </c>
      <c r="P77" s="497">
        <f t="shared" si="36"/>
        <v>0</v>
      </c>
      <c r="Q77" s="497">
        <f t="shared" si="36"/>
        <v>0</v>
      </c>
      <c r="R77" s="497">
        <f t="shared" si="36"/>
        <v>0</v>
      </c>
      <c r="S77" s="497">
        <f t="shared" si="36"/>
        <v>0</v>
      </c>
      <c r="T77" s="497">
        <f t="shared" si="36"/>
        <v>0</v>
      </c>
      <c r="U77" s="535">
        <v>2273187556</v>
      </c>
      <c r="V77" s="535">
        <v>2273021315.96</v>
      </c>
      <c r="W77" s="535">
        <v>2256535598.96</v>
      </c>
      <c r="X77" s="535">
        <v>2256535598.96</v>
      </c>
      <c r="Y77" s="450">
        <f t="shared" si="11"/>
        <v>2773187556</v>
      </c>
      <c r="Z77" s="450">
        <f t="shared" si="11"/>
        <v>2446237815.96</v>
      </c>
      <c r="AA77" s="450">
        <f t="shared" si="11"/>
        <v>2329752098.96</v>
      </c>
      <c r="AB77" s="451">
        <f t="shared" si="11"/>
        <v>2329752098.96</v>
      </c>
      <c r="AC77" s="436"/>
    </row>
    <row r="78" spans="1:59" ht="16.5" thickTop="1" thickBot="1" x14ac:dyDescent="0.3">
      <c r="A78" s="444"/>
      <c r="B78" s="444"/>
      <c r="C78" s="444"/>
      <c r="D78" s="444"/>
      <c r="E78" s="445"/>
      <c r="F78" s="445"/>
      <c r="G78" s="445"/>
      <c r="H78" s="217" t="s">
        <v>781</v>
      </c>
      <c r="I78" s="448">
        <v>500000000</v>
      </c>
      <c r="J78" s="448">
        <v>173216500</v>
      </c>
      <c r="K78" s="448">
        <v>73216500</v>
      </c>
      <c r="L78" s="448">
        <v>73216500</v>
      </c>
      <c r="M78" s="497"/>
      <c r="N78" s="497"/>
      <c r="O78" s="497"/>
      <c r="P78" s="497"/>
      <c r="Q78" s="497"/>
      <c r="R78" s="497"/>
      <c r="S78" s="497"/>
      <c r="T78" s="497"/>
      <c r="U78" s="535">
        <v>2273187556</v>
      </c>
      <c r="V78" s="535">
        <v>2273021315.96</v>
      </c>
      <c r="W78" s="535">
        <v>2256535598.96</v>
      </c>
      <c r="X78" s="535">
        <v>2256535598.96</v>
      </c>
      <c r="Y78" s="450">
        <f>+I78+M78+Q78+U78</f>
        <v>2773187556</v>
      </c>
      <c r="Z78" s="450">
        <f>+J78+N78+R78+V78</f>
        <v>2446237815.96</v>
      </c>
      <c r="AA78" s="450">
        <f>+K78+O78+S78+W78</f>
        <v>2329752098.96</v>
      </c>
      <c r="AB78" s="451">
        <f>+L78+P78+T78+X78</f>
        <v>2329752098.96</v>
      </c>
      <c r="AC78" s="436"/>
    </row>
    <row r="79" spans="1:59" ht="24" customHeight="1" thickTop="1" thickBot="1" x14ac:dyDescent="0.3">
      <c r="A79" s="444"/>
      <c r="B79" s="444"/>
      <c r="C79" s="446"/>
      <c r="D79" s="444"/>
      <c r="E79" s="445"/>
      <c r="F79" s="445"/>
      <c r="G79" s="444"/>
      <c r="H79" s="498" t="s">
        <v>232</v>
      </c>
      <c r="I79" s="448">
        <f>+I80</f>
        <v>240000000</v>
      </c>
      <c r="J79" s="448">
        <f t="shared" ref="J79:X81" si="37">+J80</f>
        <v>191237500</v>
      </c>
      <c r="K79" s="448">
        <f t="shared" si="37"/>
        <v>191237500</v>
      </c>
      <c r="L79" s="448">
        <f t="shared" si="37"/>
        <v>191237500</v>
      </c>
      <c r="M79" s="497">
        <f t="shared" si="37"/>
        <v>0</v>
      </c>
      <c r="N79" s="497">
        <f t="shared" si="37"/>
        <v>0</v>
      </c>
      <c r="O79" s="497">
        <f t="shared" si="37"/>
        <v>0</v>
      </c>
      <c r="P79" s="497">
        <f t="shared" si="37"/>
        <v>0</v>
      </c>
      <c r="Q79" s="497">
        <f t="shared" si="37"/>
        <v>0</v>
      </c>
      <c r="R79" s="497">
        <f t="shared" si="37"/>
        <v>0</v>
      </c>
      <c r="S79" s="497">
        <f t="shared" si="37"/>
        <v>0</v>
      </c>
      <c r="T79" s="497">
        <f t="shared" si="37"/>
        <v>0</v>
      </c>
      <c r="U79" s="497">
        <f t="shared" si="37"/>
        <v>0</v>
      </c>
      <c r="V79" s="497">
        <f t="shared" si="37"/>
        <v>0</v>
      </c>
      <c r="W79" s="497">
        <f t="shared" si="37"/>
        <v>0</v>
      </c>
      <c r="X79" s="497">
        <f t="shared" si="37"/>
        <v>0</v>
      </c>
      <c r="Y79" s="450">
        <f>I79+M79+Q79+U79</f>
        <v>240000000</v>
      </c>
      <c r="Z79" s="450">
        <f>J79+N79+R79+V79</f>
        <v>191237500</v>
      </c>
      <c r="AA79" s="450">
        <f>K79+O79+S79+W79</f>
        <v>191237500</v>
      </c>
      <c r="AB79" s="450">
        <f>L79+P79+T79+X79</f>
        <v>191237500</v>
      </c>
      <c r="AC79" s="436"/>
    </row>
    <row r="80" spans="1:59" ht="16.5" thickTop="1" thickBot="1" x14ac:dyDescent="0.3">
      <c r="A80" s="472"/>
      <c r="B80" s="472"/>
      <c r="C80" s="472"/>
      <c r="D80" s="472"/>
      <c r="E80" s="472"/>
      <c r="F80" s="472"/>
      <c r="G80" s="472"/>
      <c r="H80" s="499" t="s">
        <v>779</v>
      </c>
      <c r="I80" s="448">
        <f>+I81</f>
        <v>240000000</v>
      </c>
      <c r="J80" s="448">
        <f t="shared" si="37"/>
        <v>191237500</v>
      </c>
      <c r="K80" s="448">
        <f t="shared" si="37"/>
        <v>191237500</v>
      </c>
      <c r="L80" s="448">
        <f t="shared" si="37"/>
        <v>191237500</v>
      </c>
      <c r="M80" s="492">
        <f t="shared" si="37"/>
        <v>0</v>
      </c>
      <c r="N80" s="492">
        <f t="shared" si="37"/>
        <v>0</v>
      </c>
      <c r="O80" s="492">
        <f t="shared" si="37"/>
        <v>0</v>
      </c>
      <c r="P80" s="492">
        <f t="shared" si="37"/>
        <v>0</v>
      </c>
      <c r="Q80" s="492">
        <f t="shared" si="37"/>
        <v>0</v>
      </c>
      <c r="R80" s="492">
        <f t="shared" si="37"/>
        <v>0</v>
      </c>
      <c r="S80" s="492">
        <f t="shared" si="37"/>
        <v>0</v>
      </c>
      <c r="T80" s="492">
        <f t="shared" si="37"/>
        <v>0</v>
      </c>
      <c r="U80" s="492">
        <f t="shared" si="37"/>
        <v>0</v>
      </c>
      <c r="V80" s="492">
        <f t="shared" si="37"/>
        <v>0</v>
      </c>
      <c r="W80" s="492">
        <f t="shared" si="37"/>
        <v>0</v>
      </c>
      <c r="X80" s="492">
        <f t="shared" si="37"/>
        <v>0</v>
      </c>
      <c r="Y80" s="493">
        <f t="shared" ref="Y80:AB82" si="38">+I80+M80+Q80+U80</f>
        <v>240000000</v>
      </c>
      <c r="Z80" s="493">
        <f t="shared" si="38"/>
        <v>191237500</v>
      </c>
      <c r="AA80" s="493">
        <f t="shared" si="38"/>
        <v>191237500</v>
      </c>
      <c r="AB80" s="494">
        <f t="shared" si="38"/>
        <v>191237500</v>
      </c>
      <c r="AC80" s="436"/>
    </row>
    <row r="81" spans="1:29" ht="16.5" thickTop="1" thickBot="1" x14ac:dyDescent="0.3">
      <c r="A81" s="444"/>
      <c r="B81" s="444"/>
      <c r="C81" s="444"/>
      <c r="D81" s="444"/>
      <c r="E81" s="445"/>
      <c r="F81" s="445"/>
      <c r="G81" s="444"/>
      <c r="H81" s="217" t="s">
        <v>780</v>
      </c>
      <c r="I81" s="448">
        <f>+I82</f>
        <v>240000000</v>
      </c>
      <c r="J81" s="448">
        <f t="shared" si="37"/>
        <v>191237500</v>
      </c>
      <c r="K81" s="448">
        <f t="shared" si="37"/>
        <v>191237500</v>
      </c>
      <c r="L81" s="448">
        <f t="shared" si="37"/>
        <v>191237500</v>
      </c>
      <c r="M81" s="497">
        <f t="shared" si="37"/>
        <v>0</v>
      </c>
      <c r="N81" s="497">
        <f t="shared" si="37"/>
        <v>0</v>
      </c>
      <c r="O81" s="497">
        <f t="shared" si="37"/>
        <v>0</v>
      </c>
      <c r="P81" s="497">
        <f t="shared" si="37"/>
        <v>0</v>
      </c>
      <c r="Q81" s="497">
        <f t="shared" si="37"/>
        <v>0</v>
      </c>
      <c r="R81" s="497">
        <f t="shared" si="37"/>
        <v>0</v>
      </c>
      <c r="S81" s="497">
        <f t="shared" si="37"/>
        <v>0</v>
      </c>
      <c r="T81" s="497">
        <f t="shared" si="37"/>
        <v>0</v>
      </c>
      <c r="U81" s="497">
        <f t="shared" si="37"/>
        <v>0</v>
      </c>
      <c r="V81" s="497">
        <f t="shared" si="37"/>
        <v>0</v>
      </c>
      <c r="W81" s="497">
        <f t="shared" si="37"/>
        <v>0</v>
      </c>
      <c r="X81" s="497">
        <f t="shared" si="37"/>
        <v>0</v>
      </c>
      <c r="Y81" s="450">
        <f t="shared" si="38"/>
        <v>240000000</v>
      </c>
      <c r="Z81" s="450">
        <f t="shared" si="38"/>
        <v>191237500</v>
      </c>
      <c r="AA81" s="450">
        <f t="shared" si="38"/>
        <v>191237500</v>
      </c>
      <c r="AB81" s="451">
        <f t="shared" si="38"/>
        <v>191237500</v>
      </c>
      <c r="AC81" s="436"/>
    </row>
    <row r="82" spans="1:29" ht="16.5" thickTop="1" thickBot="1" x14ac:dyDescent="0.3">
      <c r="A82" s="444"/>
      <c r="B82" s="444"/>
      <c r="C82" s="444"/>
      <c r="D82" s="444"/>
      <c r="E82" s="445"/>
      <c r="F82" s="445"/>
      <c r="G82" s="445"/>
      <c r="H82" s="217" t="s">
        <v>781</v>
      </c>
      <c r="I82" s="448">
        <v>240000000</v>
      </c>
      <c r="J82" s="448">
        <v>191237500</v>
      </c>
      <c r="K82" s="448">
        <v>191237500</v>
      </c>
      <c r="L82" s="448">
        <v>191237500</v>
      </c>
      <c r="M82" s="497"/>
      <c r="N82" s="497"/>
      <c r="O82" s="497"/>
      <c r="P82" s="497"/>
      <c r="Q82" s="497"/>
      <c r="R82" s="497"/>
      <c r="S82" s="497"/>
      <c r="T82" s="497"/>
      <c r="U82" s="497"/>
      <c r="V82" s="497"/>
      <c r="W82" s="497"/>
      <c r="X82" s="497"/>
      <c r="Y82" s="450">
        <f t="shared" si="38"/>
        <v>240000000</v>
      </c>
      <c r="Z82" s="450">
        <f t="shared" si="38"/>
        <v>191237500</v>
      </c>
      <c r="AA82" s="450">
        <f t="shared" si="38"/>
        <v>191237500</v>
      </c>
      <c r="AB82" s="451">
        <f t="shared" si="38"/>
        <v>191237500</v>
      </c>
      <c r="AC82" s="436"/>
    </row>
    <row r="83" spans="1:29" ht="22.5" customHeight="1" thickTop="1" thickBot="1" x14ac:dyDescent="0.3">
      <c r="A83" s="444"/>
      <c r="B83" s="444"/>
      <c r="C83" s="446"/>
      <c r="D83" s="444"/>
      <c r="E83" s="445"/>
      <c r="F83" s="445"/>
      <c r="G83" s="444"/>
      <c r="H83" s="498" t="s">
        <v>242</v>
      </c>
      <c r="I83" s="448">
        <f>+I84</f>
        <v>800000000</v>
      </c>
      <c r="J83" s="448">
        <f t="shared" ref="J83:X85" si="39">+J84</f>
        <v>483964590</v>
      </c>
      <c r="K83" s="448">
        <f t="shared" si="39"/>
        <v>170636658</v>
      </c>
      <c r="L83" s="448">
        <f t="shared" si="39"/>
        <v>170636658</v>
      </c>
      <c r="M83" s="497">
        <f t="shared" si="39"/>
        <v>25170193492</v>
      </c>
      <c r="N83" s="497">
        <f t="shared" si="39"/>
        <v>25167687367</v>
      </c>
      <c r="O83" s="497">
        <f t="shared" si="39"/>
        <v>11871578109</v>
      </c>
      <c r="P83" s="497">
        <f t="shared" si="39"/>
        <v>11871578109</v>
      </c>
      <c r="Q83" s="497">
        <f t="shared" si="39"/>
        <v>0</v>
      </c>
      <c r="R83" s="497">
        <f t="shared" si="39"/>
        <v>0</v>
      </c>
      <c r="S83" s="497">
        <f t="shared" si="39"/>
        <v>0</v>
      </c>
      <c r="T83" s="497">
        <f t="shared" si="39"/>
        <v>0</v>
      </c>
      <c r="U83" s="497">
        <f t="shared" si="39"/>
        <v>0</v>
      </c>
      <c r="V83" s="497">
        <f t="shared" si="39"/>
        <v>0</v>
      </c>
      <c r="W83" s="497">
        <f t="shared" si="39"/>
        <v>0</v>
      </c>
      <c r="X83" s="497">
        <f t="shared" si="39"/>
        <v>0</v>
      </c>
      <c r="Y83" s="450">
        <f>I83+M83+Q83+U83</f>
        <v>25970193492</v>
      </c>
      <c r="Z83" s="450">
        <f>J83+N83+R83+V83</f>
        <v>25651651957</v>
      </c>
      <c r="AA83" s="450">
        <f>K83+O83+S83+W83</f>
        <v>12042214767</v>
      </c>
      <c r="AB83" s="450">
        <f>L83+P83+T83+X83</f>
        <v>12042214767</v>
      </c>
      <c r="AC83" s="436"/>
    </row>
    <row r="84" spans="1:29" ht="16.5" thickTop="1" thickBot="1" x14ac:dyDescent="0.3">
      <c r="A84" s="472"/>
      <c r="B84" s="472"/>
      <c r="C84" s="472"/>
      <c r="D84" s="472"/>
      <c r="E84" s="472"/>
      <c r="F84" s="472"/>
      <c r="G84" s="472"/>
      <c r="H84" s="499" t="s">
        <v>779</v>
      </c>
      <c r="I84" s="448">
        <f>+I85</f>
        <v>800000000</v>
      </c>
      <c r="J84" s="448">
        <f t="shared" si="39"/>
        <v>483964590</v>
      </c>
      <c r="K84" s="448">
        <f t="shared" si="39"/>
        <v>170636658</v>
      </c>
      <c r="L84" s="448">
        <f t="shared" si="39"/>
        <v>170636658</v>
      </c>
      <c r="M84" s="492">
        <f t="shared" si="39"/>
        <v>25170193492</v>
      </c>
      <c r="N84" s="492">
        <f t="shared" si="39"/>
        <v>25167687367</v>
      </c>
      <c r="O84" s="492">
        <f t="shared" si="39"/>
        <v>11871578109</v>
      </c>
      <c r="P84" s="492">
        <f t="shared" si="39"/>
        <v>11871578109</v>
      </c>
      <c r="Q84" s="492">
        <f t="shared" si="39"/>
        <v>0</v>
      </c>
      <c r="R84" s="492">
        <f t="shared" si="39"/>
        <v>0</v>
      </c>
      <c r="S84" s="492">
        <f t="shared" si="39"/>
        <v>0</v>
      </c>
      <c r="T84" s="492">
        <f t="shared" si="39"/>
        <v>0</v>
      </c>
      <c r="U84" s="492">
        <f t="shared" si="39"/>
        <v>0</v>
      </c>
      <c r="V84" s="492">
        <f t="shared" si="39"/>
        <v>0</v>
      </c>
      <c r="W84" s="492">
        <f t="shared" si="39"/>
        <v>0</v>
      </c>
      <c r="X84" s="492">
        <f t="shared" si="39"/>
        <v>0</v>
      </c>
      <c r="Y84" s="493">
        <f t="shared" ref="Y84:AB85" si="40">+I84+M84+Q84+U84</f>
        <v>25970193492</v>
      </c>
      <c r="Z84" s="493">
        <f t="shared" si="40"/>
        <v>25651651957</v>
      </c>
      <c r="AA84" s="493">
        <f t="shared" si="40"/>
        <v>12042214767</v>
      </c>
      <c r="AB84" s="494">
        <f t="shared" si="40"/>
        <v>12042214767</v>
      </c>
      <c r="AC84" s="436"/>
    </row>
    <row r="85" spans="1:29" ht="16.5" thickTop="1" thickBot="1" x14ac:dyDescent="0.3">
      <c r="A85" s="444"/>
      <c r="B85" s="444"/>
      <c r="C85" s="444"/>
      <c r="D85" s="444"/>
      <c r="E85" s="445"/>
      <c r="F85" s="445"/>
      <c r="G85" s="444"/>
      <c r="H85" s="217" t="s">
        <v>780</v>
      </c>
      <c r="I85" s="448">
        <f>+I86</f>
        <v>800000000</v>
      </c>
      <c r="J85" s="448">
        <f t="shared" si="39"/>
        <v>483964590</v>
      </c>
      <c r="K85" s="448">
        <f t="shared" si="39"/>
        <v>170636658</v>
      </c>
      <c r="L85" s="448">
        <f t="shared" si="39"/>
        <v>170636658</v>
      </c>
      <c r="M85" s="497">
        <v>25170193492</v>
      </c>
      <c r="N85" s="497">
        <v>25167687367</v>
      </c>
      <c r="O85" s="448">
        <v>11871578109</v>
      </c>
      <c r="P85" s="448">
        <v>11871578109</v>
      </c>
      <c r="Q85" s="497">
        <f t="shared" si="39"/>
        <v>0</v>
      </c>
      <c r="R85" s="497">
        <f t="shared" si="39"/>
        <v>0</v>
      </c>
      <c r="S85" s="497">
        <f t="shared" si="39"/>
        <v>0</v>
      </c>
      <c r="T85" s="497">
        <f t="shared" si="39"/>
        <v>0</v>
      </c>
      <c r="U85" s="497">
        <f t="shared" si="39"/>
        <v>0</v>
      </c>
      <c r="V85" s="497">
        <f t="shared" si="39"/>
        <v>0</v>
      </c>
      <c r="W85" s="497">
        <f t="shared" si="39"/>
        <v>0</v>
      </c>
      <c r="X85" s="497">
        <f t="shared" si="39"/>
        <v>0</v>
      </c>
      <c r="Y85" s="450">
        <f t="shared" si="40"/>
        <v>25970193492</v>
      </c>
      <c r="Z85" s="450">
        <f t="shared" si="40"/>
        <v>25651651957</v>
      </c>
      <c r="AA85" s="450">
        <f t="shared" si="40"/>
        <v>12042214767</v>
      </c>
      <c r="AB85" s="451">
        <f t="shared" si="40"/>
        <v>12042214767</v>
      </c>
      <c r="AC85" s="436"/>
    </row>
    <row r="86" spans="1:29" ht="16.5" thickTop="1" thickBot="1" x14ac:dyDescent="0.3">
      <c r="A86" s="444"/>
      <c r="B86" s="444"/>
      <c r="C86" s="444"/>
      <c r="D86" s="444"/>
      <c r="E86" s="445"/>
      <c r="F86" s="445"/>
      <c r="G86" s="445"/>
      <c r="H86" s="217" t="s">
        <v>781</v>
      </c>
      <c r="I86" s="448">
        <v>800000000</v>
      </c>
      <c r="J86" s="448">
        <v>483964590</v>
      </c>
      <c r="K86" s="448">
        <v>170636658</v>
      </c>
      <c r="L86" s="448">
        <v>170636658</v>
      </c>
      <c r="M86" s="497">
        <v>25170193492</v>
      </c>
      <c r="N86" s="497">
        <v>25167687367</v>
      </c>
      <c r="O86" s="448">
        <v>11871578109</v>
      </c>
      <c r="P86" s="448">
        <v>11871578109</v>
      </c>
      <c r="Q86" s="497"/>
      <c r="R86" s="497"/>
      <c r="S86" s="497"/>
      <c r="T86" s="497"/>
      <c r="U86" s="497"/>
      <c r="V86" s="497"/>
      <c r="W86" s="497"/>
      <c r="X86" s="497"/>
      <c r="Y86" s="450">
        <f>+I86+M86+Q86+U86</f>
        <v>25970193492</v>
      </c>
      <c r="Z86" s="450">
        <f>+J86+N86+R86+V86</f>
        <v>25651651957</v>
      </c>
      <c r="AA86" s="450">
        <f>+K86+O86+S86+W86</f>
        <v>12042214767</v>
      </c>
      <c r="AB86" s="451">
        <f>+L86+P86+T86+X86</f>
        <v>12042214767</v>
      </c>
      <c r="AC86" s="436"/>
    </row>
    <row r="87" spans="1:29" ht="16.5" thickTop="1" thickBot="1" x14ac:dyDescent="0.3">
      <c r="A87" s="484"/>
      <c r="B87" s="437"/>
      <c r="C87" s="437"/>
      <c r="D87" s="437"/>
      <c r="E87" s="484"/>
      <c r="F87" s="484"/>
      <c r="G87" s="484"/>
      <c r="H87" s="485" t="s">
        <v>252</v>
      </c>
      <c r="I87" s="448">
        <f>+I88+I121</f>
        <v>8607659743</v>
      </c>
      <c r="J87" s="448">
        <f>+J88+J121</f>
        <v>7519370017</v>
      </c>
      <c r="K87" s="448">
        <f>+K88+K121</f>
        <v>3700541239</v>
      </c>
      <c r="L87" s="448">
        <f>+L88+L121</f>
        <v>3590629731</v>
      </c>
      <c r="M87" s="486">
        <f t="shared" ref="M87:X87" si="41">+M89+M109</f>
        <v>7068589929</v>
      </c>
      <c r="N87" s="486">
        <f t="shared" si="41"/>
        <v>7058527093</v>
      </c>
      <c r="O87" s="486">
        <f t="shared" si="41"/>
        <v>5205989750</v>
      </c>
      <c r="P87" s="486">
        <f t="shared" si="41"/>
        <v>5205989750</v>
      </c>
      <c r="Q87" s="486">
        <f t="shared" si="41"/>
        <v>0</v>
      </c>
      <c r="R87" s="486">
        <f t="shared" si="41"/>
        <v>0</v>
      </c>
      <c r="S87" s="486">
        <f t="shared" si="41"/>
        <v>0</v>
      </c>
      <c r="T87" s="486">
        <f t="shared" si="41"/>
        <v>0</v>
      </c>
      <c r="U87" s="486">
        <f>U88+U121</f>
        <v>11672012497</v>
      </c>
      <c r="V87" s="486">
        <f t="shared" si="41"/>
        <v>0</v>
      </c>
      <c r="W87" s="486">
        <f t="shared" si="41"/>
        <v>0</v>
      </c>
      <c r="X87" s="486">
        <f t="shared" si="41"/>
        <v>0</v>
      </c>
      <c r="Y87" s="487">
        <f>Y88+Y121</f>
        <v>38397020824</v>
      </c>
      <c r="Z87" s="487">
        <f>Z88+Z121</f>
        <v>37292928810.5</v>
      </c>
      <c r="AA87" s="487">
        <f>AA88+AA121</f>
        <v>14516152877.73</v>
      </c>
      <c r="AB87" s="487">
        <f>AB88+AB121</f>
        <v>14406241369.73</v>
      </c>
      <c r="AC87" s="436"/>
    </row>
    <row r="88" spans="1:29" ht="27" thickTop="1" thickBot="1" x14ac:dyDescent="0.3">
      <c r="A88" s="484"/>
      <c r="B88" s="437"/>
      <c r="C88" s="437"/>
      <c r="D88" s="489"/>
      <c r="E88" s="490"/>
      <c r="F88" s="490"/>
      <c r="G88" s="490"/>
      <c r="H88" s="216" t="s">
        <v>253</v>
      </c>
      <c r="I88" s="448">
        <f t="shared" ref="I88:P88" si="42">+I89+I93+I97+I101+I105+I109+I113+I117</f>
        <v>3813000000</v>
      </c>
      <c r="J88" s="448">
        <f t="shared" si="42"/>
        <v>3545882638</v>
      </c>
      <c r="K88" s="448">
        <f t="shared" si="42"/>
        <v>1558403724</v>
      </c>
      <c r="L88" s="448">
        <f t="shared" si="42"/>
        <v>1554303124</v>
      </c>
      <c r="M88" s="503">
        <f t="shared" si="42"/>
        <v>18117348584</v>
      </c>
      <c r="N88" s="503">
        <f t="shared" si="42"/>
        <v>18104637771</v>
      </c>
      <c r="O88" s="503">
        <f t="shared" si="42"/>
        <v>5205989750</v>
      </c>
      <c r="P88" s="503">
        <f t="shared" si="42"/>
        <v>5205989750</v>
      </c>
      <c r="Q88" s="503">
        <f t="shared" ref="Q88:X88" si="43">+Q89+Q93+Q97+Q101+Q105+Q109+Q113</f>
        <v>0</v>
      </c>
      <c r="R88" s="503">
        <f t="shared" si="43"/>
        <v>0</v>
      </c>
      <c r="S88" s="503">
        <f t="shared" si="43"/>
        <v>0</v>
      </c>
      <c r="T88" s="503">
        <f t="shared" si="43"/>
        <v>0</v>
      </c>
      <c r="U88" s="564">
        <f>U89+U93+U97+U101+U105+U109+U113+U117</f>
        <v>7085730086</v>
      </c>
      <c r="V88" s="503">
        <f t="shared" si="43"/>
        <v>7082659438</v>
      </c>
      <c r="W88" s="503">
        <f t="shared" si="43"/>
        <v>4227668623.7399998</v>
      </c>
      <c r="X88" s="503">
        <f t="shared" si="43"/>
        <v>4227668623.7399998</v>
      </c>
      <c r="Y88" s="504">
        <f>Y89+Y93+Y97+Y101+Y105+Y109+Y113+Y117</f>
        <v>29016078670</v>
      </c>
      <c r="Z88" s="504">
        <f>Z89+Z93+Z97+Z101+Z105+Z109+Z113+Z117</f>
        <v>28733179847</v>
      </c>
      <c r="AA88" s="504">
        <f>AA89+AA93+AA97+AA101+AA105+AA109+AA113+AA117</f>
        <v>10992062097.74</v>
      </c>
      <c r="AB88" s="504">
        <f>AB89+AB93+AB97+AB101+AB105+AB109+AB113+AB117</f>
        <v>10987961497.74</v>
      </c>
      <c r="AC88" s="436"/>
    </row>
    <row r="89" spans="1:29" ht="27" thickTop="1" thickBot="1" x14ac:dyDescent="0.3">
      <c r="A89" s="444"/>
      <c r="B89" s="444"/>
      <c r="C89" s="444"/>
      <c r="D89" s="444"/>
      <c r="E89" s="444"/>
      <c r="F89" s="444"/>
      <c r="G89" s="444"/>
      <c r="H89" s="505" t="s">
        <v>254</v>
      </c>
      <c r="I89" s="448">
        <f>+I90</f>
        <v>200000000</v>
      </c>
      <c r="J89" s="448">
        <f t="shared" ref="J89:X91" si="44">+J90</f>
        <v>198340070</v>
      </c>
      <c r="K89" s="448">
        <f t="shared" si="44"/>
        <v>6340070</v>
      </c>
      <c r="L89" s="448">
        <f t="shared" si="44"/>
        <v>6340070</v>
      </c>
      <c r="M89" s="448">
        <f t="shared" si="44"/>
        <v>7068589929</v>
      </c>
      <c r="N89" s="448">
        <f t="shared" si="44"/>
        <v>7058527093</v>
      </c>
      <c r="O89" s="448">
        <f t="shared" si="44"/>
        <v>5205989750</v>
      </c>
      <c r="P89" s="448">
        <f t="shared" si="44"/>
        <v>5205989750</v>
      </c>
      <c r="Q89" s="448">
        <f t="shared" si="44"/>
        <v>0</v>
      </c>
      <c r="R89" s="448">
        <f t="shared" si="44"/>
        <v>0</v>
      </c>
      <c r="S89" s="448">
        <f t="shared" si="44"/>
        <v>0</v>
      </c>
      <c r="T89" s="448">
        <f t="shared" si="44"/>
        <v>0</v>
      </c>
      <c r="U89" s="448">
        <f t="shared" si="44"/>
        <v>0</v>
      </c>
      <c r="V89" s="448">
        <f t="shared" si="44"/>
        <v>0</v>
      </c>
      <c r="W89" s="448">
        <f t="shared" si="44"/>
        <v>0</v>
      </c>
      <c r="X89" s="448">
        <f t="shared" si="44"/>
        <v>0</v>
      </c>
      <c r="Y89" s="462">
        <f>I89+M89+Q89+U89</f>
        <v>7268589929</v>
      </c>
      <c r="Z89" s="462">
        <f>J89+N89+R89+V89</f>
        <v>7256867163</v>
      </c>
      <c r="AA89" s="462">
        <f>K89+O89+S89+W89</f>
        <v>5212329820</v>
      </c>
      <c r="AB89" s="462">
        <f>L89+P89+T89+X89</f>
        <v>5212329820</v>
      </c>
      <c r="AC89" s="436"/>
    </row>
    <row r="90" spans="1:29" ht="16.5" thickTop="1" thickBot="1" x14ac:dyDescent="0.3">
      <c r="A90" s="444"/>
      <c r="B90" s="444"/>
      <c r="C90" s="444"/>
      <c r="D90" s="444"/>
      <c r="E90" s="444"/>
      <c r="F90" s="444"/>
      <c r="G90" s="444"/>
      <c r="H90" s="217" t="s">
        <v>779</v>
      </c>
      <c r="I90" s="448">
        <f>+I91</f>
        <v>200000000</v>
      </c>
      <c r="J90" s="448">
        <f t="shared" si="44"/>
        <v>198340070</v>
      </c>
      <c r="K90" s="448">
        <f t="shared" si="44"/>
        <v>6340070</v>
      </c>
      <c r="L90" s="448">
        <f t="shared" si="44"/>
        <v>6340070</v>
      </c>
      <c r="M90" s="497">
        <v>7068589929</v>
      </c>
      <c r="N90" s="448">
        <v>7058527093</v>
      </c>
      <c r="O90" s="448">
        <v>5205989750</v>
      </c>
      <c r="P90" s="448">
        <v>5205989750</v>
      </c>
      <c r="Q90" s="448">
        <f t="shared" si="44"/>
        <v>0</v>
      </c>
      <c r="R90" s="448">
        <f t="shared" si="44"/>
        <v>0</v>
      </c>
      <c r="S90" s="448">
        <f t="shared" si="44"/>
        <v>0</v>
      </c>
      <c r="T90" s="448">
        <f t="shared" si="44"/>
        <v>0</v>
      </c>
      <c r="U90" s="448">
        <f t="shared" si="44"/>
        <v>0</v>
      </c>
      <c r="V90" s="448">
        <f t="shared" si="44"/>
        <v>0</v>
      </c>
      <c r="W90" s="448">
        <f t="shared" si="44"/>
        <v>0</v>
      </c>
      <c r="X90" s="448">
        <f t="shared" si="44"/>
        <v>0</v>
      </c>
      <c r="Y90" s="462">
        <f t="shared" ref="Y90:AB92" si="45">+I90+M90+Q90+U90</f>
        <v>7268589929</v>
      </c>
      <c r="Z90" s="462">
        <f t="shared" si="45"/>
        <v>7256867163</v>
      </c>
      <c r="AA90" s="462">
        <f t="shared" si="45"/>
        <v>5212329820</v>
      </c>
      <c r="AB90" s="462">
        <f t="shared" si="45"/>
        <v>5212329820</v>
      </c>
      <c r="AC90" s="436"/>
    </row>
    <row r="91" spans="1:29" ht="16.5" thickTop="1" thickBot="1" x14ac:dyDescent="0.3">
      <c r="A91" s="444"/>
      <c r="B91" s="444"/>
      <c r="C91" s="444"/>
      <c r="D91" s="444"/>
      <c r="E91" s="445"/>
      <c r="F91" s="445"/>
      <c r="G91" s="444"/>
      <c r="H91" s="217" t="s">
        <v>780</v>
      </c>
      <c r="I91" s="448">
        <f>+I92</f>
        <v>200000000</v>
      </c>
      <c r="J91" s="448">
        <f t="shared" si="44"/>
        <v>198340070</v>
      </c>
      <c r="K91" s="448">
        <f t="shared" si="44"/>
        <v>6340070</v>
      </c>
      <c r="L91" s="448">
        <f t="shared" si="44"/>
        <v>6340070</v>
      </c>
      <c r="M91" s="497">
        <v>7068589929</v>
      </c>
      <c r="N91" s="448">
        <v>7058527093</v>
      </c>
      <c r="O91" s="448">
        <v>5205989750</v>
      </c>
      <c r="P91" s="448">
        <v>5205989750</v>
      </c>
      <c r="Q91" s="448">
        <f t="shared" si="44"/>
        <v>0</v>
      </c>
      <c r="R91" s="448">
        <f t="shared" si="44"/>
        <v>0</v>
      </c>
      <c r="S91" s="448">
        <f t="shared" si="44"/>
        <v>0</v>
      </c>
      <c r="T91" s="448">
        <f t="shared" si="44"/>
        <v>0</v>
      </c>
      <c r="U91" s="448">
        <f t="shared" si="44"/>
        <v>0</v>
      </c>
      <c r="V91" s="448">
        <f t="shared" si="44"/>
        <v>0</v>
      </c>
      <c r="W91" s="448">
        <f t="shared" si="44"/>
        <v>0</v>
      </c>
      <c r="X91" s="448">
        <f t="shared" si="44"/>
        <v>0</v>
      </c>
      <c r="Y91" s="462">
        <f t="shared" si="45"/>
        <v>7268589929</v>
      </c>
      <c r="Z91" s="462">
        <f t="shared" si="45"/>
        <v>7256867163</v>
      </c>
      <c r="AA91" s="462">
        <f t="shared" si="45"/>
        <v>5212329820</v>
      </c>
      <c r="AB91" s="462">
        <f t="shared" si="45"/>
        <v>5212329820</v>
      </c>
      <c r="AC91" s="436"/>
    </row>
    <row r="92" spans="1:29" ht="16.5" thickTop="1" thickBot="1" x14ac:dyDescent="0.3">
      <c r="A92" s="444"/>
      <c r="B92" s="444"/>
      <c r="C92" s="444"/>
      <c r="D92" s="444"/>
      <c r="E92" s="445"/>
      <c r="F92" s="445"/>
      <c r="G92" s="445"/>
      <c r="H92" s="217" t="s">
        <v>781</v>
      </c>
      <c r="I92" s="448">
        <v>200000000</v>
      </c>
      <c r="J92" s="448">
        <v>198340070</v>
      </c>
      <c r="K92" s="448">
        <v>6340070</v>
      </c>
      <c r="L92" s="448">
        <v>6340070</v>
      </c>
      <c r="M92" s="497">
        <v>7068589929</v>
      </c>
      <c r="N92" s="448">
        <v>7058527093</v>
      </c>
      <c r="O92" s="448">
        <v>5205989750</v>
      </c>
      <c r="P92" s="448">
        <v>5205989750</v>
      </c>
      <c r="Q92" s="448">
        <v>0</v>
      </c>
      <c r="R92" s="448">
        <v>0</v>
      </c>
      <c r="S92" s="448">
        <v>0</v>
      </c>
      <c r="T92" s="448">
        <v>0</v>
      </c>
      <c r="U92" s="448"/>
      <c r="V92" s="448"/>
      <c r="W92" s="448"/>
      <c r="X92" s="448"/>
      <c r="Y92" s="462">
        <f t="shared" si="45"/>
        <v>7268589929</v>
      </c>
      <c r="Z92" s="462">
        <f t="shared" si="45"/>
        <v>7256867163</v>
      </c>
      <c r="AA92" s="462">
        <f t="shared" si="45"/>
        <v>5212329820</v>
      </c>
      <c r="AB92" s="462">
        <f t="shared" si="45"/>
        <v>5212329820</v>
      </c>
      <c r="AC92" s="436"/>
    </row>
    <row r="93" spans="1:29" ht="39.75" thickTop="1" thickBot="1" x14ac:dyDescent="0.3">
      <c r="A93" s="444"/>
      <c r="B93" s="444"/>
      <c r="C93" s="444"/>
      <c r="D93" s="444"/>
      <c r="E93" s="445"/>
      <c r="F93" s="445"/>
      <c r="G93" s="445"/>
      <c r="H93" s="506" t="s">
        <v>266</v>
      </c>
      <c r="I93" s="448">
        <f>+I94</f>
        <v>200000000</v>
      </c>
      <c r="J93" s="448">
        <f t="shared" ref="J93:X95" si="46">+J94</f>
        <v>178704000</v>
      </c>
      <c r="K93" s="448">
        <f t="shared" si="46"/>
        <v>18704000</v>
      </c>
      <c r="L93" s="448">
        <f t="shared" si="46"/>
        <v>18704000</v>
      </c>
      <c r="M93" s="497">
        <f t="shared" si="46"/>
        <v>11048758655</v>
      </c>
      <c r="N93" s="497">
        <f t="shared" si="46"/>
        <v>11046110678</v>
      </c>
      <c r="O93" s="497">
        <f t="shared" si="46"/>
        <v>0</v>
      </c>
      <c r="P93" s="497">
        <f t="shared" si="46"/>
        <v>0</v>
      </c>
      <c r="Q93" s="497">
        <f t="shared" si="46"/>
        <v>0</v>
      </c>
      <c r="R93" s="497">
        <f t="shared" si="46"/>
        <v>0</v>
      </c>
      <c r="S93" s="497">
        <f t="shared" si="46"/>
        <v>0</v>
      </c>
      <c r="T93" s="497">
        <f>+T94</f>
        <v>0</v>
      </c>
      <c r="U93" s="497">
        <f t="shared" si="46"/>
        <v>0</v>
      </c>
      <c r="V93" s="497">
        <f t="shared" si="46"/>
        <v>0</v>
      </c>
      <c r="W93" s="497">
        <f t="shared" si="46"/>
        <v>0</v>
      </c>
      <c r="X93" s="497">
        <f t="shared" si="46"/>
        <v>0</v>
      </c>
      <c r="Y93" s="450">
        <f>I93+M93+Q93+U93</f>
        <v>11248758655</v>
      </c>
      <c r="Z93" s="450">
        <f>J93+N93+R93+V93</f>
        <v>11224814678</v>
      </c>
      <c r="AA93" s="450">
        <f>K93+O93+S93+W93</f>
        <v>18704000</v>
      </c>
      <c r="AB93" s="450">
        <f>L93+P93+T93+X93</f>
        <v>18704000</v>
      </c>
      <c r="AC93" s="450">
        <f>M93+Q93+U93+Y93</f>
        <v>22297517310</v>
      </c>
    </row>
    <row r="94" spans="1:29" ht="16.5" thickTop="1" thickBot="1" x14ac:dyDescent="0.3">
      <c r="A94" s="472"/>
      <c r="B94" s="472"/>
      <c r="C94" s="472"/>
      <c r="D94" s="472"/>
      <c r="E94" s="472"/>
      <c r="F94" s="472"/>
      <c r="G94" s="472"/>
      <c r="H94" s="507" t="s">
        <v>779</v>
      </c>
      <c r="I94" s="448">
        <f>+I95</f>
        <v>200000000</v>
      </c>
      <c r="J94" s="448">
        <f t="shared" si="46"/>
        <v>178704000</v>
      </c>
      <c r="K94" s="448">
        <f t="shared" si="46"/>
        <v>18704000</v>
      </c>
      <c r="L94" s="448">
        <f t="shared" si="46"/>
        <v>18704000</v>
      </c>
      <c r="M94" s="492">
        <f t="shared" si="46"/>
        <v>11048758655</v>
      </c>
      <c r="N94" s="492">
        <f t="shared" si="46"/>
        <v>11046110678</v>
      </c>
      <c r="O94" s="492">
        <f t="shared" si="46"/>
        <v>0</v>
      </c>
      <c r="P94" s="492">
        <f t="shared" si="46"/>
        <v>0</v>
      </c>
      <c r="Q94" s="492">
        <f t="shared" si="46"/>
        <v>0</v>
      </c>
      <c r="R94" s="492">
        <f t="shared" si="46"/>
        <v>0</v>
      </c>
      <c r="S94" s="492">
        <f t="shared" si="46"/>
        <v>0</v>
      </c>
      <c r="T94" s="492">
        <f t="shared" si="46"/>
        <v>0</v>
      </c>
      <c r="U94" s="492">
        <f t="shared" si="46"/>
        <v>0</v>
      </c>
      <c r="V94" s="492">
        <f t="shared" si="46"/>
        <v>0</v>
      </c>
      <c r="W94" s="492">
        <f t="shared" si="46"/>
        <v>0</v>
      </c>
      <c r="X94" s="492">
        <f t="shared" si="46"/>
        <v>0</v>
      </c>
      <c r="Y94" s="493">
        <f t="shared" ref="Y94:AB95" si="47">+I94+M94+Q94+U94</f>
        <v>11248758655</v>
      </c>
      <c r="Z94" s="493">
        <f t="shared" si="47"/>
        <v>11224814678</v>
      </c>
      <c r="AA94" s="493">
        <f t="shared" si="47"/>
        <v>18704000</v>
      </c>
      <c r="AB94" s="494">
        <f t="shared" si="47"/>
        <v>18704000</v>
      </c>
      <c r="AC94" s="436"/>
    </row>
    <row r="95" spans="1:29" ht="16.5" thickTop="1" thickBot="1" x14ac:dyDescent="0.3">
      <c r="A95" s="444"/>
      <c r="B95" s="444"/>
      <c r="C95" s="444"/>
      <c r="D95" s="444"/>
      <c r="E95" s="445"/>
      <c r="F95" s="445"/>
      <c r="G95" s="444"/>
      <c r="H95" s="507" t="s">
        <v>780</v>
      </c>
      <c r="I95" s="448">
        <f>+I96</f>
        <v>200000000</v>
      </c>
      <c r="J95" s="448">
        <f t="shared" si="46"/>
        <v>178704000</v>
      </c>
      <c r="K95" s="448">
        <f t="shared" si="46"/>
        <v>18704000</v>
      </c>
      <c r="L95" s="448">
        <f t="shared" si="46"/>
        <v>18704000</v>
      </c>
      <c r="M95" s="497">
        <v>11048758655</v>
      </c>
      <c r="N95" s="448">
        <v>11046110678</v>
      </c>
      <c r="O95" s="497">
        <f t="shared" si="46"/>
        <v>0</v>
      </c>
      <c r="P95" s="497">
        <f t="shared" si="46"/>
        <v>0</v>
      </c>
      <c r="Q95" s="497">
        <f t="shared" si="46"/>
        <v>0</v>
      </c>
      <c r="R95" s="497">
        <f t="shared" si="46"/>
        <v>0</v>
      </c>
      <c r="S95" s="497">
        <f t="shared" si="46"/>
        <v>0</v>
      </c>
      <c r="T95" s="497">
        <f t="shared" si="46"/>
        <v>0</v>
      </c>
      <c r="U95" s="497">
        <f t="shared" si="46"/>
        <v>0</v>
      </c>
      <c r="V95" s="497">
        <f t="shared" si="46"/>
        <v>0</v>
      </c>
      <c r="W95" s="497">
        <f t="shared" si="46"/>
        <v>0</v>
      </c>
      <c r="X95" s="497">
        <f t="shared" si="46"/>
        <v>0</v>
      </c>
      <c r="Y95" s="450">
        <f t="shared" si="47"/>
        <v>11248758655</v>
      </c>
      <c r="Z95" s="450">
        <f t="shared" si="47"/>
        <v>11224814678</v>
      </c>
      <c r="AA95" s="450">
        <f t="shared" si="47"/>
        <v>18704000</v>
      </c>
      <c r="AB95" s="451">
        <f t="shared" si="47"/>
        <v>18704000</v>
      </c>
      <c r="AC95" s="436"/>
    </row>
    <row r="96" spans="1:29" ht="16.5" thickTop="1" thickBot="1" x14ac:dyDescent="0.3">
      <c r="A96" s="444"/>
      <c r="B96" s="444"/>
      <c r="C96" s="444"/>
      <c r="D96" s="444"/>
      <c r="E96" s="445"/>
      <c r="F96" s="445"/>
      <c r="G96" s="445"/>
      <c r="H96" s="507" t="s">
        <v>781</v>
      </c>
      <c r="I96" s="448">
        <v>200000000</v>
      </c>
      <c r="J96" s="448">
        <v>178704000</v>
      </c>
      <c r="K96" s="448">
        <v>18704000</v>
      </c>
      <c r="L96" s="448">
        <v>18704000</v>
      </c>
      <c r="M96" s="497">
        <v>11048758655</v>
      </c>
      <c r="N96" s="448">
        <v>11046110678</v>
      </c>
      <c r="O96" s="497"/>
      <c r="P96" s="497"/>
      <c r="Q96" s="497"/>
      <c r="R96" s="497"/>
      <c r="S96" s="497"/>
      <c r="T96" s="497"/>
      <c r="U96" s="497"/>
      <c r="V96" s="497"/>
      <c r="W96" s="497"/>
      <c r="X96" s="497"/>
      <c r="Y96" s="450">
        <f>+I96+M96+Q96+U96</f>
        <v>11248758655</v>
      </c>
      <c r="Z96" s="450">
        <f>+J96+N96+R96+V96</f>
        <v>11224814678</v>
      </c>
      <c r="AA96" s="450">
        <f>+K96+O96+S96+W96</f>
        <v>18704000</v>
      </c>
      <c r="AB96" s="451">
        <f>+L96+P96+T96+X96</f>
        <v>18704000</v>
      </c>
      <c r="AC96" s="436"/>
    </row>
    <row r="97" spans="1:29" ht="27" thickTop="1" thickBot="1" x14ac:dyDescent="0.3">
      <c r="A97" s="444"/>
      <c r="B97" s="444"/>
      <c r="C97" s="444"/>
      <c r="D97" s="444"/>
      <c r="E97" s="445"/>
      <c r="F97" s="445"/>
      <c r="G97" s="445"/>
      <c r="H97" s="498" t="s">
        <v>277</v>
      </c>
      <c r="I97" s="448">
        <f>+I98</f>
        <v>250000000</v>
      </c>
      <c r="J97" s="448">
        <f t="shared" ref="J97:X99" si="48">+J98</f>
        <v>228655164</v>
      </c>
      <c r="K97" s="448">
        <f t="shared" si="48"/>
        <v>60814399</v>
      </c>
      <c r="L97" s="448">
        <f t="shared" si="48"/>
        <v>60814399</v>
      </c>
      <c r="M97" s="497">
        <f t="shared" si="48"/>
        <v>0</v>
      </c>
      <c r="N97" s="497">
        <f t="shared" si="48"/>
        <v>0</v>
      </c>
      <c r="O97" s="497">
        <f t="shared" si="48"/>
        <v>0</v>
      </c>
      <c r="P97" s="497">
        <f t="shared" si="48"/>
        <v>0</v>
      </c>
      <c r="Q97" s="497">
        <f t="shared" si="48"/>
        <v>0</v>
      </c>
      <c r="R97" s="497">
        <f t="shared" si="48"/>
        <v>0</v>
      </c>
      <c r="S97" s="497">
        <f t="shared" si="48"/>
        <v>0</v>
      </c>
      <c r="T97" s="497">
        <f t="shared" si="48"/>
        <v>0</v>
      </c>
      <c r="U97" s="561">
        <f t="shared" si="48"/>
        <v>1799947695</v>
      </c>
      <c r="V97" s="497">
        <f t="shared" si="48"/>
        <v>1798302769</v>
      </c>
      <c r="W97" s="497">
        <f t="shared" si="48"/>
        <v>1671113526.24</v>
      </c>
      <c r="X97" s="497">
        <f t="shared" si="48"/>
        <v>1671113526.24</v>
      </c>
      <c r="Y97" s="450">
        <f>I97+M97+Q97+U97</f>
        <v>2049947695</v>
      </c>
      <c r="Z97" s="450">
        <f>J97+N97+R97+V97</f>
        <v>2026957933</v>
      </c>
      <c r="AA97" s="450">
        <f>K97+O97+S97+W97</f>
        <v>1731927925.24</v>
      </c>
      <c r="AB97" s="450">
        <f>L97+P97+T97+X97</f>
        <v>1731927925.24</v>
      </c>
      <c r="AC97" s="436"/>
    </row>
    <row r="98" spans="1:29" ht="16.5" thickTop="1" thickBot="1" x14ac:dyDescent="0.3">
      <c r="A98" s="472"/>
      <c r="B98" s="472"/>
      <c r="C98" s="472"/>
      <c r="D98" s="472"/>
      <c r="E98" s="472"/>
      <c r="F98" s="472"/>
      <c r="G98" s="472"/>
      <c r="H98" s="499" t="s">
        <v>779</v>
      </c>
      <c r="I98" s="448">
        <f>+I99</f>
        <v>250000000</v>
      </c>
      <c r="J98" s="448">
        <f t="shared" si="48"/>
        <v>228655164</v>
      </c>
      <c r="K98" s="448">
        <f t="shared" si="48"/>
        <v>60814399</v>
      </c>
      <c r="L98" s="448">
        <f t="shared" si="48"/>
        <v>60814399</v>
      </c>
      <c r="M98" s="492">
        <f t="shared" si="48"/>
        <v>0</v>
      </c>
      <c r="N98" s="492">
        <f t="shared" si="48"/>
        <v>0</v>
      </c>
      <c r="O98" s="492">
        <f t="shared" si="48"/>
        <v>0</v>
      </c>
      <c r="P98" s="492">
        <f t="shared" si="48"/>
        <v>0</v>
      </c>
      <c r="Q98" s="492">
        <f t="shared" si="48"/>
        <v>0</v>
      </c>
      <c r="R98" s="492">
        <f t="shared" si="48"/>
        <v>0</v>
      </c>
      <c r="S98" s="492">
        <f t="shared" si="48"/>
        <v>0</v>
      </c>
      <c r="T98" s="492">
        <f t="shared" si="48"/>
        <v>0</v>
      </c>
      <c r="U98" s="492">
        <f t="shared" si="48"/>
        <v>1799947695</v>
      </c>
      <c r="V98" s="492">
        <f t="shared" si="48"/>
        <v>1798302769</v>
      </c>
      <c r="W98" s="492">
        <f t="shared" si="48"/>
        <v>1671113526.24</v>
      </c>
      <c r="X98" s="492">
        <f t="shared" si="48"/>
        <v>1671113526.24</v>
      </c>
      <c r="Y98" s="493">
        <f t="shared" ref="Y98:AB99" si="49">+I98+M98+Q98+U98</f>
        <v>2049947695</v>
      </c>
      <c r="Z98" s="493">
        <f t="shared" si="49"/>
        <v>2026957933</v>
      </c>
      <c r="AA98" s="493">
        <f t="shared" si="49"/>
        <v>1731927925.24</v>
      </c>
      <c r="AB98" s="494">
        <f t="shared" si="49"/>
        <v>1731927925.24</v>
      </c>
      <c r="AC98" s="436"/>
    </row>
    <row r="99" spans="1:29" ht="16.5" thickTop="1" thickBot="1" x14ac:dyDescent="0.3">
      <c r="A99" s="444"/>
      <c r="B99" s="444"/>
      <c r="C99" s="444"/>
      <c r="D99" s="444"/>
      <c r="E99" s="445"/>
      <c r="F99" s="445"/>
      <c r="G99" s="444"/>
      <c r="H99" s="217" t="s">
        <v>780</v>
      </c>
      <c r="I99" s="448">
        <f>+I100</f>
        <v>250000000</v>
      </c>
      <c r="J99" s="497">
        <f t="shared" si="48"/>
        <v>228655164</v>
      </c>
      <c r="K99" s="448">
        <f t="shared" si="48"/>
        <v>60814399</v>
      </c>
      <c r="L99" s="448">
        <f t="shared" si="48"/>
        <v>60814399</v>
      </c>
      <c r="M99" s="497">
        <f t="shared" si="48"/>
        <v>0</v>
      </c>
      <c r="N99" s="497">
        <f t="shared" si="48"/>
        <v>0</v>
      </c>
      <c r="O99" s="497">
        <f t="shared" si="48"/>
        <v>0</v>
      </c>
      <c r="P99" s="497">
        <f t="shared" si="48"/>
        <v>0</v>
      </c>
      <c r="Q99" s="497">
        <f t="shared" si="48"/>
        <v>0</v>
      </c>
      <c r="R99" s="497">
        <f t="shared" si="48"/>
        <v>0</v>
      </c>
      <c r="S99" s="497">
        <f t="shared" si="48"/>
        <v>0</v>
      </c>
      <c r="T99" s="497">
        <f t="shared" si="48"/>
        <v>0</v>
      </c>
      <c r="U99" s="497">
        <v>1799947695</v>
      </c>
      <c r="V99" s="497">
        <v>1798302769</v>
      </c>
      <c r="W99" s="497">
        <v>1671113526.24</v>
      </c>
      <c r="X99" s="497">
        <v>1671113526.24</v>
      </c>
      <c r="Y99" s="450">
        <f t="shared" si="49"/>
        <v>2049947695</v>
      </c>
      <c r="Z99" s="450">
        <f t="shared" si="49"/>
        <v>2026957933</v>
      </c>
      <c r="AA99" s="450">
        <f t="shared" si="49"/>
        <v>1731927925.24</v>
      </c>
      <c r="AB99" s="451">
        <f t="shared" si="49"/>
        <v>1731927925.24</v>
      </c>
      <c r="AC99" s="436"/>
    </row>
    <row r="100" spans="1:29" ht="16.5" thickTop="1" thickBot="1" x14ac:dyDescent="0.3">
      <c r="A100" s="444"/>
      <c r="B100" s="444"/>
      <c r="C100" s="444"/>
      <c r="D100" s="444"/>
      <c r="E100" s="445"/>
      <c r="F100" s="445"/>
      <c r="G100" s="445"/>
      <c r="H100" s="217" t="s">
        <v>781</v>
      </c>
      <c r="I100" s="448">
        <v>250000000</v>
      </c>
      <c r="J100" s="497">
        <v>228655164</v>
      </c>
      <c r="K100" s="448">
        <v>60814399</v>
      </c>
      <c r="L100" s="448">
        <v>60814399</v>
      </c>
      <c r="M100" s="497"/>
      <c r="N100" s="497"/>
      <c r="O100" s="497"/>
      <c r="P100" s="497"/>
      <c r="Q100" s="497"/>
      <c r="R100" s="497"/>
      <c r="S100" s="497"/>
      <c r="T100" s="497"/>
      <c r="U100" s="497">
        <v>1799947695</v>
      </c>
      <c r="V100" s="497">
        <v>1798302769</v>
      </c>
      <c r="W100" s="497">
        <v>1671113526.24</v>
      </c>
      <c r="X100" s="497">
        <v>1671113526.24</v>
      </c>
      <c r="Y100" s="450">
        <f>+I100+M100+Q100+U100</f>
        <v>2049947695</v>
      </c>
      <c r="Z100" s="450">
        <f>+J100+N100+R100+V100</f>
        <v>2026957933</v>
      </c>
      <c r="AA100" s="450">
        <f>+K100+O100+S100+W100</f>
        <v>1731927925.24</v>
      </c>
      <c r="AB100" s="451">
        <f>+L100+P100+T100+X100</f>
        <v>1731927925.24</v>
      </c>
      <c r="AC100" s="436"/>
    </row>
    <row r="101" spans="1:29" ht="16.5" thickTop="1" thickBot="1" x14ac:dyDescent="0.3">
      <c r="A101" s="444"/>
      <c r="B101" s="444"/>
      <c r="C101" s="444"/>
      <c r="D101" s="444"/>
      <c r="E101" s="445"/>
      <c r="F101" s="445"/>
      <c r="G101" s="445"/>
      <c r="H101" s="505" t="s">
        <v>295</v>
      </c>
      <c r="I101" s="448">
        <f>+I102</f>
        <v>183000000</v>
      </c>
      <c r="J101" s="448">
        <f t="shared" ref="J101:X107" si="50">+J102</f>
        <v>166304716</v>
      </c>
      <c r="K101" s="448">
        <f t="shared" si="50"/>
        <v>166304716</v>
      </c>
      <c r="L101" s="448">
        <f t="shared" si="50"/>
        <v>162204116</v>
      </c>
      <c r="M101" s="497">
        <f t="shared" si="50"/>
        <v>0</v>
      </c>
      <c r="N101" s="497">
        <f t="shared" si="50"/>
        <v>0</v>
      </c>
      <c r="O101" s="497">
        <f t="shared" si="50"/>
        <v>0</v>
      </c>
      <c r="P101" s="497">
        <f t="shared" si="50"/>
        <v>0</v>
      </c>
      <c r="Q101" s="497">
        <f t="shared" si="50"/>
        <v>0</v>
      </c>
      <c r="R101" s="497">
        <f t="shared" si="50"/>
        <v>0</v>
      </c>
      <c r="S101" s="497">
        <f t="shared" si="50"/>
        <v>0</v>
      </c>
      <c r="T101" s="497">
        <f t="shared" si="50"/>
        <v>0</v>
      </c>
      <c r="U101" s="497">
        <f t="shared" si="50"/>
        <v>0</v>
      </c>
      <c r="V101" s="497">
        <f t="shared" si="50"/>
        <v>0</v>
      </c>
      <c r="W101" s="497">
        <f t="shared" si="50"/>
        <v>0</v>
      </c>
      <c r="X101" s="497">
        <f t="shared" si="50"/>
        <v>0</v>
      </c>
      <c r="Y101" s="450">
        <f>I101+M101+Q101+U101</f>
        <v>183000000</v>
      </c>
      <c r="Z101" s="450">
        <f>J101+N101+R101+V101</f>
        <v>166304716</v>
      </c>
      <c r="AA101" s="450">
        <f>K101+O101+S101+W101</f>
        <v>166304716</v>
      </c>
      <c r="AB101" s="450">
        <f>L101+P101+T101+X101</f>
        <v>162204116</v>
      </c>
      <c r="AC101" s="436"/>
    </row>
    <row r="102" spans="1:29" ht="16.5" thickTop="1" thickBot="1" x14ac:dyDescent="0.3">
      <c r="A102" s="472"/>
      <c r="B102" s="472"/>
      <c r="C102" s="472"/>
      <c r="D102" s="472"/>
      <c r="E102" s="472"/>
      <c r="F102" s="472"/>
      <c r="G102" s="472"/>
      <c r="H102" s="217" t="s">
        <v>779</v>
      </c>
      <c r="I102" s="448">
        <f>+I103</f>
        <v>183000000</v>
      </c>
      <c r="J102" s="448">
        <f t="shared" si="50"/>
        <v>166304716</v>
      </c>
      <c r="K102" s="448">
        <f t="shared" si="50"/>
        <v>166304716</v>
      </c>
      <c r="L102" s="448">
        <f t="shared" si="50"/>
        <v>162204116</v>
      </c>
      <c r="M102" s="492">
        <f t="shared" si="50"/>
        <v>0</v>
      </c>
      <c r="N102" s="492">
        <f t="shared" si="50"/>
        <v>0</v>
      </c>
      <c r="O102" s="492">
        <f t="shared" si="50"/>
        <v>0</v>
      </c>
      <c r="P102" s="492">
        <f t="shared" si="50"/>
        <v>0</v>
      </c>
      <c r="Q102" s="492">
        <f t="shared" si="50"/>
        <v>0</v>
      </c>
      <c r="R102" s="492">
        <f t="shared" si="50"/>
        <v>0</v>
      </c>
      <c r="S102" s="492">
        <f t="shared" si="50"/>
        <v>0</v>
      </c>
      <c r="T102" s="492">
        <f t="shared" si="50"/>
        <v>0</v>
      </c>
      <c r="U102" s="492">
        <f t="shared" si="50"/>
        <v>0</v>
      </c>
      <c r="V102" s="492">
        <f t="shared" si="50"/>
        <v>0</v>
      </c>
      <c r="W102" s="492">
        <f t="shared" si="50"/>
        <v>0</v>
      </c>
      <c r="X102" s="492">
        <f t="shared" si="50"/>
        <v>0</v>
      </c>
      <c r="Y102" s="493">
        <f t="shared" ref="Y102:AB104" si="51">+I102+M102+Q102+U102</f>
        <v>183000000</v>
      </c>
      <c r="Z102" s="493">
        <f>+J102+N102+R102+V102</f>
        <v>166304716</v>
      </c>
      <c r="AA102" s="493">
        <f>+K102+O102+S102+W102</f>
        <v>166304716</v>
      </c>
      <c r="AB102" s="493">
        <f>+L102+P102+T102+X102</f>
        <v>162204116</v>
      </c>
      <c r="AC102" s="436"/>
    </row>
    <row r="103" spans="1:29" ht="16.5" thickTop="1" thickBot="1" x14ac:dyDescent="0.3">
      <c r="A103" s="444"/>
      <c r="B103" s="444"/>
      <c r="C103" s="444"/>
      <c r="D103" s="444"/>
      <c r="E103" s="445"/>
      <c r="F103" s="445"/>
      <c r="G103" s="444"/>
      <c r="H103" s="217" t="s">
        <v>780</v>
      </c>
      <c r="I103" s="448">
        <f>+I104</f>
        <v>183000000</v>
      </c>
      <c r="J103" s="448">
        <f t="shared" si="50"/>
        <v>166304716</v>
      </c>
      <c r="K103" s="448">
        <f t="shared" si="50"/>
        <v>166304716</v>
      </c>
      <c r="L103" s="448">
        <f t="shared" si="50"/>
        <v>162204116</v>
      </c>
      <c r="M103" s="497">
        <f t="shared" si="50"/>
        <v>0</v>
      </c>
      <c r="N103" s="497">
        <f t="shared" si="50"/>
        <v>0</v>
      </c>
      <c r="O103" s="497">
        <f t="shared" si="50"/>
        <v>0</v>
      </c>
      <c r="P103" s="497">
        <f t="shared" si="50"/>
        <v>0</v>
      </c>
      <c r="Q103" s="497">
        <f t="shared" si="50"/>
        <v>0</v>
      </c>
      <c r="R103" s="497">
        <f t="shared" si="50"/>
        <v>0</v>
      </c>
      <c r="S103" s="497">
        <f t="shared" si="50"/>
        <v>0</v>
      </c>
      <c r="T103" s="497">
        <f t="shared" si="50"/>
        <v>0</v>
      </c>
      <c r="U103" s="497">
        <f t="shared" si="50"/>
        <v>0</v>
      </c>
      <c r="V103" s="497">
        <f t="shared" si="50"/>
        <v>0</v>
      </c>
      <c r="W103" s="497">
        <f t="shared" si="50"/>
        <v>0</v>
      </c>
      <c r="X103" s="497">
        <f t="shared" si="50"/>
        <v>0</v>
      </c>
      <c r="Y103" s="450">
        <f t="shared" si="51"/>
        <v>183000000</v>
      </c>
      <c r="Z103" s="450">
        <f t="shared" si="51"/>
        <v>166304716</v>
      </c>
      <c r="AA103" s="450">
        <f t="shared" si="51"/>
        <v>166304716</v>
      </c>
      <c r="AB103" s="451">
        <f t="shared" si="51"/>
        <v>162204116</v>
      </c>
      <c r="AC103" s="436"/>
    </row>
    <row r="104" spans="1:29" ht="16.5" thickTop="1" thickBot="1" x14ac:dyDescent="0.3">
      <c r="A104" s="444"/>
      <c r="B104" s="444"/>
      <c r="C104" s="444"/>
      <c r="D104" s="444"/>
      <c r="E104" s="445"/>
      <c r="F104" s="445"/>
      <c r="G104" s="445"/>
      <c r="H104" s="217" t="s">
        <v>781</v>
      </c>
      <c r="I104" s="448">
        <v>183000000</v>
      </c>
      <c r="J104" s="448">
        <v>166304716</v>
      </c>
      <c r="K104" s="448">
        <v>166304716</v>
      </c>
      <c r="L104" s="448">
        <v>162204116</v>
      </c>
      <c r="M104" s="497"/>
      <c r="N104" s="497"/>
      <c r="O104" s="497"/>
      <c r="P104" s="497"/>
      <c r="Q104" s="497"/>
      <c r="R104" s="497"/>
      <c r="S104" s="497"/>
      <c r="T104" s="497"/>
      <c r="U104" s="497"/>
      <c r="V104" s="497"/>
      <c r="W104" s="497"/>
      <c r="X104" s="497"/>
      <c r="Y104" s="450">
        <f t="shared" si="51"/>
        <v>183000000</v>
      </c>
      <c r="Z104" s="450">
        <f t="shared" si="51"/>
        <v>166304716</v>
      </c>
      <c r="AA104" s="450">
        <f t="shared" si="51"/>
        <v>166304716</v>
      </c>
      <c r="AB104" s="451">
        <f t="shared" si="51"/>
        <v>162204116</v>
      </c>
      <c r="AC104" s="436"/>
    </row>
    <row r="105" spans="1:29" ht="39.75" thickTop="1" thickBot="1" x14ac:dyDescent="0.3">
      <c r="A105" s="444"/>
      <c r="B105" s="444"/>
      <c r="C105" s="444"/>
      <c r="D105" s="444"/>
      <c r="E105" s="445"/>
      <c r="F105" s="445"/>
      <c r="G105" s="445"/>
      <c r="H105" s="498" t="s">
        <v>303</v>
      </c>
      <c r="I105" s="448">
        <f>+I106</f>
        <v>1180000000</v>
      </c>
      <c r="J105" s="448">
        <f t="shared" ref="J105:X105" si="52">+J106</f>
        <v>975671281</v>
      </c>
      <c r="K105" s="448">
        <f t="shared" si="52"/>
        <v>256761132</v>
      </c>
      <c r="L105" s="448">
        <f t="shared" si="52"/>
        <v>256761132</v>
      </c>
      <c r="M105" s="497">
        <f t="shared" si="52"/>
        <v>0</v>
      </c>
      <c r="N105" s="497">
        <f t="shared" si="52"/>
        <v>0</v>
      </c>
      <c r="O105" s="497">
        <f t="shared" si="52"/>
        <v>0</v>
      </c>
      <c r="P105" s="497">
        <f t="shared" si="52"/>
        <v>0</v>
      </c>
      <c r="Q105" s="497">
        <f t="shared" si="52"/>
        <v>0</v>
      </c>
      <c r="R105" s="497">
        <f t="shared" si="52"/>
        <v>0</v>
      </c>
      <c r="S105" s="497">
        <f t="shared" si="52"/>
        <v>0</v>
      </c>
      <c r="T105" s="497">
        <f t="shared" si="52"/>
        <v>0</v>
      </c>
      <c r="U105" s="561">
        <f t="shared" si="52"/>
        <v>5285782391</v>
      </c>
      <c r="V105" s="497">
        <f t="shared" si="52"/>
        <v>5284356669</v>
      </c>
      <c r="W105" s="497">
        <f t="shared" si="52"/>
        <v>2556555097.5</v>
      </c>
      <c r="X105" s="497">
        <f t="shared" si="52"/>
        <v>2556555097.5</v>
      </c>
      <c r="Y105" s="450">
        <f>I105+M105+Q105+U105</f>
        <v>6465782391</v>
      </c>
      <c r="Z105" s="450">
        <f>J105+N105+R105+V105</f>
        <v>6260027950</v>
      </c>
      <c r="AA105" s="450">
        <f>K105+O105+S105+W105</f>
        <v>2813316229.5</v>
      </c>
      <c r="AB105" s="450">
        <f>L105+P105+T105+X105</f>
        <v>2813316229.5</v>
      </c>
      <c r="AC105" s="436"/>
    </row>
    <row r="106" spans="1:29" ht="16.5" thickTop="1" thickBot="1" x14ac:dyDescent="0.3">
      <c r="A106" s="472"/>
      <c r="B106" s="472"/>
      <c r="C106" s="472"/>
      <c r="D106" s="472"/>
      <c r="E106" s="472"/>
      <c r="F106" s="472"/>
      <c r="G106" s="472"/>
      <c r="H106" s="499" t="s">
        <v>779</v>
      </c>
      <c r="I106" s="448">
        <f>+I107</f>
        <v>1180000000</v>
      </c>
      <c r="J106" s="492">
        <f t="shared" si="50"/>
        <v>975671281</v>
      </c>
      <c r="K106" s="448">
        <f t="shared" si="50"/>
        <v>256761132</v>
      </c>
      <c r="L106" s="448">
        <f t="shared" si="50"/>
        <v>256761132</v>
      </c>
      <c r="M106" s="492">
        <f t="shared" si="50"/>
        <v>0</v>
      </c>
      <c r="N106" s="492">
        <f t="shared" si="50"/>
        <v>0</v>
      </c>
      <c r="O106" s="492">
        <f t="shared" si="50"/>
        <v>0</v>
      </c>
      <c r="P106" s="492">
        <f t="shared" si="50"/>
        <v>0</v>
      </c>
      <c r="Q106" s="492">
        <f t="shared" si="50"/>
        <v>0</v>
      </c>
      <c r="R106" s="492">
        <f t="shared" si="50"/>
        <v>0</v>
      </c>
      <c r="S106" s="492">
        <f t="shared" si="50"/>
        <v>0</v>
      </c>
      <c r="T106" s="492">
        <f t="shared" si="50"/>
        <v>0</v>
      </c>
      <c r="U106" s="492">
        <f t="shared" si="50"/>
        <v>5285782391</v>
      </c>
      <c r="V106" s="492">
        <f t="shared" si="50"/>
        <v>5284356669</v>
      </c>
      <c r="W106" s="492">
        <f t="shared" si="50"/>
        <v>2556555097.5</v>
      </c>
      <c r="X106" s="492">
        <f t="shared" si="50"/>
        <v>2556555097.5</v>
      </c>
      <c r="Y106" s="493">
        <f t="shared" ref="Y106:AB107" si="53">+I106+M106+Q106+U106</f>
        <v>6465782391</v>
      </c>
      <c r="Z106" s="493">
        <f t="shared" si="53"/>
        <v>6260027950</v>
      </c>
      <c r="AA106" s="493">
        <f t="shared" si="53"/>
        <v>2813316229.5</v>
      </c>
      <c r="AB106" s="494">
        <f t="shared" si="53"/>
        <v>2813316229.5</v>
      </c>
      <c r="AC106" s="436"/>
    </row>
    <row r="107" spans="1:29" ht="16.5" thickTop="1" thickBot="1" x14ac:dyDescent="0.3">
      <c r="A107" s="444"/>
      <c r="B107" s="444"/>
      <c r="C107" s="444"/>
      <c r="D107" s="444"/>
      <c r="E107" s="445"/>
      <c r="F107" s="445"/>
      <c r="G107" s="444"/>
      <c r="H107" s="217" t="s">
        <v>780</v>
      </c>
      <c r="I107" s="448">
        <f>+I108</f>
        <v>1180000000</v>
      </c>
      <c r="J107" s="497">
        <f t="shared" si="50"/>
        <v>975671281</v>
      </c>
      <c r="K107" s="448">
        <f t="shared" si="50"/>
        <v>256761132</v>
      </c>
      <c r="L107" s="448">
        <f t="shared" si="50"/>
        <v>256761132</v>
      </c>
      <c r="M107" s="497">
        <f t="shared" si="50"/>
        <v>0</v>
      </c>
      <c r="N107" s="497">
        <f t="shared" si="50"/>
        <v>0</v>
      </c>
      <c r="O107" s="497">
        <f t="shared" si="50"/>
        <v>0</v>
      </c>
      <c r="P107" s="497">
        <f t="shared" si="50"/>
        <v>0</v>
      </c>
      <c r="Q107" s="497">
        <f t="shared" si="50"/>
        <v>0</v>
      </c>
      <c r="R107" s="497">
        <f t="shared" si="50"/>
        <v>0</v>
      </c>
      <c r="S107" s="497">
        <f t="shared" si="50"/>
        <v>0</v>
      </c>
      <c r="T107" s="497">
        <f t="shared" si="50"/>
        <v>0</v>
      </c>
      <c r="U107" s="497">
        <v>5285782391</v>
      </c>
      <c r="V107" s="497">
        <v>5284356669</v>
      </c>
      <c r="W107" s="497">
        <v>2556555097.5</v>
      </c>
      <c r="X107" s="497">
        <v>2556555097.5</v>
      </c>
      <c r="Y107" s="450">
        <f t="shared" si="53"/>
        <v>6465782391</v>
      </c>
      <c r="Z107" s="450">
        <f t="shared" si="53"/>
        <v>6260027950</v>
      </c>
      <c r="AA107" s="450">
        <f t="shared" si="53"/>
        <v>2813316229.5</v>
      </c>
      <c r="AB107" s="451">
        <f t="shared" si="53"/>
        <v>2813316229.5</v>
      </c>
      <c r="AC107" s="436"/>
    </row>
    <row r="108" spans="1:29" ht="16.5" thickTop="1" thickBot="1" x14ac:dyDescent="0.3">
      <c r="A108" s="444"/>
      <c r="B108" s="444"/>
      <c r="C108" s="444"/>
      <c r="D108" s="444"/>
      <c r="E108" s="445"/>
      <c r="F108" s="445"/>
      <c r="G108" s="445"/>
      <c r="H108" s="217" t="s">
        <v>781</v>
      </c>
      <c r="I108" s="448">
        <v>1180000000</v>
      </c>
      <c r="J108" s="497">
        <v>975671281</v>
      </c>
      <c r="K108" s="448">
        <v>256761132</v>
      </c>
      <c r="L108" s="448">
        <v>256761132</v>
      </c>
      <c r="M108" s="497"/>
      <c r="N108" s="497"/>
      <c r="O108" s="497"/>
      <c r="P108" s="497"/>
      <c r="Q108" s="497"/>
      <c r="R108" s="497"/>
      <c r="S108" s="497"/>
      <c r="T108" s="497"/>
      <c r="U108" s="497">
        <v>5285782391</v>
      </c>
      <c r="V108" s="497">
        <v>5284356669</v>
      </c>
      <c r="W108" s="497">
        <v>2556555097.5</v>
      </c>
      <c r="X108" s="497">
        <v>2556555097.5</v>
      </c>
      <c r="Y108" s="450">
        <f t="shared" ref="Y108:AB112" si="54">+I108+M108+Q108+U108</f>
        <v>6465782391</v>
      </c>
      <c r="Z108" s="450">
        <f t="shared" si="54"/>
        <v>6260027950</v>
      </c>
      <c r="AA108" s="450">
        <f t="shared" si="54"/>
        <v>2813316229.5</v>
      </c>
      <c r="AB108" s="451">
        <f t="shared" si="54"/>
        <v>2813316229.5</v>
      </c>
      <c r="AC108" s="436"/>
    </row>
    <row r="109" spans="1:29" ht="27" thickTop="1" thickBot="1" x14ac:dyDescent="0.3">
      <c r="A109" s="444"/>
      <c r="B109" s="444"/>
      <c r="C109" s="444"/>
      <c r="D109" s="444"/>
      <c r="E109" s="444"/>
      <c r="F109" s="444"/>
      <c r="G109" s="444"/>
      <c r="H109" s="498" t="s">
        <v>331</v>
      </c>
      <c r="I109" s="448">
        <f>+I110</f>
        <v>1800000000</v>
      </c>
      <c r="J109" s="448">
        <f t="shared" ref="J109:X115" si="55">+J110</f>
        <v>1798207407</v>
      </c>
      <c r="K109" s="448">
        <f t="shared" si="55"/>
        <v>1049479407</v>
      </c>
      <c r="L109" s="448">
        <f t="shared" si="55"/>
        <v>1049479407</v>
      </c>
      <c r="M109" s="448">
        <f t="shared" si="55"/>
        <v>0</v>
      </c>
      <c r="N109" s="448">
        <f t="shared" si="55"/>
        <v>0</v>
      </c>
      <c r="O109" s="448">
        <f t="shared" si="55"/>
        <v>0</v>
      </c>
      <c r="P109" s="448">
        <f t="shared" si="55"/>
        <v>0</v>
      </c>
      <c r="Q109" s="448">
        <f t="shared" si="55"/>
        <v>0</v>
      </c>
      <c r="R109" s="448">
        <f t="shared" si="55"/>
        <v>0</v>
      </c>
      <c r="S109" s="448">
        <f t="shared" si="55"/>
        <v>0</v>
      </c>
      <c r="T109" s="448">
        <f t="shared" si="55"/>
        <v>0</v>
      </c>
      <c r="U109" s="448">
        <f t="shared" si="55"/>
        <v>0</v>
      </c>
      <c r="V109" s="448">
        <f t="shared" si="55"/>
        <v>0</v>
      </c>
      <c r="W109" s="448">
        <f t="shared" si="55"/>
        <v>0</v>
      </c>
      <c r="X109" s="448">
        <f t="shared" si="55"/>
        <v>0</v>
      </c>
      <c r="Y109" s="462">
        <f t="shared" si="54"/>
        <v>1800000000</v>
      </c>
      <c r="Z109" s="462">
        <f t="shared" si="54"/>
        <v>1798207407</v>
      </c>
      <c r="AA109" s="462">
        <f t="shared" si="54"/>
        <v>1049479407</v>
      </c>
      <c r="AB109" s="462">
        <f t="shared" si="54"/>
        <v>1049479407</v>
      </c>
      <c r="AC109" s="462">
        <f>+M109+Q109+U109+Y109</f>
        <v>1800000000</v>
      </c>
    </row>
    <row r="110" spans="1:29" ht="16.5" thickTop="1" thickBot="1" x14ac:dyDescent="0.3">
      <c r="A110" s="472"/>
      <c r="B110" s="472"/>
      <c r="C110" s="472"/>
      <c r="D110" s="472"/>
      <c r="E110" s="472"/>
      <c r="F110" s="472"/>
      <c r="G110" s="472"/>
      <c r="H110" s="499" t="s">
        <v>779</v>
      </c>
      <c r="I110" s="448">
        <f>+I111</f>
        <v>1800000000</v>
      </c>
      <c r="J110" s="448">
        <f t="shared" si="55"/>
        <v>1798207407</v>
      </c>
      <c r="K110" s="448">
        <f t="shared" si="55"/>
        <v>1049479407</v>
      </c>
      <c r="L110" s="448">
        <f t="shared" si="55"/>
        <v>1049479407</v>
      </c>
      <c r="M110" s="492">
        <f t="shared" si="55"/>
        <v>0</v>
      </c>
      <c r="N110" s="492">
        <f t="shared" si="55"/>
        <v>0</v>
      </c>
      <c r="O110" s="492">
        <f t="shared" si="55"/>
        <v>0</v>
      </c>
      <c r="P110" s="492">
        <f t="shared" si="55"/>
        <v>0</v>
      </c>
      <c r="Q110" s="492">
        <f t="shared" si="55"/>
        <v>0</v>
      </c>
      <c r="R110" s="492">
        <f t="shared" si="55"/>
        <v>0</v>
      </c>
      <c r="S110" s="492">
        <f t="shared" si="55"/>
        <v>0</v>
      </c>
      <c r="T110" s="492">
        <f t="shared" si="55"/>
        <v>0</v>
      </c>
      <c r="U110" s="492">
        <f t="shared" si="55"/>
        <v>0</v>
      </c>
      <c r="V110" s="492">
        <f t="shared" si="55"/>
        <v>0</v>
      </c>
      <c r="W110" s="492">
        <f t="shared" si="55"/>
        <v>0</v>
      </c>
      <c r="X110" s="492">
        <f t="shared" si="55"/>
        <v>0</v>
      </c>
      <c r="Y110" s="493">
        <f t="shared" si="54"/>
        <v>1800000000</v>
      </c>
      <c r="Z110" s="493">
        <f t="shared" si="54"/>
        <v>1798207407</v>
      </c>
      <c r="AA110" s="493">
        <f t="shared" si="54"/>
        <v>1049479407</v>
      </c>
      <c r="AB110" s="494">
        <f t="shared" si="54"/>
        <v>1049479407</v>
      </c>
      <c r="AC110" s="436"/>
    </row>
    <row r="111" spans="1:29" ht="16.5" thickTop="1" thickBot="1" x14ac:dyDescent="0.3">
      <c r="A111" s="444"/>
      <c r="B111" s="444"/>
      <c r="C111" s="444"/>
      <c r="D111" s="444"/>
      <c r="E111" s="445"/>
      <c r="F111" s="445"/>
      <c r="G111" s="444"/>
      <c r="H111" s="217" t="s">
        <v>780</v>
      </c>
      <c r="I111" s="448">
        <f>+I112</f>
        <v>1800000000</v>
      </c>
      <c r="J111" s="448">
        <f t="shared" si="55"/>
        <v>1798207407</v>
      </c>
      <c r="K111" s="448">
        <f t="shared" si="55"/>
        <v>1049479407</v>
      </c>
      <c r="L111" s="448">
        <f t="shared" si="55"/>
        <v>1049479407</v>
      </c>
      <c r="M111" s="497">
        <f t="shared" si="55"/>
        <v>0</v>
      </c>
      <c r="N111" s="497">
        <f t="shared" si="55"/>
        <v>0</v>
      </c>
      <c r="O111" s="497">
        <f t="shared" si="55"/>
        <v>0</v>
      </c>
      <c r="P111" s="497">
        <f t="shared" si="55"/>
        <v>0</v>
      </c>
      <c r="Q111" s="497">
        <f t="shared" si="55"/>
        <v>0</v>
      </c>
      <c r="R111" s="497">
        <f t="shared" si="55"/>
        <v>0</v>
      </c>
      <c r="S111" s="497">
        <f t="shared" si="55"/>
        <v>0</v>
      </c>
      <c r="T111" s="497">
        <f t="shared" si="55"/>
        <v>0</v>
      </c>
      <c r="U111" s="497">
        <f t="shared" si="55"/>
        <v>0</v>
      </c>
      <c r="V111" s="497">
        <f t="shared" si="55"/>
        <v>0</v>
      </c>
      <c r="W111" s="497">
        <f t="shared" si="55"/>
        <v>0</v>
      </c>
      <c r="X111" s="497">
        <f t="shared" si="55"/>
        <v>0</v>
      </c>
      <c r="Y111" s="450">
        <f t="shared" si="54"/>
        <v>1800000000</v>
      </c>
      <c r="Z111" s="450">
        <f t="shared" si="54"/>
        <v>1798207407</v>
      </c>
      <c r="AA111" s="450">
        <f t="shared" si="54"/>
        <v>1049479407</v>
      </c>
      <c r="AB111" s="451">
        <f t="shared" si="54"/>
        <v>1049479407</v>
      </c>
      <c r="AC111" s="436"/>
    </row>
    <row r="112" spans="1:29" ht="16.5" thickTop="1" thickBot="1" x14ac:dyDescent="0.3">
      <c r="A112" s="444"/>
      <c r="B112" s="444"/>
      <c r="C112" s="444"/>
      <c r="D112" s="444"/>
      <c r="E112" s="445"/>
      <c r="F112" s="445"/>
      <c r="G112" s="444"/>
      <c r="H112" s="217" t="s">
        <v>781</v>
      </c>
      <c r="I112" s="448">
        <v>1800000000</v>
      </c>
      <c r="J112" s="448">
        <v>1798207407</v>
      </c>
      <c r="K112" s="448">
        <v>1049479407</v>
      </c>
      <c r="L112" s="448">
        <v>1049479407</v>
      </c>
      <c r="M112" s="497"/>
      <c r="N112" s="497"/>
      <c r="O112" s="497"/>
      <c r="P112" s="497"/>
      <c r="Q112" s="497"/>
      <c r="R112" s="497"/>
      <c r="S112" s="497"/>
      <c r="T112" s="497"/>
      <c r="U112" s="497"/>
      <c r="V112" s="497"/>
      <c r="W112" s="497"/>
      <c r="X112" s="497"/>
      <c r="Y112" s="450">
        <f t="shared" si="54"/>
        <v>1800000000</v>
      </c>
      <c r="Z112" s="450">
        <f t="shared" si="54"/>
        <v>1798207407</v>
      </c>
      <c r="AA112" s="450">
        <f t="shared" si="54"/>
        <v>1049479407</v>
      </c>
      <c r="AB112" s="451">
        <f t="shared" si="54"/>
        <v>1049479407</v>
      </c>
      <c r="AC112" s="436"/>
    </row>
    <row r="113" spans="1:29" ht="27" thickTop="1" thickBot="1" x14ac:dyDescent="0.3">
      <c r="A113" s="444"/>
      <c r="B113" s="444"/>
      <c r="C113" s="444"/>
      <c r="D113" s="444"/>
      <c r="E113" s="444"/>
      <c r="F113" s="444"/>
      <c r="G113" s="444"/>
      <c r="H113" s="498" t="s">
        <v>782</v>
      </c>
      <c r="I113" s="448">
        <f>+I114</f>
        <v>0</v>
      </c>
      <c r="J113" s="448">
        <f>+J114</f>
        <v>0</v>
      </c>
      <c r="K113" s="448">
        <f>+K114</f>
        <v>0</v>
      </c>
      <c r="L113" s="448">
        <f>+L114</f>
        <v>0</v>
      </c>
      <c r="M113" s="448"/>
      <c r="N113" s="448"/>
      <c r="O113" s="448"/>
      <c r="P113" s="448"/>
      <c r="Q113" s="448">
        <f t="shared" si="55"/>
        <v>0</v>
      </c>
      <c r="R113" s="448">
        <f t="shared" si="55"/>
        <v>0</v>
      </c>
      <c r="S113" s="448">
        <f t="shared" si="55"/>
        <v>0</v>
      </c>
      <c r="T113" s="448">
        <f t="shared" si="55"/>
        <v>0</v>
      </c>
      <c r="U113" s="448">
        <f t="shared" si="55"/>
        <v>0</v>
      </c>
      <c r="V113" s="448">
        <f t="shared" si="55"/>
        <v>0</v>
      </c>
      <c r="W113" s="448">
        <f t="shared" si="55"/>
        <v>0</v>
      </c>
      <c r="X113" s="448">
        <f t="shared" si="55"/>
        <v>0</v>
      </c>
      <c r="Y113" s="566">
        <f>I113+M113+Q113+U113</f>
        <v>0</v>
      </c>
      <c r="Z113" s="566">
        <f>J113+N113+R113+V113</f>
        <v>0</v>
      </c>
      <c r="AA113" s="566">
        <f>K113+O113+S113+W113</f>
        <v>0</v>
      </c>
      <c r="AB113" s="566">
        <f>L113+P113+T113+X113</f>
        <v>0</v>
      </c>
      <c r="AC113" s="436"/>
    </row>
    <row r="114" spans="1:29" ht="16.5" thickTop="1" thickBot="1" x14ac:dyDescent="0.3">
      <c r="A114" s="472"/>
      <c r="B114" s="472"/>
      <c r="C114" s="472"/>
      <c r="D114" s="472"/>
      <c r="E114" s="472"/>
      <c r="F114" s="472"/>
      <c r="G114" s="472"/>
      <c r="H114" s="499" t="s">
        <v>779</v>
      </c>
      <c r="I114" s="448">
        <f>+I115</f>
        <v>0</v>
      </c>
      <c r="J114" s="492">
        <f t="shared" si="55"/>
        <v>0</v>
      </c>
      <c r="K114" s="448">
        <f t="shared" si="55"/>
        <v>0</v>
      </c>
      <c r="L114" s="448">
        <f t="shared" si="55"/>
        <v>0</v>
      </c>
      <c r="M114" s="492"/>
      <c r="N114" s="448"/>
      <c r="O114" s="448"/>
      <c r="P114" s="448"/>
      <c r="Q114" s="492">
        <f t="shared" si="55"/>
        <v>0</v>
      </c>
      <c r="R114" s="492">
        <f t="shared" si="55"/>
        <v>0</v>
      </c>
      <c r="S114" s="492">
        <f t="shared" si="55"/>
        <v>0</v>
      </c>
      <c r="T114" s="492">
        <f t="shared" si="55"/>
        <v>0</v>
      </c>
      <c r="U114" s="492">
        <f t="shared" si="55"/>
        <v>0</v>
      </c>
      <c r="V114" s="492">
        <f t="shared" si="55"/>
        <v>0</v>
      </c>
      <c r="W114" s="492">
        <f t="shared" si="55"/>
        <v>0</v>
      </c>
      <c r="X114" s="492">
        <f t="shared" si="55"/>
        <v>0</v>
      </c>
      <c r="Y114" s="493"/>
      <c r="Z114" s="493"/>
      <c r="AA114" s="493"/>
      <c r="AB114" s="494"/>
      <c r="AC114" s="436"/>
    </row>
    <row r="115" spans="1:29" ht="16.5" thickTop="1" thickBot="1" x14ac:dyDescent="0.3">
      <c r="A115" s="444"/>
      <c r="B115" s="444"/>
      <c r="C115" s="444"/>
      <c r="D115" s="444"/>
      <c r="E115" s="445"/>
      <c r="F115" s="445"/>
      <c r="G115" s="444"/>
      <c r="H115" s="217" t="s">
        <v>780</v>
      </c>
      <c r="I115" s="448">
        <f>+I116</f>
        <v>0</v>
      </c>
      <c r="J115" s="497">
        <f t="shared" si="55"/>
        <v>0</v>
      </c>
      <c r="K115" s="448">
        <f t="shared" si="55"/>
        <v>0</v>
      </c>
      <c r="L115" s="448">
        <f t="shared" si="55"/>
        <v>0</v>
      </c>
      <c r="M115" s="497"/>
      <c r="N115" s="497"/>
      <c r="O115" s="448"/>
      <c r="P115" s="448"/>
      <c r="Q115" s="497">
        <f t="shared" si="55"/>
        <v>0</v>
      </c>
      <c r="R115" s="497">
        <f t="shared" si="55"/>
        <v>0</v>
      </c>
      <c r="S115" s="497">
        <f t="shared" si="55"/>
        <v>0</v>
      </c>
      <c r="T115" s="497">
        <f t="shared" si="55"/>
        <v>0</v>
      </c>
      <c r="U115" s="497">
        <f t="shared" si="55"/>
        <v>0</v>
      </c>
      <c r="V115" s="497">
        <f t="shared" si="55"/>
        <v>0</v>
      </c>
      <c r="W115" s="497">
        <f t="shared" si="55"/>
        <v>0</v>
      </c>
      <c r="X115" s="497">
        <f t="shared" si="55"/>
        <v>0</v>
      </c>
      <c r="Y115" s="450"/>
      <c r="Z115" s="450"/>
      <c r="AA115" s="450"/>
      <c r="AB115" s="451"/>
      <c r="AC115" s="436"/>
    </row>
    <row r="116" spans="1:29" ht="16.5" thickTop="1" thickBot="1" x14ac:dyDescent="0.3">
      <c r="A116" s="444"/>
      <c r="B116" s="444"/>
      <c r="C116" s="444"/>
      <c r="D116" s="444"/>
      <c r="E116" s="445"/>
      <c r="F116" s="445"/>
      <c r="G116" s="444"/>
      <c r="H116" s="217" t="s">
        <v>781</v>
      </c>
      <c r="I116" s="448"/>
      <c r="J116" s="497"/>
      <c r="K116" s="448"/>
      <c r="L116" s="448"/>
      <c r="Q116" s="497">
        <v>0</v>
      </c>
      <c r="R116" s="497"/>
      <c r="S116" s="497"/>
      <c r="T116" s="497"/>
      <c r="U116" s="497"/>
      <c r="V116" s="497"/>
      <c r="W116" s="497"/>
      <c r="X116" s="497"/>
      <c r="Y116" s="450"/>
      <c r="Z116" s="450"/>
      <c r="AA116" s="450"/>
      <c r="AB116" s="451"/>
      <c r="AC116" s="436"/>
    </row>
    <row r="117" spans="1:29" ht="52.5" thickTop="1" thickBot="1" x14ac:dyDescent="0.3">
      <c r="A117" s="444"/>
      <c r="B117" s="444"/>
      <c r="C117" s="444"/>
      <c r="D117" s="444"/>
      <c r="E117" s="445"/>
      <c r="F117" s="445"/>
      <c r="G117" s="444"/>
      <c r="H117" s="498" t="s">
        <v>1460</v>
      </c>
      <c r="I117" s="448"/>
      <c r="J117" s="497"/>
      <c r="K117" s="448"/>
      <c r="L117" s="448"/>
      <c r="M117" s="497"/>
      <c r="N117" s="448"/>
      <c r="O117" s="497">
        <f t="shared" ref="O117:P119" si="56">+O118</f>
        <v>0</v>
      </c>
      <c r="P117" s="497">
        <f t="shared" si="56"/>
        <v>0</v>
      </c>
      <c r="Q117" s="497"/>
      <c r="R117" s="497"/>
      <c r="S117" s="497"/>
      <c r="T117" s="497"/>
      <c r="U117" s="497"/>
      <c r="V117" s="497"/>
      <c r="W117" s="497"/>
      <c r="X117" s="497"/>
      <c r="Y117" s="565">
        <f>I117+M117+Q117+U117</f>
        <v>0</v>
      </c>
      <c r="Z117" s="565">
        <f>J117+N117+R117+V117</f>
        <v>0</v>
      </c>
      <c r="AA117" s="565">
        <f>K117+O117+S117+W117</f>
        <v>0</v>
      </c>
      <c r="AB117" s="565">
        <f>L117+P117+T117+X117</f>
        <v>0</v>
      </c>
      <c r="AC117" s="436"/>
    </row>
    <row r="118" spans="1:29" ht="16.5" thickTop="1" thickBot="1" x14ac:dyDescent="0.3">
      <c r="A118" s="444"/>
      <c r="B118" s="444"/>
      <c r="C118" s="444"/>
      <c r="D118" s="444"/>
      <c r="E118" s="445"/>
      <c r="F118" s="445"/>
      <c r="G118" s="444"/>
      <c r="H118" s="499" t="s">
        <v>779</v>
      </c>
      <c r="I118" s="448"/>
      <c r="J118" s="497"/>
      <c r="K118" s="448"/>
      <c r="L118" s="448"/>
      <c r="M118" s="497"/>
      <c r="N118" s="497"/>
      <c r="O118" s="497">
        <f t="shared" si="56"/>
        <v>0</v>
      </c>
      <c r="P118" s="497">
        <f t="shared" si="56"/>
        <v>0</v>
      </c>
      <c r="Q118" s="497"/>
      <c r="R118" s="497"/>
      <c r="S118" s="497"/>
      <c r="T118" s="497"/>
      <c r="U118" s="497"/>
      <c r="V118" s="497"/>
      <c r="W118" s="497"/>
      <c r="X118" s="497"/>
      <c r="Y118" s="450"/>
      <c r="Z118" s="450"/>
      <c r="AA118" s="450"/>
      <c r="AB118" s="451"/>
      <c r="AC118" s="436"/>
    </row>
    <row r="119" spans="1:29" ht="16.5" thickTop="1" thickBot="1" x14ac:dyDescent="0.3">
      <c r="A119" s="444"/>
      <c r="B119" s="444"/>
      <c r="C119" s="444"/>
      <c r="D119" s="444"/>
      <c r="E119" s="445"/>
      <c r="F119" s="445"/>
      <c r="G119" s="444"/>
      <c r="H119" s="217" t="s">
        <v>780</v>
      </c>
      <c r="I119" s="448"/>
      <c r="J119" s="497"/>
      <c r="K119" s="448"/>
      <c r="L119" s="448"/>
      <c r="M119" s="497"/>
      <c r="N119" s="497"/>
      <c r="O119" s="497">
        <f t="shared" si="56"/>
        <v>0</v>
      </c>
      <c r="P119" s="497">
        <f t="shared" si="56"/>
        <v>0</v>
      </c>
      <c r="Q119" s="497"/>
      <c r="R119" s="497"/>
      <c r="S119" s="497"/>
      <c r="T119" s="497"/>
      <c r="U119" s="497"/>
      <c r="V119" s="497"/>
      <c r="W119" s="497"/>
      <c r="X119" s="497"/>
      <c r="Y119" s="450"/>
      <c r="Z119" s="450"/>
      <c r="AA119" s="450"/>
      <c r="AB119" s="451"/>
      <c r="AC119" s="436"/>
    </row>
    <row r="120" spans="1:29" ht="16.5" thickTop="1" thickBot="1" x14ac:dyDescent="0.3">
      <c r="A120" s="444"/>
      <c r="B120" s="444"/>
      <c r="C120" s="444"/>
      <c r="D120" s="444"/>
      <c r="E120" s="445"/>
      <c r="F120" s="445"/>
      <c r="G120" s="444"/>
      <c r="H120" s="217" t="s">
        <v>781</v>
      </c>
      <c r="I120" s="448"/>
      <c r="J120" s="497"/>
      <c r="K120" s="448"/>
      <c r="L120" s="448"/>
      <c r="O120" s="497">
        <v>0</v>
      </c>
      <c r="P120" s="497">
        <v>0</v>
      </c>
      <c r="Q120" s="497"/>
      <c r="R120" s="497"/>
      <c r="S120" s="497"/>
      <c r="T120" s="497"/>
      <c r="U120" s="497"/>
      <c r="V120" s="497"/>
      <c r="W120" s="497"/>
      <c r="X120" s="497"/>
      <c r="Y120" s="450"/>
      <c r="Z120" s="450"/>
      <c r="AA120" s="450"/>
      <c r="AB120" s="451"/>
      <c r="AC120" s="436"/>
    </row>
    <row r="121" spans="1:29" ht="16.5" thickTop="1" thickBot="1" x14ac:dyDescent="0.3">
      <c r="A121" s="444"/>
      <c r="B121" s="444"/>
      <c r="C121" s="444"/>
      <c r="D121" s="444"/>
      <c r="E121" s="444"/>
      <c r="F121" s="444"/>
      <c r="G121" s="444"/>
      <c r="H121" s="216" t="s">
        <v>341</v>
      </c>
      <c r="I121" s="500">
        <f>+I122</f>
        <v>4794659743</v>
      </c>
      <c r="J121" s="500">
        <f t="shared" ref="J121:X124" si="57">+J122</f>
        <v>3973487379</v>
      </c>
      <c r="K121" s="500">
        <f t="shared" si="57"/>
        <v>2142137515</v>
      </c>
      <c r="L121" s="500">
        <f t="shared" si="57"/>
        <v>2036326607</v>
      </c>
      <c r="M121" s="508">
        <f t="shared" ref="M121:T121" si="58">+M122+M189</f>
        <v>0</v>
      </c>
      <c r="N121" s="508">
        <f t="shared" si="58"/>
        <v>0</v>
      </c>
      <c r="O121" s="508">
        <f t="shared" si="58"/>
        <v>0</v>
      </c>
      <c r="P121" s="508">
        <f t="shared" si="58"/>
        <v>0</v>
      </c>
      <c r="Q121" s="508">
        <f t="shared" si="58"/>
        <v>0</v>
      </c>
      <c r="R121" s="508">
        <f t="shared" si="58"/>
        <v>0</v>
      </c>
      <c r="S121" s="508">
        <f t="shared" si="58"/>
        <v>0</v>
      </c>
      <c r="T121" s="508">
        <f t="shared" si="58"/>
        <v>0</v>
      </c>
      <c r="U121" s="562">
        <f>+U122</f>
        <v>4586282411</v>
      </c>
      <c r="V121" s="562">
        <f>+V122</f>
        <v>4586261584.5</v>
      </c>
      <c r="W121" s="562">
        <f>+W122</f>
        <v>1381953264.99</v>
      </c>
      <c r="X121" s="562">
        <f>+X122</f>
        <v>1381953264.99</v>
      </c>
      <c r="Y121" s="462">
        <f>Y122</f>
        <v>9380942154</v>
      </c>
      <c r="Z121" s="462">
        <f>Z122</f>
        <v>8559748963.5</v>
      </c>
      <c r="AA121" s="462">
        <f>AA122</f>
        <v>3524090779.9899998</v>
      </c>
      <c r="AB121" s="462">
        <f>AB122</f>
        <v>3418279871.9899998</v>
      </c>
      <c r="AC121" s="436"/>
    </row>
    <row r="122" spans="1:29" ht="27" thickTop="1" thickBot="1" x14ac:dyDescent="0.3">
      <c r="A122" s="444"/>
      <c r="B122" s="444"/>
      <c r="C122" s="444"/>
      <c r="D122" s="444"/>
      <c r="E122" s="444"/>
      <c r="F122" s="444"/>
      <c r="G122" s="444"/>
      <c r="H122" s="498" t="s">
        <v>342</v>
      </c>
      <c r="I122" s="448">
        <f>+I123</f>
        <v>4794659743</v>
      </c>
      <c r="J122" s="448">
        <f t="shared" si="57"/>
        <v>3973487379</v>
      </c>
      <c r="K122" s="448">
        <f t="shared" si="57"/>
        <v>2142137515</v>
      </c>
      <c r="L122" s="448">
        <f t="shared" si="57"/>
        <v>2036326607</v>
      </c>
      <c r="M122" s="448">
        <f t="shared" si="57"/>
        <v>0</v>
      </c>
      <c r="N122" s="448">
        <f t="shared" si="57"/>
        <v>0</v>
      </c>
      <c r="O122" s="448">
        <f t="shared" si="57"/>
        <v>0</v>
      </c>
      <c r="P122" s="448">
        <f t="shared" si="57"/>
        <v>0</v>
      </c>
      <c r="Q122" s="448">
        <f t="shared" si="57"/>
        <v>0</v>
      </c>
      <c r="R122" s="448">
        <f t="shared" si="57"/>
        <v>0</v>
      </c>
      <c r="S122" s="448">
        <f t="shared" si="57"/>
        <v>0</v>
      </c>
      <c r="T122" s="448">
        <f t="shared" si="57"/>
        <v>0</v>
      </c>
      <c r="U122" s="448">
        <f t="shared" si="57"/>
        <v>4586282411</v>
      </c>
      <c r="V122" s="448">
        <f t="shared" si="57"/>
        <v>4586261584.5</v>
      </c>
      <c r="W122" s="448">
        <f t="shared" si="57"/>
        <v>1381953264.99</v>
      </c>
      <c r="X122" s="448">
        <f t="shared" si="57"/>
        <v>1381953264.99</v>
      </c>
      <c r="Y122" s="462">
        <f t="shared" ref="Y122:AB125" si="59">+I122+M122+Q122+U122</f>
        <v>9380942154</v>
      </c>
      <c r="Z122" s="462">
        <f t="shared" si="59"/>
        <v>8559748963.5</v>
      </c>
      <c r="AA122" s="462">
        <f t="shared" si="59"/>
        <v>3524090779.9899998</v>
      </c>
      <c r="AB122" s="462">
        <f t="shared" si="59"/>
        <v>3418279871.9899998</v>
      </c>
      <c r="AC122" s="436"/>
    </row>
    <row r="123" spans="1:29" ht="16.5" thickTop="1" thickBot="1" x14ac:dyDescent="0.3">
      <c r="A123" s="472"/>
      <c r="B123" s="472"/>
      <c r="C123" s="472"/>
      <c r="D123" s="472"/>
      <c r="E123" s="472"/>
      <c r="F123" s="472"/>
      <c r="G123" s="472"/>
      <c r="H123" s="499" t="s">
        <v>779</v>
      </c>
      <c r="I123" s="448">
        <f>+I124</f>
        <v>4794659743</v>
      </c>
      <c r="J123" s="448">
        <f t="shared" si="57"/>
        <v>3973487379</v>
      </c>
      <c r="K123" s="448">
        <f t="shared" si="57"/>
        <v>2142137515</v>
      </c>
      <c r="L123" s="448">
        <f t="shared" si="57"/>
        <v>2036326607</v>
      </c>
      <c r="M123" s="492">
        <f t="shared" si="57"/>
        <v>0</v>
      </c>
      <c r="N123" s="492">
        <f t="shared" si="57"/>
        <v>0</v>
      </c>
      <c r="O123" s="492">
        <f t="shared" si="57"/>
        <v>0</v>
      </c>
      <c r="P123" s="492">
        <f t="shared" si="57"/>
        <v>0</v>
      </c>
      <c r="Q123" s="492">
        <f t="shared" si="57"/>
        <v>0</v>
      </c>
      <c r="R123" s="492">
        <f t="shared" si="57"/>
        <v>0</v>
      </c>
      <c r="S123" s="492">
        <f t="shared" si="57"/>
        <v>0</v>
      </c>
      <c r="T123" s="492">
        <f t="shared" si="57"/>
        <v>0</v>
      </c>
      <c r="U123" s="492">
        <f t="shared" si="57"/>
        <v>4586282411</v>
      </c>
      <c r="V123" s="492">
        <f t="shared" si="57"/>
        <v>4586261584.5</v>
      </c>
      <c r="W123" s="492">
        <f t="shared" si="57"/>
        <v>1381953264.99</v>
      </c>
      <c r="X123" s="492">
        <f t="shared" si="57"/>
        <v>1381953264.99</v>
      </c>
      <c r="Y123" s="493">
        <f t="shared" si="59"/>
        <v>9380942154</v>
      </c>
      <c r="Z123" s="493">
        <f t="shared" si="59"/>
        <v>8559748963.5</v>
      </c>
      <c r="AA123" s="493">
        <f t="shared" si="59"/>
        <v>3524090779.9899998</v>
      </c>
      <c r="AB123" s="494">
        <f t="shared" si="59"/>
        <v>3418279871.9899998</v>
      </c>
      <c r="AC123" s="436"/>
    </row>
    <row r="124" spans="1:29" ht="16.5" thickTop="1" thickBot="1" x14ac:dyDescent="0.3">
      <c r="A124" s="444"/>
      <c r="B124" s="444"/>
      <c r="C124" s="446"/>
      <c r="D124" s="444"/>
      <c r="E124" s="445"/>
      <c r="F124" s="444"/>
      <c r="G124" s="444"/>
      <c r="H124" s="217" t="s">
        <v>780</v>
      </c>
      <c r="I124" s="448">
        <f>+I125</f>
        <v>4794659743</v>
      </c>
      <c r="J124" s="448">
        <f t="shared" si="57"/>
        <v>3973487379</v>
      </c>
      <c r="K124" s="448">
        <f t="shared" si="57"/>
        <v>2142137515</v>
      </c>
      <c r="L124" s="448">
        <f t="shared" si="57"/>
        <v>2036326607</v>
      </c>
      <c r="M124" s="497">
        <f t="shared" si="57"/>
        <v>0</v>
      </c>
      <c r="N124" s="497">
        <f t="shared" si="57"/>
        <v>0</v>
      </c>
      <c r="O124" s="497">
        <f t="shared" si="57"/>
        <v>0</v>
      </c>
      <c r="P124" s="497">
        <f t="shared" si="57"/>
        <v>0</v>
      </c>
      <c r="Q124" s="497">
        <f t="shared" si="57"/>
        <v>0</v>
      </c>
      <c r="R124" s="497">
        <f t="shared" si="57"/>
        <v>0</v>
      </c>
      <c r="S124" s="497">
        <f t="shared" si="57"/>
        <v>0</v>
      </c>
      <c r="T124" s="497">
        <f t="shared" si="57"/>
        <v>0</v>
      </c>
      <c r="U124" s="497">
        <v>4586282411</v>
      </c>
      <c r="V124" s="497">
        <v>4586261584.5</v>
      </c>
      <c r="W124" s="497">
        <v>1381953264.99</v>
      </c>
      <c r="X124" s="497">
        <v>1381953264.99</v>
      </c>
      <c r="Y124" s="450">
        <f t="shared" si="59"/>
        <v>9380942154</v>
      </c>
      <c r="Z124" s="450">
        <f t="shared" si="59"/>
        <v>8559748963.5</v>
      </c>
      <c r="AA124" s="450">
        <f t="shared" si="59"/>
        <v>3524090779.9899998</v>
      </c>
      <c r="AB124" s="451">
        <f t="shared" si="59"/>
        <v>3418279871.9899998</v>
      </c>
      <c r="AC124" s="436"/>
    </row>
    <row r="125" spans="1:29" ht="16.5" thickTop="1" thickBot="1" x14ac:dyDescent="0.3">
      <c r="A125" s="444"/>
      <c r="B125" s="444"/>
      <c r="C125" s="446"/>
      <c r="D125" s="444"/>
      <c r="E125" s="445"/>
      <c r="F125" s="445"/>
      <c r="G125" s="444"/>
      <c r="H125" s="217" t="s">
        <v>781</v>
      </c>
      <c r="I125" s="448">
        <v>4794659743</v>
      </c>
      <c r="J125" s="448">
        <v>3973487379</v>
      </c>
      <c r="K125" s="448">
        <v>2142137515</v>
      </c>
      <c r="L125" s="448">
        <v>2036326607</v>
      </c>
      <c r="M125" s="497"/>
      <c r="N125" s="497"/>
      <c r="O125" s="497"/>
      <c r="P125" s="497"/>
      <c r="Q125" s="497"/>
      <c r="R125" s="497"/>
      <c r="S125" s="497"/>
      <c r="T125" s="497"/>
      <c r="U125" s="497">
        <v>4586282411</v>
      </c>
      <c r="V125" s="497">
        <v>4586261584.5</v>
      </c>
      <c r="W125" s="497">
        <v>1381953264.99</v>
      </c>
      <c r="X125" s="497">
        <v>1381953264.99</v>
      </c>
      <c r="Y125" s="450">
        <f t="shared" si="59"/>
        <v>9380942154</v>
      </c>
      <c r="Z125" s="450">
        <f t="shared" si="59"/>
        <v>8559748963.5</v>
      </c>
      <c r="AA125" s="450">
        <f t="shared" si="59"/>
        <v>3524090779.9899998</v>
      </c>
      <c r="AB125" s="451">
        <f t="shared" si="59"/>
        <v>3418279871.9899998</v>
      </c>
      <c r="AC125" s="436"/>
    </row>
    <row r="126" spans="1:29" ht="27" thickTop="1" thickBot="1" x14ac:dyDescent="0.3">
      <c r="A126" s="484"/>
      <c r="B126" s="437"/>
      <c r="C126" s="437"/>
      <c r="D126" s="437"/>
      <c r="E126" s="484"/>
      <c r="F126" s="484"/>
      <c r="G126" s="484"/>
      <c r="H126" s="485" t="s">
        <v>386</v>
      </c>
      <c r="I126" s="448">
        <f>+I127</f>
        <v>150000000</v>
      </c>
      <c r="J126" s="448">
        <f>+J127</f>
        <v>89707653</v>
      </c>
      <c r="K126" s="448">
        <f>+K127</f>
        <v>89707653</v>
      </c>
      <c r="L126" s="448">
        <f>+L127</f>
        <v>74171013</v>
      </c>
      <c r="M126" s="486">
        <f t="shared" ref="M126:T126" si="60">+M128+M215</f>
        <v>0</v>
      </c>
      <c r="N126" s="486">
        <f t="shared" si="60"/>
        <v>0</v>
      </c>
      <c r="O126" s="486">
        <f t="shared" si="60"/>
        <v>0</v>
      </c>
      <c r="P126" s="486">
        <f t="shared" si="60"/>
        <v>0</v>
      </c>
      <c r="Q126" s="486">
        <f t="shared" si="60"/>
        <v>0</v>
      </c>
      <c r="R126" s="486">
        <f t="shared" si="60"/>
        <v>0</v>
      </c>
      <c r="S126" s="486">
        <f t="shared" si="60"/>
        <v>0</v>
      </c>
      <c r="T126" s="486">
        <f t="shared" si="60"/>
        <v>0</v>
      </c>
      <c r="U126" s="486">
        <v>0</v>
      </c>
      <c r="V126" s="486">
        <v>0</v>
      </c>
      <c r="W126" s="486">
        <v>0</v>
      </c>
      <c r="X126" s="486">
        <v>0</v>
      </c>
      <c r="Y126" s="487">
        <f>Y127</f>
        <v>150000000</v>
      </c>
      <c r="Z126" s="487">
        <f>Z127</f>
        <v>89707653</v>
      </c>
      <c r="AA126" s="487">
        <f>AA127</f>
        <v>89707653</v>
      </c>
      <c r="AB126" s="487">
        <f>AB127</f>
        <v>74171013</v>
      </c>
      <c r="AC126" s="436"/>
    </row>
    <row r="127" spans="1:29" ht="16.5" thickTop="1" thickBot="1" x14ac:dyDescent="0.3">
      <c r="A127" s="444"/>
      <c r="B127" s="446"/>
      <c r="C127" s="446"/>
      <c r="D127" s="446"/>
      <c r="E127" s="444"/>
      <c r="F127" s="444"/>
      <c r="G127" s="444"/>
      <c r="H127" s="216" t="s">
        <v>387</v>
      </c>
      <c r="I127" s="448">
        <f>+I128+I132+I136+I140</f>
        <v>150000000</v>
      </c>
      <c r="J127" s="448">
        <f t="shared" ref="J127:X127" si="61">+J128+J132+J136+J140</f>
        <v>89707653</v>
      </c>
      <c r="K127" s="448">
        <f t="shared" si="61"/>
        <v>89707653</v>
      </c>
      <c r="L127" s="448">
        <f t="shared" si="61"/>
        <v>74171013</v>
      </c>
      <c r="M127" s="448">
        <f t="shared" si="61"/>
        <v>0</v>
      </c>
      <c r="N127" s="448">
        <f t="shared" si="61"/>
        <v>0</v>
      </c>
      <c r="O127" s="448">
        <f t="shared" si="61"/>
        <v>0</v>
      </c>
      <c r="P127" s="448">
        <f t="shared" si="61"/>
        <v>0</v>
      </c>
      <c r="Q127" s="448">
        <f t="shared" si="61"/>
        <v>0</v>
      </c>
      <c r="R127" s="448">
        <f t="shared" si="61"/>
        <v>0</v>
      </c>
      <c r="S127" s="448">
        <f t="shared" si="61"/>
        <v>0</v>
      </c>
      <c r="T127" s="448">
        <f t="shared" si="61"/>
        <v>0</v>
      </c>
      <c r="U127" s="448">
        <f t="shared" si="61"/>
        <v>0</v>
      </c>
      <c r="V127" s="448">
        <f t="shared" si="61"/>
        <v>0</v>
      </c>
      <c r="W127" s="448">
        <f t="shared" si="61"/>
        <v>0</v>
      </c>
      <c r="X127" s="448">
        <f t="shared" si="61"/>
        <v>0</v>
      </c>
      <c r="Y127" s="462">
        <f>Y128+Y132+Y136+Y140</f>
        <v>150000000</v>
      </c>
      <c r="Z127" s="462">
        <f>Z128+Z132+Z136+Z140</f>
        <v>89707653</v>
      </c>
      <c r="AA127" s="462">
        <f>AA128+AA132+AA136+AA140</f>
        <v>89707653</v>
      </c>
      <c r="AB127" s="462">
        <f>AB128+AB132+AB136+AB140</f>
        <v>74171013</v>
      </c>
      <c r="AC127" s="436"/>
    </row>
    <row r="128" spans="1:29" ht="27" thickTop="1" thickBot="1" x14ac:dyDescent="0.3">
      <c r="A128" s="444"/>
      <c r="B128" s="444"/>
      <c r="C128" s="444"/>
      <c r="D128" s="444"/>
      <c r="E128" s="444"/>
      <c r="F128" s="444"/>
      <c r="G128" s="444"/>
      <c r="H128" s="498" t="s">
        <v>388</v>
      </c>
      <c r="I128" s="448">
        <f>+I129</f>
        <v>50000000</v>
      </c>
      <c r="J128" s="448">
        <f t="shared" ref="J128:X130" si="62">+J129</f>
        <v>32212999</v>
      </c>
      <c r="K128" s="448">
        <f t="shared" si="62"/>
        <v>32212999</v>
      </c>
      <c r="L128" s="448">
        <f t="shared" si="62"/>
        <v>32212999</v>
      </c>
      <c r="M128" s="448">
        <f t="shared" si="62"/>
        <v>0</v>
      </c>
      <c r="N128" s="448">
        <f t="shared" si="62"/>
        <v>0</v>
      </c>
      <c r="O128" s="448">
        <f t="shared" si="62"/>
        <v>0</v>
      </c>
      <c r="P128" s="448">
        <f t="shared" si="62"/>
        <v>0</v>
      </c>
      <c r="Q128" s="448">
        <f t="shared" si="62"/>
        <v>0</v>
      </c>
      <c r="R128" s="448">
        <f t="shared" si="62"/>
        <v>0</v>
      </c>
      <c r="S128" s="448">
        <f t="shared" si="62"/>
        <v>0</v>
      </c>
      <c r="T128" s="448">
        <f t="shared" si="62"/>
        <v>0</v>
      </c>
      <c r="U128" s="448">
        <f t="shared" si="62"/>
        <v>0</v>
      </c>
      <c r="V128" s="448">
        <f t="shared" si="62"/>
        <v>0</v>
      </c>
      <c r="W128" s="448">
        <f t="shared" si="62"/>
        <v>0</v>
      </c>
      <c r="X128" s="448">
        <f t="shared" si="62"/>
        <v>0</v>
      </c>
      <c r="Y128" s="462">
        <f t="shared" ref="Y128:AB139" si="63">+I128+M128+Q128+U128</f>
        <v>50000000</v>
      </c>
      <c r="Z128" s="462">
        <f>+J128+N128+R128+V128</f>
        <v>32212999</v>
      </c>
      <c r="AA128" s="462">
        <f>+K128+O128+S128+W128</f>
        <v>32212999</v>
      </c>
      <c r="AB128" s="462">
        <f>+L128+P128+T128+X128</f>
        <v>32212999</v>
      </c>
      <c r="AC128" s="436"/>
    </row>
    <row r="129" spans="1:29" ht="16.5" thickTop="1" thickBot="1" x14ac:dyDescent="0.3">
      <c r="A129" s="472"/>
      <c r="B129" s="472"/>
      <c r="C129" s="472"/>
      <c r="D129" s="472"/>
      <c r="E129" s="472"/>
      <c r="F129" s="472"/>
      <c r="G129" s="472"/>
      <c r="H129" s="499" t="s">
        <v>779</v>
      </c>
      <c r="I129" s="448">
        <f>+I130</f>
        <v>50000000</v>
      </c>
      <c r="J129" s="448">
        <f t="shared" si="62"/>
        <v>32212999</v>
      </c>
      <c r="K129" s="448">
        <f t="shared" si="62"/>
        <v>32212999</v>
      </c>
      <c r="L129" s="448">
        <f t="shared" si="62"/>
        <v>32212999</v>
      </c>
      <c r="M129" s="492">
        <f t="shared" si="62"/>
        <v>0</v>
      </c>
      <c r="N129" s="492">
        <f t="shared" si="62"/>
        <v>0</v>
      </c>
      <c r="O129" s="492">
        <f t="shared" si="62"/>
        <v>0</v>
      </c>
      <c r="P129" s="492">
        <f t="shared" si="62"/>
        <v>0</v>
      </c>
      <c r="Q129" s="492">
        <f t="shared" si="62"/>
        <v>0</v>
      </c>
      <c r="R129" s="492">
        <f t="shared" si="62"/>
        <v>0</v>
      </c>
      <c r="S129" s="492">
        <f t="shared" si="62"/>
        <v>0</v>
      </c>
      <c r="T129" s="492">
        <f t="shared" si="62"/>
        <v>0</v>
      </c>
      <c r="U129" s="492">
        <f t="shared" si="62"/>
        <v>0</v>
      </c>
      <c r="V129" s="492">
        <f t="shared" si="62"/>
        <v>0</v>
      </c>
      <c r="W129" s="492">
        <f t="shared" si="62"/>
        <v>0</v>
      </c>
      <c r="X129" s="492">
        <f t="shared" si="62"/>
        <v>0</v>
      </c>
      <c r="Y129" s="493">
        <f t="shared" si="63"/>
        <v>50000000</v>
      </c>
      <c r="Z129" s="493">
        <f t="shared" si="63"/>
        <v>32212999</v>
      </c>
      <c r="AA129" s="493">
        <f t="shared" si="63"/>
        <v>32212999</v>
      </c>
      <c r="AB129" s="494">
        <f t="shared" si="63"/>
        <v>32212999</v>
      </c>
      <c r="AC129" s="436"/>
    </row>
    <row r="130" spans="1:29" ht="16.5" thickTop="1" thickBot="1" x14ac:dyDescent="0.3">
      <c r="A130" s="444"/>
      <c r="B130" s="444"/>
      <c r="C130" s="444"/>
      <c r="D130" s="444"/>
      <c r="E130" s="445"/>
      <c r="F130" s="445"/>
      <c r="G130" s="444"/>
      <c r="H130" s="217" t="s">
        <v>780</v>
      </c>
      <c r="I130" s="448">
        <f>+I131</f>
        <v>50000000</v>
      </c>
      <c r="J130" s="448">
        <f t="shared" si="62"/>
        <v>32212999</v>
      </c>
      <c r="K130" s="448">
        <f t="shared" si="62"/>
        <v>32212999</v>
      </c>
      <c r="L130" s="448">
        <f t="shared" si="62"/>
        <v>32212999</v>
      </c>
      <c r="M130" s="497">
        <f t="shared" si="62"/>
        <v>0</v>
      </c>
      <c r="N130" s="497">
        <f t="shared" si="62"/>
        <v>0</v>
      </c>
      <c r="O130" s="497">
        <f t="shared" si="62"/>
        <v>0</v>
      </c>
      <c r="P130" s="497">
        <f t="shared" si="62"/>
        <v>0</v>
      </c>
      <c r="Q130" s="497">
        <f t="shared" si="62"/>
        <v>0</v>
      </c>
      <c r="R130" s="497">
        <f t="shared" si="62"/>
        <v>0</v>
      </c>
      <c r="S130" s="497">
        <f t="shared" si="62"/>
        <v>0</v>
      </c>
      <c r="T130" s="497">
        <f t="shared" si="62"/>
        <v>0</v>
      </c>
      <c r="U130" s="497">
        <f t="shared" si="62"/>
        <v>0</v>
      </c>
      <c r="V130" s="497">
        <f t="shared" si="62"/>
        <v>0</v>
      </c>
      <c r="W130" s="497">
        <f t="shared" si="62"/>
        <v>0</v>
      </c>
      <c r="X130" s="497">
        <f t="shared" si="62"/>
        <v>0</v>
      </c>
      <c r="Y130" s="450">
        <f t="shared" si="63"/>
        <v>50000000</v>
      </c>
      <c r="Z130" s="450">
        <f t="shared" si="63"/>
        <v>32212999</v>
      </c>
      <c r="AA130" s="450">
        <f t="shared" si="63"/>
        <v>32212999</v>
      </c>
      <c r="AB130" s="451">
        <f t="shared" si="63"/>
        <v>32212999</v>
      </c>
      <c r="AC130" s="436"/>
    </row>
    <row r="131" spans="1:29" ht="16.5" thickTop="1" thickBot="1" x14ac:dyDescent="0.3">
      <c r="A131" s="444"/>
      <c r="B131" s="444"/>
      <c r="C131" s="444"/>
      <c r="D131" s="444"/>
      <c r="E131" s="445"/>
      <c r="F131" s="445"/>
      <c r="G131" s="445"/>
      <c r="H131" s="217" t="s">
        <v>781</v>
      </c>
      <c r="I131" s="448">
        <v>50000000</v>
      </c>
      <c r="J131" s="448">
        <v>32212999</v>
      </c>
      <c r="K131" s="448">
        <v>32212999</v>
      </c>
      <c r="L131" s="448">
        <v>32212999</v>
      </c>
      <c r="M131" s="497"/>
      <c r="N131" s="497"/>
      <c r="O131" s="497"/>
      <c r="P131" s="497"/>
      <c r="Q131" s="497"/>
      <c r="R131" s="497"/>
      <c r="S131" s="497"/>
      <c r="T131" s="497"/>
      <c r="U131" s="497"/>
      <c r="V131" s="497"/>
      <c r="W131" s="497"/>
      <c r="X131" s="497"/>
      <c r="Y131" s="450">
        <f t="shared" si="63"/>
        <v>50000000</v>
      </c>
      <c r="Z131" s="450">
        <f t="shared" si="63"/>
        <v>32212999</v>
      </c>
      <c r="AA131" s="450">
        <f t="shared" si="63"/>
        <v>32212999</v>
      </c>
      <c r="AB131" s="451">
        <f t="shared" si="63"/>
        <v>32212999</v>
      </c>
      <c r="AC131" s="436"/>
    </row>
    <row r="132" spans="1:29" ht="27" thickTop="1" thickBot="1" x14ac:dyDescent="0.3">
      <c r="A132" s="218"/>
      <c r="B132" s="218"/>
      <c r="C132" s="218"/>
      <c r="D132" s="218"/>
      <c r="E132" s="218"/>
      <c r="F132" s="218"/>
      <c r="G132" s="217"/>
      <c r="H132" s="498" t="s">
        <v>398</v>
      </c>
      <c r="I132" s="509">
        <f>+I133</f>
        <v>50000000</v>
      </c>
      <c r="J132" s="509">
        <f t="shared" ref="J132:X142" si="64">+J133</f>
        <v>37663032</v>
      </c>
      <c r="K132" s="509">
        <f t="shared" si="64"/>
        <v>37663032</v>
      </c>
      <c r="L132" s="509">
        <f t="shared" si="64"/>
        <v>29913732</v>
      </c>
      <c r="M132" s="509">
        <f t="shared" si="64"/>
        <v>0</v>
      </c>
      <c r="N132" s="509">
        <f t="shared" si="64"/>
        <v>0</v>
      </c>
      <c r="O132" s="509">
        <f t="shared" si="64"/>
        <v>0</v>
      </c>
      <c r="P132" s="509">
        <f t="shared" si="64"/>
        <v>0</v>
      </c>
      <c r="Q132" s="509">
        <f t="shared" si="64"/>
        <v>0</v>
      </c>
      <c r="R132" s="509">
        <f t="shared" si="64"/>
        <v>0</v>
      </c>
      <c r="S132" s="509">
        <f t="shared" si="64"/>
        <v>0</v>
      </c>
      <c r="T132" s="509">
        <f t="shared" si="64"/>
        <v>0</v>
      </c>
      <c r="U132" s="509">
        <f t="shared" si="64"/>
        <v>0</v>
      </c>
      <c r="V132" s="509">
        <f t="shared" si="64"/>
        <v>0</v>
      </c>
      <c r="W132" s="509">
        <f t="shared" si="64"/>
        <v>0</v>
      </c>
      <c r="X132" s="509">
        <f t="shared" si="64"/>
        <v>0</v>
      </c>
      <c r="Y132" s="510">
        <f t="shared" si="63"/>
        <v>50000000</v>
      </c>
      <c r="Z132" s="510">
        <f>+J132+N132+R132+V132</f>
        <v>37663032</v>
      </c>
      <c r="AA132" s="510">
        <f>+K132+O132+S132+W132</f>
        <v>37663032</v>
      </c>
      <c r="AB132" s="510">
        <f>+L132+P132+T132+X132</f>
        <v>29913732</v>
      </c>
      <c r="AC132" s="436"/>
    </row>
    <row r="133" spans="1:29" ht="16.5" thickTop="1" thickBot="1" x14ac:dyDescent="0.3">
      <c r="A133" s="512"/>
      <c r="B133" s="512"/>
      <c r="C133" s="512"/>
      <c r="D133" s="512"/>
      <c r="E133" s="472"/>
      <c r="F133" s="472"/>
      <c r="G133" s="472"/>
      <c r="H133" s="499" t="s">
        <v>779</v>
      </c>
      <c r="I133" s="448">
        <f>+I134</f>
        <v>50000000</v>
      </c>
      <c r="J133" s="492">
        <f t="shared" si="64"/>
        <v>37663032</v>
      </c>
      <c r="K133" s="448">
        <f t="shared" si="64"/>
        <v>37663032</v>
      </c>
      <c r="L133" s="448">
        <f t="shared" si="64"/>
        <v>29913732</v>
      </c>
      <c r="M133" s="492">
        <f t="shared" si="64"/>
        <v>0</v>
      </c>
      <c r="N133" s="492">
        <f t="shared" si="64"/>
        <v>0</v>
      </c>
      <c r="O133" s="492">
        <f t="shared" si="64"/>
        <v>0</v>
      </c>
      <c r="P133" s="492">
        <f t="shared" si="64"/>
        <v>0</v>
      </c>
      <c r="Q133" s="492">
        <f t="shared" si="64"/>
        <v>0</v>
      </c>
      <c r="R133" s="492">
        <f t="shared" si="64"/>
        <v>0</v>
      </c>
      <c r="S133" s="492">
        <f t="shared" si="64"/>
        <v>0</v>
      </c>
      <c r="T133" s="492">
        <f t="shared" si="64"/>
        <v>0</v>
      </c>
      <c r="U133" s="492">
        <f t="shared" si="64"/>
        <v>0</v>
      </c>
      <c r="V133" s="492">
        <f t="shared" si="64"/>
        <v>0</v>
      </c>
      <c r="W133" s="492">
        <f t="shared" si="64"/>
        <v>0</v>
      </c>
      <c r="X133" s="492">
        <f t="shared" si="64"/>
        <v>0</v>
      </c>
      <c r="Y133" s="493">
        <f t="shared" si="63"/>
        <v>50000000</v>
      </c>
      <c r="Z133" s="493">
        <f t="shared" si="63"/>
        <v>37663032</v>
      </c>
      <c r="AA133" s="493">
        <f t="shared" si="63"/>
        <v>37663032</v>
      </c>
      <c r="AB133" s="494">
        <f t="shared" si="63"/>
        <v>29913732</v>
      </c>
      <c r="AC133" s="436"/>
    </row>
    <row r="134" spans="1:29" ht="16.5" thickTop="1" thickBot="1" x14ac:dyDescent="0.3">
      <c r="A134" s="444"/>
      <c r="B134" s="444"/>
      <c r="C134" s="446"/>
      <c r="D134" s="446"/>
      <c r="E134" s="445"/>
      <c r="F134" s="445"/>
      <c r="G134" s="444"/>
      <c r="H134" s="217" t="s">
        <v>780</v>
      </c>
      <c r="I134" s="448">
        <f>+I135</f>
        <v>50000000</v>
      </c>
      <c r="J134" s="497">
        <f t="shared" si="64"/>
        <v>37663032</v>
      </c>
      <c r="K134" s="448">
        <f t="shared" si="64"/>
        <v>37663032</v>
      </c>
      <c r="L134" s="448">
        <f t="shared" si="64"/>
        <v>29913732</v>
      </c>
      <c r="M134" s="497">
        <f t="shared" si="64"/>
        <v>0</v>
      </c>
      <c r="N134" s="497">
        <f t="shared" si="64"/>
        <v>0</v>
      </c>
      <c r="O134" s="497">
        <f t="shared" si="64"/>
        <v>0</v>
      </c>
      <c r="P134" s="497">
        <f t="shared" si="64"/>
        <v>0</v>
      </c>
      <c r="Q134" s="497">
        <f t="shared" si="64"/>
        <v>0</v>
      </c>
      <c r="R134" s="497">
        <f t="shared" si="64"/>
        <v>0</v>
      </c>
      <c r="S134" s="497">
        <f t="shared" si="64"/>
        <v>0</v>
      </c>
      <c r="T134" s="497">
        <f t="shared" si="64"/>
        <v>0</v>
      </c>
      <c r="U134" s="497">
        <f t="shared" si="64"/>
        <v>0</v>
      </c>
      <c r="V134" s="497">
        <f t="shared" si="64"/>
        <v>0</v>
      </c>
      <c r="W134" s="497">
        <f t="shared" si="64"/>
        <v>0</v>
      </c>
      <c r="X134" s="497">
        <f t="shared" si="64"/>
        <v>0</v>
      </c>
      <c r="Y134" s="450">
        <f t="shared" si="63"/>
        <v>50000000</v>
      </c>
      <c r="Z134" s="450">
        <f t="shared" si="63"/>
        <v>37663032</v>
      </c>
      <c r="AA134" s="450">
        <f t="shared" si="63"/>
        <v>37663032</v>
      </c>
      <c r="AB134" s="451">
        <f t="shared" si="63"/>
        <v>29913732</v>
      </c>
      <c r="AC134" s="436"/>
    </row>
    <row r="135" spans="1:29" ht="16.5" thickTop="1" thickBot="1" x14ac:dyDescent="0.3">
      <c r="A135" s="444"/>
      <c r="B135" s="444"/>
      <c r="C135" s="446"/>
      <c r="D135" s="446"/>
      <c r="E135" s="445"/>
      <c r="F135" s="445"/>
      <c r="G135" s="445"/>
      <c r="H135" s="217" t="s">
        <v>781</v>
      </c>
      <c r="I135" s="448">
        <v>50000000</v>
      </c>
      <c r="J135" s="497">
        <v>37663032</v>
      </c>
      <c r="K135" s="448">
        <v>37663032</v>
      </c>
      <c r="L135" s="448">
        <v>29913732</v>
      </c>
      <c r="M135" s="497"/>
      <c r="N135" s="497"/>
      <c r="O135" s="497"/>
      <c r="P135" s="497"/>
      <c r="Q135" s="497"/>
      <c r="R135" s="497"/>
      <c r="S135" s="497"/>
      <c r="T135" s="497"/>
      <c r="U135" s="497"/>
      <c r="V135" s="497"/>
      <c r="W135" s="497"/>
      <c r="X135" s="497"/>
      <c r="Y135" s="450">
        <f t="shared" si="63"/>
        <v>50000000</v>
      </c>
      <c r="Z135" s="450">
        <f t="shared" si="63"/>
        <v>37663032</v>
      </c>
      <c r="AA135" s="450">
        <f t="shared" si="63"/>
        <v>37663032</v>
      </c>
      <c r="AB135" s="451">
        <f t="shared" si="63"/>
        <v>29913732</v>
      </c>
      <c r="AC135" s="436"/>
    </row>
    <row r="136" spans="1:29" ht="39.75" thickTop="1" thickBot="1" x14ac:dyDescent="0.3">
      <c r="A136" s="218"/>
      <c r="B136" s="218"/>
      <c r="C136" s="218"/>
      <c r="D136" s="218"/>
      <c r="E136" s="218"/>
      <c r="F136" s="218"/>
      <c r="G136" s="217"/>
      <c r="H136" s="498" t="s">
        <v>408</v>
      </c>
      <c r="I136" s="509">
        <f>+I137</f>
        <v>50000000</v>
      </c>
      <c r="J136" s="509">
        <f>+J137</f>
        <v>19831622</v>
      </c>
      <c r="K136" s="509">
        <f>+K137</f>
        <v>19831622</v>
      </c>
      <c r="L136" s="509">
        <f>+L137</f>
        <v>12044282</v>
      </c>
      <c r="M136" s="509">
        <f t="shared" si="64"/>
        <v>0</v>
      </c>
      <c r="N136" s="509">
        <f t="shared" si="64"/>
        <v>0</v>
      </c>
      <c r="O136" s="509">
        <f t="shared" si="64"/>
        <v>0</v>
      </c>
      <c r="P136" s="509">
        <f t="shared" si="64"/>
        <v>0</v>
      </c>
      <c r="Q136" s="509">
        <f t="shared" si="64"/>
        <v>0</v>
      </c>
      <c r="R136" s="509">
        <f t="shared" si="64"/>
        <v>0</v>
      </c>
      <c r="S136" s="509">
        <f t="shared" si="64"/>
        <v>0</v>
      </c>
      <c r="T136" s="509">
        <f t="shared" si="64"/>
        <v>0</v>
      </c>
      <c r="U136" s="509">
        <f t="shared" si="64"/>
        <v>0</v>
      </c>
      <c r="V136" s="509">
        <f t="shared" si="64"/>
        <v>0</v>
      </c>
      <c r="W136" s="509">
        <f t="shared" si="64"/>
        <v>0</v>
      </c>
      <c r="X136" s="509">
        <f t="shared" si="64"/>
        <v>0</v>
      </c>
      <c r="Y136" s="510">
        <f t="shared" si="63"/>
        <v>50000000</v>
      </c>
      <c r="Z136" s="510">
        <f>+J136+N136+R136+V136</f>
        <v>19831622</v>
      </c>
      <c r="AA136" s="510">
        <f>+K136+O136+S136+W136</f>
        <v>19831622</v>
      </c>
      <c r="AB136" s="510">
        <f>+L136+P136+T136+X136</f>
        <v>12044282</v>
      </c>
      <c r="AC136" s="436"/>
    </row>
    <row r="137" spans="1:29" ht="16.5" thickTop="1" thickBot="1" x14ac:dyDescent="0.3">
      <c r="A137" s="512"/>
      <c r="B137" s="512"/>
      <c r="C137" s="512"/>
      <c r="D137" s="512"/>
      <c r="E137" s="472"/>
      <c r="F137" s="472"/>
      <c r="G137" s="472"/>
      <c r="H137" s="499" t="s">
        <v>779</v>
      </c>
      <c r="I137" s="448">
        <f>+I138</f>
        <v>50000000</v>
      </c>
      <c r="J137" s="448">
        <f t="shared" si="64"/>
        <v>19831622</v>
      </c>
      <c r="K137" s="448">
        <f t="shared" si="64"/>
        <v>19831622</v>
      </c>
      <c r="L137" s="448">
        <f t="shared" si="64"/>
        <v>12044282</v>
      </c>
      <c r="M137" s="492">
        <f t="shared" si="64"/>
        <v>0</v>
      </c>
      <c r="N137" s="492">
        <f t="shared" si="64"/>
        <v>0</v>
      </c>
      <c r="O137" s="492">
        <f t="shared" si="64"/>
        <v>0</v>
      </c>
      <c r="P137" s="492">
        <f t="shared" si="64"/>
        <v>0</v>
      </c>
      <c r="Q137" s="492">
        <f t="shared" si="64"/>
        <v>0</v>
      </c>
      <c r="R137" s="492">
        <f t="shared" si="64"/>
        <v>0</v>
      </c>
      <c r="S137" s="492">
        <f t="shared" si="64"/>
        <v>0</v>
      </c>
      <c r="T137" s="492">
        <f t="shared" si="64"/>
        <v>0</v>
      </c>
      <c r="U137" s="492">
        <f t="shared" si="64"/>
        <v>0</v>
      </c>
      <c r="V137" s="492">
        <f t="shared" si="64"/>
        <v>0</v>
      </c>
      <c r="W137" s="492">
        <f t="shared" si="64"/>
        <v>0</v>
      </c>
      <c r="X137" s="492">
        <f t="shared" si="64"/>
        <v>0</v>
      </c>
      <c r="Y137" s="493">
        <f t="shared" si="63"/>
        <v>50000000</v>
      </c>
      <c r="Z137" s="493">
        <f t="shared" si="63"/>
        <v>19831622</v>
      </c>
      <c r="AA137" s="493">
        <f t="shared" si="63"/>
        <v>19831622</v>
      </c>
      <c r="AB137" s="494">
        <f t="shared" si="63"/>
        <v>12044282</v>
      </c>
      <c r="AC137" s="436"/>
    </row>
    <row r="138" spans="1:29" ht="16.5" thickTop="1" thickBot="1" x14ac:dyDescent="0.3">
      <c r="A138" s="444"/>
      <c r="B138" s="444"/>
      <c r="C138" s="446"/>
      <c r="D138" s="446"/>
      <c r="E138" s="445"/>
      <c r="F138" s="445"/>
      <c r="G138" s="444"/>
      <c r="H138" s="217" t="s">
        <v>780</v>
      </c>
      <c r="I138" s="448">
        <f>+I139</f>
        <v>50000000</v>
      </c>
      <c r="J138" s="448">
        <f t="shared" si="64"/>
        <v>19831622</v>
      </c>
      <c r="K138" s="448">
        <f t="shared" si="64"/>
        <v>19831622</v>
      </c>
      <c r="L138" s="448">
        <f t="shared" si="64"/>
        <v>12044282</v>
      </c>
      <c r="M138" s="497">
        <f t="shared" si="64"/>
        <v>0</v>
      </c>
      <c r="N138" s="497">
        <f t="shared" si="64"/>
        <v>0</v>
      </c>
      <c r="O138" s="497">
        <f t="shared" si="64"/>
        <v>0</v>
      </c>
      <c r="P138" s="497">
        <f t="shared" si="64"/>
        <v>0</v>
      </c>
      <c r="Q138" s="497">
        <f t="shared" si="64"/>
        <v>0</v>
      </c>
      <c r="R138" s="497">
        <f t="shared" si="64"/>
        <v>0</v>
      </c>
      <c r="S138" s="497">
        <f t="shared" si="64"/>
        <v>0</v>
      </c>
      <c r="T138" s="497">
        <f t="shared" si="64"/>
        <v>0</v>
      </c>
      <c r="U138" s="497">
        <f t="shared" si="64"/>
        <v>0</v>
      </c>
      <c r="V138" s="497">
        <f t="shared" si="64"/>
        <v>0</v>
      </c>
      <c r="W138" s="497">
        <f t="shared" si="64"/>
        <v>0</v>
      </c>
      <c r="X138" s="497">
        <f t="shared" si="64"/>
        <v>0</v>
      </c>
      <c r="Y138" s="450">
        <f t="shared" si="63"/>
        <v>50000000</v>
      </c>
      <c r="Z138" s="450">
        <f t="shared" si="63"/>
        <v>19831622</v>
      </c>
      <c r="AA138" s="450">
        <f t="shared" si="63"/>
        <v>19831622</v>
      </c>
      <c r="AB138" s="451">
        <f t="shared" si="63"/>
        <v>12044282</v>
      </c>
      <c r="AC138" s="436"/>
    </row>
    <row r="139" spans="1:29" ht="16.5" thickTop="1" thickBot="1" x14ac:dyDescent="0.3">
      <c r="A139" s="444"/>
      <c r="B139" s="444"/>
      <c r="C139" s="446"/>
      <c r="D139" s="446"/>
      <c r="E139" s="445"/>
      <c r="F139" s="445"/>
      <c r="G139" s="445"/>
      <c r="H139" s="217" t="s">
        <v>781</v>
      </c>
      <c r="I139" s="448">
        <v>50000000</v>
      </c>
      <c r="J139" s="448">
        <v>19831622</v>
      </c>
      <c r="K139" s="448">
        <v>19831622</v>
      </c>
      <c r="L139" s="448">
        <v>12044282</v>
      </c>
      <c r="M139" s="497"/>
      <c r="N139" s="497"/>
      <c r="O139" s="497"/>
      <c r="P139" s="497"/>
      <c r="Q139" s="497"/>
      <c r="R139" s="497"/>
      <c r="S139" s="497"/>
      <c r="T139" s="497"/>
      <c r="U139" s="497"/>
      <c r="V139" s="497"/>
      <c r="W139" s="497"/>
      <c r="X139" s="497"/>
      <c r="Y139" s="450">
        <f t="shared" si="63"/>
        <v>50000000</v>
      </c>
      <c r="Z139" s="450">
        <f t="shared" si="63"/>
        <v>19831622</v>
      </c>
      <c r="AA139" s="450">
        <f t="shared" si="63"/>
        <v>19831622</v>
      </c>
      <c r="AB139" s="451">
        <f t="shared" si="63"/>
        <v>12044282</v>
      </c>
      <c r="AC139" s="436"/>
    </row>
    <row r="140" spans="1:29" ht="39.75" thickTop="1" thickBot="1" x14ac:dyDescent="0.3">
      <c r="A140" s="218"/>
      <c r="B140" s="218"/>
      <c r="C140" s="218"/>
      <c r="D140" s="218"/>
      <c r="E140" s="218"/>
      <c r="F140" s="218"/>
      <c r="G140" s="217"/>
      <c r="H140" s="498" t="s">
        <v>783</v>
      </c>
      <c r="I140" s="509">
        <f>+I141</f>
        <v>0</v>
      </c>
      <c r="J140" s="509">
        <f t="shared" si="64"/>
        <v>0</v>
      </c>
      <c r="K140" s="509">
        <f t="shared" si="64"/>
        <v>0</v>
      </c>
      <c r="L140" s="509">
        <f t="shared" si="64"/>
        <v>0</v>
      </c>
      <c r="M140" s="509"/>
      <c r="N140" s="509"/>
      <c r="O140" s="509"/>
      <c r="P140" s="509"/>
      <c r="Q140" s="509">
        <f t="shared" si="64"/>
        <v>0</v>
      </c>
      <c r="R140" s="509">
        <f t="shared" si="64"/>
        <v>0</v>
      </c>
      <c r="S140" s="509">
        <f t="shared" si="64"/>
        <v>0</v>
      </c>
      <c r="T140" s="509">
        <f t="shared" si="64"/>
        <v>0</v>
      </c>
      <c r="U140" s="509">
        <f t="shared" si="64"/>
        <v>0</v>
      </c>
      <c r="V140" s="509">
        <f t="shared" si="64"/>
        <v>0</v>
      </c>
      <c r="W140" s="509">
        <f t="shared" si="64"/>
        <v>0</v>
      </c>
      <c r="X140" s="509">
        <f t="shared" si="64"/>
        <v>0</v>
      </c>
      <c r="Y140" s="510"/>
      <c r="Z140" s="510"/>
      <c r="AA140" s="510"/>
      <c r="AB140" s="511"/>
      <c r="AC140" s="436"/>
    </row>
    <row r="141" spans="1:29" ht="16.5" thickTop="1" thickBot="1" x14ac:dyDescent="0.3">
      <c r="A141" s="512"/>
      <c r="B141" s="512"/>
      <c r="C141" s="512"/>
      <c r="D141" s="512"/>
      <c r="E141" s="472"/>
      <c r="F141" s="472"/>
      <c r="G141" s="472"/>
      <c r="H141" s="499" t="s">
        <v>779</v>
      </c>
      <c r="I141" s="448">
        <f>+I142</f>
        <v>0</v>
      </c>
      <c r="J141" s="492">
        <f t="shared" si="64"/>
        <v>0</v>
      </c>
      <c r="K141" s="448">
        <f t="shared" si="64"/>
        <v>0</v>
      </c>
      <c r="L141" s="448">
        <f t="shared" si="64"/>
        <v>0</v>
      </c>
      <c r="M141" s="492"/>
      <c r="N141" s="492"/>
      <c r="O141" s="492"/>
      <c r="P141" s="492"/>
      <c r="Q141" s="492">
        <f t="shared" si="64"/>
        <v>0</v>
      </c>
      <c r="R141" s="492">
        <f t="shared" si="64"/>
        <v>0</v>
      </c>
      <c r="S141" s="492">
        <f t="shared" si="64"/>
        <v>0</v>
      </c>
      <c r="T141" s="492">
        <f t="shared" si="64"/>
        <v>0</v>
      </c>
      <c r="U141" s="492">
        <f t="shared" si="64"/>
        <v>0</v>
      </c>
      <c r="V141" s="492">
        <f t="shared" si="64"/>
        <v>0</v>
      </c>
      <c r="W141" s="492">
        <f t="shared" si="64"/>
        <v>0</v>
      </c>
      <c r="X141" s="492">
        <f t="shared" si="64"/>
        <v>0</v>
      </c>
      <c r="Y141" s="493"/>
      <c r="Z141" s="493"/>
      <c r="AA141" s="493"/>
      <c r="AB141" s="494"/>
      <c r="AC141" s="436"/>
    </row>
    <row r="142" spans="1:29" ht="16.5" thickTop="1" thickBot="1" x14ac:dyDescent="0.3">
      <c r="A142" s="444"/>
      <c r="B142" s="444"/>
      <c r="C142" s="446"/>
      <c r="D142" s="446"/>
      <c r="E142" s="445"/>
      <c r="F142" s="445"/>
      <c r="G142" s="444"/>
      <c r="H142" s="217" t="s">
        <v>780</v>
      </c>
      <c r="I142" s="448">
        <f>+I143</f>
        <v>0</v>
      </c>
      <c r="J142" s="497">
        <f t="shared" si="64"/>
        <v>0</v>
      </c>
      <c r="K142" s="448">
        <f t="shared" si="64"/>
        <v>0</v>
      </c>
      <c r="L142" s="448">
        <f t="shared" si="64"/>
        <v>0</v>
      </c>
      <c r="M142" s="497"/>
      <c r="N142" s="497"/>
      <c r="O142" s="497"/>
      <c r="P142" s="497"/>
      <c r="Q142" s="497">
        <f t="shared" si="64"/>
        <v>0</v>
      </c>
      <c r="R142" s="497">
        <f t="shared" si="64"/>
        <v>0</v>
      </c>
      <c r="S142" s="497">
        <f t="shared" si="64"/>
        <v>0</v>
      </c>
      <c r="T142" s="497">
        <f t="shared" si="64"/>
        <v>0</v>
      </c>
      <c r="U142" s="497">
        <f t="shared" si="64"/>
        <v>0</v>
      </c>
      <c r="V142" s="497">
        <f t="shared" si="64"/>
        <v>0</v>
      </c>
      <c r="W142" s="497">
        <f t="shared" si="64"/>
        <v>0</v>
      </c>
      <c r="X142" s="497">
        <f t="shared" si="64"/>
        <v>0</v>
      </c>
      <c r="Y142" s="450"/>
      <c r="Z142" s="450"/>
      <c r="AA142" s="450"/>
      <c r="AB142" s="451"/>
      <c r="AC142" s="436"/>
    </row>
    <row r="143" spans="1:29" ht="16.5" thickTop="1" thickBot="1" x14ac:dyDescent="0.3">
      <c r="A143" s="444"/>
      <c r="B143" s="444"/>
      <c r="C143" s="446"/>
      <c r="D143" s="446"/>
      <c r="E143" s="445"/>
      <c r="F143" s="445"/>
      <c r="G143" s="445"/>
      <c r="H143" s="217" t="s">
        <v>781</v>
      </c>
      <c r="I143" s="448"/>
      <c r="J143" s="497">
        <v>0</v>
      </c>
      <c r="K143" s="448">
        <v>0</v>
      </c>
      <c r="L143" s="448">
        <v>0</v>
      </c>
      <c r="Q143" s="497"/>
      <c r="R143" s="497"/>
      <c r="S143" s="497"/>
      <c r="T143" s="497"/>
      <c r="U143" s="497"/>
      <c r="V143" s="497"/>
      <c r="W143" s="497"/>
      <c r="X143" s="497"/>
      <c r="Y143" s="450"/>
      <c r="Z143" s="450"/>
      <c r="AA143" s="450"/>
      <c r="AB143" s="451"/>
      <c r="AC143" s="436"/>
    </row>
    <row r="144" spans="1:29" ht="27" thickTop="1" thickBot="1" x14ac:dyDescent="0.3">
      <c r="A144" s="484"/>
      <c r="B144" s="437"/>
      <c r="C144" s="437"/>
      <c r="D144" s="437"/>
      <c r="E144" s="484"/>
      <c r="F144" s="484"/>
      <c r="G144" s="484"/>
      <c r="H144" s="485" t="s">
        <v>415</v>
      </c>
      <c r="I144" s="448">
        <f>+I145</f>
        <v>600000000</v>
      </c>
      <c r="J144" s="448">
        <f>+J145</f>
        <v>578939617</v>
      </c>
      <c r="K144" s="448">
        <f>+K145</f>
        <v>465524711</v>
      </c>
      <c r="L144" s="448">
        <f>+L145</f>
        <v>465524711</v>
      </c>
      <c r="M144" s="486">
        <f t="shared" ref="M144:X144" si="65">+M146+M238</f>
        <v>0</v>
      </c>
      <c r="N144" s="486">
        <f t="shared" si="65"/>
        <v>0</v>
      </c>
      <c r="O144" s="486">
        <f t="shared" si="65"/>
        <v>0</v>
      </c>
      <c r="P144" s="486">
        <f t="shared" si="65"/>
        <v>0</v>
      </c>
      <c r="Q144" s="486">
        <f t="shared" si="65"/>
        <v>0</v>
      </c>
      <c r="R144" s="486">
        <f t="shared" si="65"/>
        <v>0</v>
      </c>
      <c r="S144" s="486">
        <f t="shared" si="65"/>
        <v>0</v>
      </c>
      <c r="T144" s="486">
        <f t="shared" si="65"/>
        <v>0</v>
      </c>
      <c r="U144" s="486">
        <f t="shared" si="65"/>
        <v>0</v>
      </c>
      <c r="V144" s="486">
        <f t="shared" si="65"/>
        <v>0</v>
      </c>
      <c r="W144" s="486">
        <f t="shared" si="65"/>
        <v>0</v>
      </c>
      <c r="X144" s="486">
        <f t="shared" si="65"/>
        <v>0</v>
      </c>
      <c r="Y144" s="487">
        <f>Y145</f>
        <v>600000000</v>
      </c>
      <c r="Z144" s="487">
        <f>Z145</f>
        <v>578939617</v>
      </c>
      <c r="AA144" s="487">
        <f>AA145</f>
        <v>465524711</v>
      </c>
      <c r="AB144" s="487">
        <f>AB145</f>
        <v>465524711</v>
      </c>
      <c r="AC144" s="436"/>
    </row>
    <row r="145" spans="1:29" ht="16.5" thickTop="1" thickBot="1" x14ac:dyDescent="0.3">
      <c r="A145" s="444"/>
      <c r="B145" s="446"/>
      <c r="C145" s="446"/>
      <c r="D145" s="446"/>
      <c r="E145" s="444"/>
      <c r="F145" s="444"/>
      <c r="G145" s="444"/>
      <c r="H145" s="513" t="s">
        <v>416</v>
      </c>
      <c r="I145" s="448">
        <f>+I146+I150+I154</f>
        <v>600000000</v>
      </c>
      <c r="J145" s="448">
        <f t="shared" ref="J145:X145" si="66">+J146+J150+J154</f>
        <v>578939617</v>
      </c>
      <c r="K145" s="448">
        <f t="shared" si="66"/>
        <v>465524711</v>
      </c>
      <c r="L145" s="448">
        <f t="shared" si="66"/>
        <v>465524711</v>
      </c>
      <c r="M145" s="448">
        <f t="shared" si="66"/>
        <v>0</v>
      </c>
      <c r="N145" s="448">
        <f t="shared" si="66"/>
        <v>0</v>
      </c>
      <c r="O145" s="448">
        <f t="shared" si="66"/>
        <v>0</v>
      </c>
      <c r="P145" s="448">
        <f t="shared" si="66"/>
        <v>0</v>
      </c>
      <c r="Q145" s="448">
        <f t="shared" si="66"/>
        <v>0</v>
      </c>
      <c r="R145" s="448">
        <f t="shared" si="66"/>
        <v>0</v>
      </c>
      <c r="S145" s="448">
        <f t="shared" si="66"/>
        <v>0</v>
      </c>
      <c r="T145" s="448">
        <f t="shared" si="66"/>
        <v>0</v>
      </c>
      <c r="U145" s="448">
        <f t="shared" si="66"/>
        <v>0</v>
      </c>
      <c r="V145" s="448">
        <f t="shared" si="66"/>
        <v>0</v>
      </c>
      <c r="W145" s="448">
        <f t="shared" si="66"/>
        <v>0</v>
      </c>
      <c r="X145" s="448">
        <f t="shared" si="66"/>
        <v>0</v>
      </c>
      <c r="Y145" s="462">
        <f>Y146+Y150+Y154</f>
        <v>600000000</v>
      </c>
      <c r="Z145" s="462">
        <f>Z146+Z150+Z154</f>
        <v>578939617</v>
      </c>
      <c r="AA145" s="462">
        <f>AA146+AA150+AA154</f>
        <v>465524711</v>
      </c>
      <c r="AB145" s="462">
        <f>AB146+AB150+AB154</f>
        <v>465524711</v>
      </c>
      <c r="AC145" s="436"/>
    </row>
    <row r="146" spans="1:29" ht="39.75" thickTop="1" thickBot="1" x14ac:dyDescent="0.3">
      <c r="A146" s="444"/>
      <c r="B146" s="444"/>
      <c r="C146" s="444"/>
      <c r="D146" s="444"/>
      <c r="E146" s="444"/>
      <c r="F146" s="444"/>
      <c r="G146" s="444"/>
      <c r="H146" s="498" t="s">
        <v>784</v>
      </c>
      <c r="I146" s="448">
        <f>+I147</f>
        <v>200000000</v>
      </c>
      <c r="J146" s="448">
        <f t="shared" ref="J146:X148" si="67">+J147</f>
        <v>193812597</v>
      </c>
      <c r="K146" s="448">
        <f t="shared" si="67"/>
        <v>103462603</v>
      </c>
      <c r="L146" s="448">
        <f t="shared" si="67"/>
        <v>103462603</v>
      </c>
      <c r="M146" s="448">
        <f t="shared" si="67"/>
        <v>0</v>
      </c>
      <c r="N146" s="448">
        <f t="shared" si="67"/>
        <v>0</v>
      </c>
      <c r="O146" s="448">
        <f t="shared" si="67"/>
        <v>0</v>
      </c>
      <c r="P146" s="448">
        <f t="shared" si="67"/>
        <v>0</v>
      </c>
      <c r="Q146" s="448">
        <f t="shared" si="67"/>
        <v>0</v>
      </c>
      <c r="R146" s="448">
        <f t="shared" si="67"/>
        <v>0</v>
      </c>
      <c r="S146" s="448">
        <f t="shared" si="67"/>
        <v>0</v>
      </c>
      <c r="T146" s="448">
        <f t="shared" si="67"/>
        <v>0</v>
      </c>
      <c r="U146" s="448">
        <f t="shared" si="67"/>
        <v>0</v>
      </c>
      <c r="V146" s="448">
        <f t="shared" si="67"/>
        <v>0</v>
      </c>
      <c r="W146" s="448">
        <f t="shared" si="67"/>
        <v>0</v>
      </c>
      <c r="X146" s="448">
        <f t="shared" si="67"/>
        <v>0</v>
      </c>
      <c r="Y146" s="462">
        <f t="shared" ref="Y146:AB157" si="68">+I146+M146+Q146+U146</f>
        <v>200000000</v>
      </c>
      <c r="Z146" s="462">
        <f>+J146+N146+R146+V146</f>
        <v>193812597</v>
      </c>
      <c r="AA146" s="462">
        <f>+K146+O146+S146+W146</f>
        <v>103462603</v>
      </c>
      <c r="AB146" s="462">
        <f>+L146+P146+T146+X146</f>
        <v>103462603</v>
      </c>
      <c r="AC146" s="436"/>
    </row>
    <row r="147" spans="1:29" ht="16.5" thickTop="1" thickBot="1" x14ac:dyDescent="0.3">
      <c r="A147" s="472"/>
      <c r="B147" s="472"/>
      <c r="C147" s="472"/>
      <c r="D147" s="472"/>
      <c r="E147" s="472"/>
      <c r="F147" s="472"/>
      <c r="G147" s="472"/>
      <c r="H147" s="499" t="s">
        <v>779</v>
      </c>
      <c r="I147" s="448">
        <f>+I148</f>
        <v>200000000</v>
      </c>
      <c r="J147" s="448">
        <f t="shared" si="67"/>
        <v>193812597</v>
      </c>
      <c r="K147" s="448">
        <f t="shared" si="67"/>
        <v>103462603</v>
      </c>
      <c r="L147" s="448">
        <f t="shared" si="67"/>
        <v>103462603</v>
      </c>
      <c r="M147" s="492">
        <f t="shared" si="67"/>
        <v>0</v>
      </c>
      <c r="N147" s="492">
        <f t="shared" si="67"/>
        <v>0</v>
      </c>
      <c r="O147" s="492">
        <f t="shared" si="67"/>
        <v>0</v>
      </c>
      <c r="P147" s="492">
        <f t="shared" si="67"/>
        <v>0</v>
      </c>
      <c r="Q147" s="492">
        <f t="shared" si="67"/>
        <v>0</v>
      </c>
      <c r="R147" s="492">
        <f t="shared" si="67"/>
        <v>0</v>
      </c>
      <c r="S147" s="492">
        <f t="shared" si="67"/>
        <v>0</v>
      </c>
      <c r="T147" s="492">
        <f t="shared" si="67"/>
        <v>0</v>
      </c>
      <c r="U147" s="492">
        <f t="shared" si="67"/>
        <v>0</v>
      </c>
      <c r="V147" s="492">
        <f t="shared" si="67"/>
        <v>0</v>
      </c>
      <c r="W147" s="492">
        <f t="shared" si="67"/>
        <v>0</v>
      </c>
      <c r="X147" s="492">
        <f t="shared" si="67"/>
        <v>0</v>
      </c>
      <c r="Y147" s="493">
        <f t="shared" si="68"/>
        <v>200000000</v>
      </c>
      <c r="Z147" s="493">
        <f t="shared" si="68"/>
        <v>193812597</v>
      </c>
      <c r="AA147" s="493">
        <f t="shared" si="68"/>
        <v>103462603</v>
      </c>
      <c r="AB147" s="494">
        <f t="shared" si="68"/>
        <v>103462603</v>
      </c>
      <c r="AC147" s="436"/>
    </row>
    <row r="148" spans="1:29" ht="16.5" thickTop="1" thickBot="1" x14ac:dyDescent="0.3">
      <c r="A148" s="444"/>
      <c r="B148" s="444"/>
      <c r="C148" s="444"/>
      <c r="D148" s="444"/>
      <c r="E148" s="445"/>
      <c r="F148" s="445"/>
      <c r="G148" s="444"/>
      <c r="H148" s="217" t="s">
        <v>780</v>
      </c>
      <c r="I148" s="448">
        <f>+I149</f>
        <v>200000000</v>
      </c>
      <c r="J148" s="448">
        <f t="shared" si="67"/>
        <v>193812597</v>
      </c>
      <c r="K148" s="448">
        <f t="shared" si="67"/>
        <v>103462603</v>
      </c>
      <c r="L148" s="448">
        <f t="shared" si="67"/>
        <v>103462603</v>
      </c>
      <c r="M148" s="497">
        <f t="shared" si="67"/>
        <v>0</v>
      </c>
      <c r="N148" s="497">
        <f t="shared" si="67"/>
        <v>0</v>
      </c>
      <c r="O148" s="497">
        <f t="shared" si="67"/>
        <v>0</v>
      </c>
      <c r="P148" s="497">
        <f t="shared" si="67"/>
        <v>0</v>
      </c>
      <c r="Q148" s="497">
        <f t="shared" si="67"/>
        <v>0</v>
      </c>
      <c r="R148" s="497">
        <f t="shared" si="67"/>
        <v>0</v>
      </c>
      <c r="S148" s="497">
        <f t="shared" si="67"/>
        <v>0</v>
      </c>
      <c r="T148" s="497">
        <f t="shared" si="67"/>
        <v>0</v>
      </c>
      <c r="U148" s="497">
        <f t="shared" si="67"/>
        <v>0</v>
      </c>
      <c r="V148" s="497">
        <f t="shared" si="67"/>
        <v>0</v>
      </c>
      <c r="W148" s="497">
        <f t="shared" si="67"/>
        <v>0</v>
      </c>
      <c r="X148" s="497">
        <f t="shared" si="67"/>
        <v>0</v>
      </c>
      <c r="Y148" s="450">
        <f t="shared" si="68"/>
        <v>200000000</v>
      </c>
      <c r="Z148" s="450">
        <f t="shared" si="68"/>
        <v>193812597</v>
      </c>
      <c r="AA148" s="450">
        <f t="shared" si="68"/>
        <v>103462603</v>
      </c>
      <c r="AB148" s="451">
        <f t="shared" si="68"/>
        <v>103462603</v>
      </c>
      <c r="AC148" s="436"/>
    </row>
    <row r="149" spans="1:29" ht="16.5" thickTop="1" thickBot="1" x14ac:dyDescent="0.3">
      <c r="A149" s="444"/>
      <c r="B149" s="444"/>
      <c r="C149" s="444"/>
      <c r="D149" s="444"/>
      <c r="E149" s="445"/>
      <c r="F149" s="445"/>
      <c r="G149" s="445"/>
      <c r="H149" s="217" t="s">
        <v>781</v>
      </c>
      <c r="I149" s="448">
        <v>200000000</v>
      </c>
      <c r="J149" s="448">
        <v>193812597</v>
      </c>
      <c r="K149" s="448">
        <v>103462603</v>
      </c>
      <c r="L149" s="448">
        <v>103462603</v>
      </c>
      <c r="M149" s="497"/>
      <c r="N149" s="497"/>
      <c r="O149" s="497"/>
      <c r="P149" s="497"/>
      <c r="Q149" s="497"/>
      <c r="R149" s="497"/>
      <c r="S149" s="497"/>
      <c r="T149" s="497"/>
      <c r="U149" s="497"/>
      <c r="V149" s="497"/>
      <c r="W149" s="497"/>
      <c r="X149" s="497"/>
      <c r="Y149" s="450">
        <f t="shared" si="68"/>
        <v>200000000</v>
      </c>
      <c r="Z149" s="450">
        <f t="shared" si="68"/>
        <v>193812597</v>
      </c>
      <c r="AA149" s="450">
        <f t="shared" si="68"/>
        <v>103462603</v>
      </c>
      <c r="AB149" s="451">
        <f t="shared" si="68"/>
        <v>103462603</v>
      </c>
      <c r="AC149" s="436"/>
    </row>
    <row r="150" spans="1:29" ht="52.5" thickTop="1" thickBot="1" x14ac:dyDescent="0.3">
      <c r="A150" s="218"/>
      <c r="B150" s="218"/>
      <c r="C150" s="218"/>
      <c r="D150" s="218"/>
      <c r="E150" s="218"/>
      <c r="F150" s="218"/>
      <c r="G150" s="217"/>
      <c r="H150" s="498" t="s">
        <v>430</v>
      </c>
      <c r="I150" s="509">
        <f>+I151</f>
        <v>250000000</v>
      </c>
      <c r="J150" s="509">
        <f t="shared" ref="J150:X154" si="69">+J151</f>
        <v>237127020</v>
      </c>
      <c r="K150" s="509">
        <f t="shared" si="69"/>
        <v>223592020</v>
      </c>
      <c r="L150" s="509">
        <f t="shared" si="69"/>
        <v>223592020</v>
      </c>
      <c r="M150" s="509">
        <f t="shared" si="69"/>
        <v>0</v>
      </c>
      <c r="N150" s="509">
        <f t="shared" si="69"/>
        <v>0</v>
      </c>
      <c r="O150" s="509">
        <f t="shared" si="69"/>
        <v>0</v>
      </c>
      <c r="P150" s="509">
        <f t="shared" si="69"/>
        <v>0</v>
      </c>
      <c r="Q150" s="509">
        <f t="shared" si="69"/>
        <v>0</v>
      </c>
      <c r="R150" s="509">
        <f t="shared" si="69"/>
        <v>0</v>
      </c>
      <c r="S150" s="509">
        <f t="shared" si="69"/>
        <v>0</v>
      </c>
      <c r="T150" s="509">
        <f t="shared" si="69"/>
        <v>0</v>
      </c>
      <c r="U150" s="509">
        <f t="shared" si="69"/>
        <v>0</v>
      </c>
      <c r="V150" s="509">
        <f t="shared" si="69"/>
        <v>0</v>
      </c>
      <c r="W150" s="509">
        <f t="shared" si="69"/>
        <v>0</v>
      </c>
      <c r="X150" s="509">
        <f t="shared" si="69"/>
        <v>0</v>
      </c>
      <c r="Y150" s="510">
        <f t="shared" si="68"/>
        <v>250000000</v>
      </c>
      <c r="Z150" s="510">
        <f>+J150+N150+R150+V150</f>
        <v>237127020</v>
      </c>
      <c r="AA150" s="510">
        <f>+K150+O150+S150+W150</f>
        <v>223592020</v>
      </c>
      <c r="AB150" s="510">
        <f>+L150+P150+T150+X150</f>
        <v>223592020</v>
      </c>
      <c r="AC150" s="436"/>
    </row>
    <row r="151" spans="1:29" ht="16.5" thickTop="1" thickBot="1" x14ac:dyDescent="0.3">
      <c r="A151" s="512"/>
      <c r="B151" s="512"/>
      <c r="C151" s="512"/>
      <c r="D151" s="512"/>
      <c r="E151" s="472"/>
      <c r="F151" s="472"/>
      <c r="G151" s="472"/>
      <c r="H151" s="499" t="s">
        <v>779</v>
      </c>
      <c r="I151" s="448">
        <f>+I152</f>
        <v>250000000</v>
      </c>
      <c r="J151" s="448">
        <f t="shared" si="69"/>
        <v>237127020</v>
      </c>
      <c r="K151" s="448">
        <f t="shared" si="69"/>
        <v>223592020</v>
      </c>
      <c r="L151" s="448">
        <f t="shared" si="69"/>
        <v>223592020</v>
      </c>
      <c r="M151" s="492">
        <f t="shared" si="69"/>
        <v>0</v>
      </c>
      <c r="N151" s="492">
        <f t="shared" si="69"/>
        <v>0</v>
      </c>
      <c r="O151" s="492">
        <f t="shared" si="69"/>
        <v>0</v>
      </c>
      <c r="P151" s="492">
        <f t="shared" si="69"/>
        <v>0</v>
      </c>
      <c r="Q151" s="492">
        <f t="shared" si="69"/>
        <v>0</v>
      </c>
      <c r="R151" s="492">
        <f t="shared" si="69"/>
        <v>0</v>
      </c>
      <c r="S151" s="492">
        <f t="shared" si="69"/>
        <v>0</v>
      </c>
      <c r="T151" s="492">
        <f t="shared" si="69"/>
        <v>0</v>
      </c>
      <c r="U151" s="492">
        <f t="shared" si="69"/>
        <v>0</v>
      </c>
      <c r="V151" s="492">
        <f t="shared" si="69"/>
        <v>0</v>
      </c>
      <c r="W151" s="492">
        <f t="shared" si="69"/>
        <v>0</v>
      </c>
      <c r="X151" s="492">
        <f t="shared" si="69"/>
        <v>0</v>
      </c>
      <c r="Y151" s="493">
        <f t="shared" si="68"/>
        <v>250000000</v>
      </c>
      <c r="Z151" s="493">
        <f t="shared" si="68"/>
        <v>237127020</v>
      </c>
      <c r="AA151" s="493">
        <f t="shared" si="68"/>
        <v>223592020</v>
      </c>
      <c r="AB151" s="494">
        <f t="shared" si="68"/>
        <v>223592020</v>
      </c>
      <c r="AC151" s="436"/>
    </row>
    <row r="152" spans="1:29" ht="16.5" thickTop="1" thickBot="1" x14ac:dyDescent="0.3">
      <c r="A152" s="444"/>
      <c r="B152" s="444"/>
      <c r="C152" s="446"/>
      <c r="D152" s="446"/>
      <c r="E152" s="445"/>
      <c r="F152" s="445"/>
      <c r="G152" s="444"/>
      <c r="H152" s="217" t="s">
        <v>780</v>
      </c>
      <c r="I152" s="448">
        <f>+I153</f>
        <v>250000000</v>
      </c>
      <c r="J152" s="448">
        <f t="shared" si="69"/>
        <v>237127020</v>
      </c>
      <c r="K152" s="448">
        <f t="shared" si="69"/>
        <v>223592020</v>
      </c>
      <c r="L152" s="448">
        <f t="shared" si="69"/>
        <v>223592020</v>
      </c>
      <c r="M152" s="497">
        <f t="shared" si="69"/>
        <v>0</v>
      </c>
      <c r="N152" s="497">
        <f t="shared" si="69"/>
        <v>0</v>
      </c>
      <c r="O152" s="497">
        <f t="shared" si="69"/>
        <v>0</v>
      </c>
      <c r="P152" s="497">
        <f t="shared" si="69"/>
        <v>0</v>
      </c>
      <c r="Q152" s="497">
        <f t="shared" si="69"/>
        <v>0</v>
      </c>
      <c r="R152" s="497">
        <f t="shared" si="69"/>
        <v>0</v>
      </c>
      <c r="S152" s="497">
        <f t="shared" si="69"/>
        <v>0</v>
      </c>
      <c r="T152" s="497">
        <f t="shared" si="69"/>
        <v>0</v>
      </c>
      <c r="U152" s="497">
        <f t="shared" si="69"/>
        <v>0</v>
      </c>
      <c r="V152" s="497">
        <f t="shared" si="69"/>
        <v>0</v>
      </c>
      <c r="W152" s="497">
        <f t="shared" si="69"/>
        <v>0</v>
      </c>
      <c r="X152" s="497">
        <f t="shared" si="69"/>
        <v>0</v>
      </c>
      <c r="Y152" s="450">
        <f t="shared" si="68"/>
        <v>250000000</v>
      </c>
      <c r="Z152" s="450">
        <f t="shared" si="68"/>
        <v>237127020</v>
      </c>
      <c r="AA152" s="450">
        <f t="shared" si="68"/>
        <v>223592020</v>
      </c>
      <c r="AB152" s="451">
        <f t="shared" si="68"/>
        <v>223592020</v>
      </c>
      <c r="AC152" s="436"/>
    </row>
    <row r="153" spans="1:29" ht="16.5" thickTop="1" thickBot="1" x14ac:dyDescent="0.3">
      <c r="A153" s="444"/>
      <c r="B153" s="444"/>
      <c r="C153" s="446"/>
      <c r="D153" s="446"/>
      <c r="E153" s="445"/>
      <c r="F153" s="445"/>
      <c r="G153" s="445"/>
      <c r="H153" s="217" t="s">
        <v>781</v>
      </c>
      <c r="I153" s="448">
        <v>250000000</v>
      </c>
      <c r="J153" s="448">
        <v>237127020</v>
      </c>
      <c r="K153" s="448">
        <v>223592020</v>
      </c>
      <c r="L153" s="448">
        <v>223592020</v>
      </c>
      <c r="M153" s="497"/>
      <c r="N153" s="497"/>
      <c r="O153" s="497"/>
      <c r="P153" s="497"/>
      <c r="Q153" s="497"/>
      <c r="R153" s="497"/>
      <c r="S153" s="497"/>
      <c r="T153" s="497"/>
      <c r="U153" s="497"/>
      <c r="V153" s="497"/>
      <c r="W153" s="497"/>
      <c r="X153" s="497"/>
      <c r="Y153" s="450">
        <f t="shared" si="68"/>
        <v>250000000</v>
      </c>
      <c r="Z153" s="450">
        <f t="shared" si="68"/>
        <v>237127020</v>
      </c>
      <c r="AA153" s="450">
        <f t="shared" si="68"/>
        <v>223592020</v>
      </c>
      <c r="AB153" s="451">
        <f t="shared" si="68"/>
        <v>223592020</v>
      </c>
      <c r="AC153" s="436"/>
    </row>
    <row r="154" spans="1:29" ht="39.75" thickTop="1" thickBot="1" x14ac:dyDescent="0.3">
      <c r="A154" s="218"/>
      <c r="B154" s="218"/>
      <c r="C154" s="218"/>
      <c r="D154" s="218"/>
      <c r="E154" s="218"/>
      <c r="F154" s="218"/>
      <c r="G154" s="217"/>
      <c r="H154" s="498" t="s">
        <v>444</v>
      </c>
      <c r="I154" s="509">
        <f>+I155</f>
        <v>150000000</v>
      </c>
      <c r="J154" s="509">
        <f t="shared" ref="J154:X156" si="70">+J155</f>
        <v>148000000</v>
      </c>
      <c r="K154" s="509">
        <f t="shared" si="70"/>
        <v>138470088</v>
      </c>
      <c r="L154" s="509">
        <f t="shared" si="70"/>
        <v>138470088</v>
      </c>
      <c r="M154" s="509">
        <f t="shared" si="69"/>
        <v>0</v>
      </c>
      <c r="N154" s="509">
        <f t="shared" si="69"/>
        <v>0</v>
      </c>
      <c r="O154" s="509">
        <f t="shared" si="69"/>
        <v>0</v>
      </c>
      <c r="P154" s="509">
        <f t="shared" si="69"/>
        <v>0</v>
      </c>
      <c r="Q154" s="509">
        <f t="shared" si="69"/>
        <v>0</v>
      </c>
      <c r="R154" s="509">
        <f t="shared" si="69"/>
        <v>0</v>
      </c>
      <c r="S154" s="509">
        <f t="shared" si="69"/>
        <v>0</v>
      </c>
      <c r="T154" s="509">
        <f t="shared" si="69"/>
        <v>0</v>
      </c>
      <c r="U154" s="509">
        <f t="shared" si="69"/>
        <v>0</v>
      </c>
      <c r="V154" s="509">
        <f t="shared" si="69"/>
        <v>0</v>
      </c>
      <c r="W154" s="509">
        <f t="shared" si="69"/>
        <v>0</v>
      </c>
      <c r="X154" s="509">
        <f t="shared" si="69"/>
        <v>0</v>
      </c>
      <c r="Y154" s="510">
        <f>I154+M154+Q154+U154</f>
        <v>150000000</v>
      </c>
      <c r="Z154" s="510">
        <f>J154+N154+R154+V154</f>
        <v>148000000</v>
      </c>
      <c r="AA154" s="510">
        <f>K154+O154+S154+W154</f>
        <v>138470088</v>
      </c>
      <c r="AB154" s="510">
        <f>L154+P154+T154+X154</f>
        <v>138470088</v>
      </c>
      <c r="AC154" s="436"/>
    </row>
    <row r="155" spans="1:29" ht="16.5" thickTop="1" thickBot="1" x14ac:dyDescent="0.3">
      <c r="A155" s="512"/>
      <c r="B155" s="512"/>
      <c r="C155" s="512"/>
      <c r="D155" s="512"/>
      <c r="E155" s="472"/>
      <c r="F155" s="472"/>
      <c r="G155" s="472"/>
      <c r="H155" s="499" t="s">
        <v>779</v>
      </c>
      <c r="I155" s="448">
        <f>+I156</f>
        <v>150000000</v>
      </c>
      <c r="J155" s="448">
        <f t="shared" si="70"/>
        <v>148000000</v>
      </c>
      <c r="K155" s="448">
        <f t="shared" si="70"/>
        <v>138470088</v>
      </c>
      <c r="L155" s="448">
        <f t="shared" si="70"/>
        <v>138470088</v>
      </c>
      <c r="M155" s="492">
        <f t="shared" si="70"/>
        <v>0</v>
      </c>
      <c r="N155" s="492">
        <f t="shared" si="70"/>
        <v>0</v>
      </c>
      <c r="O155" s="492">
        <f t="shared" si="70"/>
        <v>0</v>
      </c>
      <c r="P155" s="492">
        <f t="shared" si="70"/>
        <v>0</v>
      </c>
      <c r="Q155" s="492">
        <f t="shared" si="70"/>
        <v>0</v>
      </c>
      <c r="R155" s="492">
        <f t="shared" si="70"/>
        <v>0</v>
      </c>
      <c r="S155" s="492">
        <f t="shared" si="70"/>
        <v>0</v>
      </c>
      <c r="T155" s="492">
        <f t="shared" si="70"/>
        <v>0</v>
      </c>
      <c r="U155" s="492">
        <f t="shared" si="70"/>
        <v>0</v>
      </c>
      <c r="V155" s="492">
        <f t="shared" si="70"/>
        <v>0</v>
      </c>
      <c r="W155" s="492">
        <f t="shared" si="70"/>
        <v>0</v>
      </c>
      <c r="X155" s="492">
        <f t="shared" si="70"/>
        <v>0</v>
      </c>
      <c r="Y155" s="493">
        <f t="shared" si="68"/>
        <v>150000000</v>
      </c>
      <c r="Z155" s="493">
        <f t="shared" si="68"/>
        <v>148000000</v>
      </c>
      <c r="AA155" s="493">
        <f t="shared" si="68"/>
        <v>138470088</v>
      </c>
      <c r="AB155" s="494">
        <f t="shared" si="68"/>
        <v>138470088</v>
      </c>
      <c r="AC155" s="436"/>
    </row>
    <row r="156" spans="1:29" ht="16.5" thickTop="1" thickBot="1" x14ac:dyDescent="0.3">
      <c r="A156" s="444"/>
      <c r="B156" s="444"/>
      <c r="C156" s="446"/>
      <c r="D156" s="446"/>
      <c r="E156" s="445"/>
      <c r="F156" s="445"/>
      <c r="G156" s="444"/>
      <c r="H156" s="217" t="s">
        <v>780</v>
      </c>
      <c r="I156" s="448">
        <f>+I157</f>
        <v>150000000</v>
      </c>
      <c r="J156" s="448">
        <f t="shared" si="70"/>
        <v>148000000</v>
      </c>
      <c r="K156" s="448">
        <f t="shared" si="70"/>
        <v>138470088</v>
      </c>
      <c r="L156" s="448">
        <f t="shared" si="70"/>
        <v>138470088</v>
      </c>
      <c r="M156" s="497">
        <f t="shared" si="70"/>
        <v>0</v>
      </c>
      <c r="N156" s="497">
        <f t="shared" si="70"/>
        <v>0</v>
      </c>
      <c r="O156" s="497">
        <f t="shared" si="70"/>
        <v>0</v>
      </c>
      <c r="P156" s="497">
        <f t="shared" si="70"/>
        <v>0</v>
      </c>
      <c r="Q156" s="497">
        <f t="shared" si="70"/>
        <v>0</v>
      </c>
      <c r="R156" s="497">
        <f t="shared" si="70"/>
        <v>0</v>
      </c>
      <c r="S156" s="497">
        <f t="shared" si="70"/>
        <v>0</v>
      </c>
      <c r="T156" s="497">
        <f t="shared" si="70"/>
        <v>0</v>
      </c>
      <c r="U156" s="497">
        <f t="shared" si="70"/>
        <v>0</v>
      </c>
      <c r="V156" s="497">
        <f t="shared" si="70"/>
        <v>0</v>
      </c>
      <c r="W156" s="497">
        <f t="shared" si="70"/>
        <v>0</v>
      </c>
      <c r="X156" s="497">
        <f t="shared" si="70"/>
        <v>0</v>
      </c>
      <c r="Y156" s="450">
        <f t="shared" si="68"/>
        <v>150000000</v>
      </c>
      <c r="Z156" s="450">
        <f t="shared" si="68"/>
        <v>148000000</v>
      </c>
      <c r="AA156" s="450">
        <f t="shared" si="68"/>
        <v>138470088</v>
      </c>
      <c r="AB156" s="451">
        <f t="shared" si="68"/>
        <v>138470088</v>
      </c>
      <c r="AC156" s="436"/>
    </row>
    <row r="157" spans="1:29" ht="16.5" thickTop="1" thickBot="1" x14ac:dyDescent="0.3">
      <c r="A157" s="444"/>
      <c r="B157" s="444"/>
      <c r="C157" s="446"/>
      <c r="D157" s="446"/>
      <c r="E157" s="445"/>
      <c r="F157" s="445"/>
      <c r="G157" s="445"/>
      <c r="H157" s="217" t="s">
        <v>781</v>
      </c>
      <c r="I157" s="448">
        <v>150000000</v>
      </c>
      <c r="J157" s="448">
        <v>148000000</v>
      </c>
      <c r="K157" s="448">
        <v>138470088</v>
      </c>
      <c r="L157" s="448">
        <v>138470088</v>
      </c>
      <c r="M157" s="497"/>
      <c r="N157" s="497"/>
      <c r="O157" s="497"/>
      <c r="P157" s="497"/>
      <c r="Q157" s="497"/>
      <c r="R157" s="497"/>
      <c r="S157" s="497"/>
      <c r="T157" s="497"/>
      <c r="U157" s="497"/>
      <c r="V157" s="497"/>
      <c r="W157" s="497"/>
      <c r="X157" s="497"/>
      <c r="Y157" s="450">
        <f t="shared" si="68"/>
        <v>150000000</v>
      </c>
      <c r="Z157" s="450">
        <f t="shared" si="68"/>
        <v>148000000</v>
      </c>
      <c r="AA157" s="450">
        <f t="shared" si="68"/>
        <v>138470088</v>
      </c>
      <c r="AB157" s="451">
        <f t="shared" si="68"/>
        <v>138470088</v>
      </c>
      <c r="AC157" s="436"/>
    </row>
    <row r="158" spans="1:29" ht="27" thickTop="1" thickBot="1" x14ac:dyDescent="0.3">
      <c r="A158" s="484"/>
      <c r="B158" s="437"/>
      <c r="C158" s="437"/>
      <c r="D158" s="437"/>
      <c r="E158" s="484"/>
      <c r="F158" s="484"/>
      <c r="G158" s="484"/>
      <c r="H158" s="485" t="s">
        <v>451</v>
      </c>
      <c r="I158" s="448">
        <f>+I159+I184</f>
        <v>7426743879</v>
      </c>
      <c r="J158" s="448">
        <f>+J159+J184</f>
        <v>6097399391</v>
      </c>
      <c r="K158" s="448">
        <f>+K159+K184</f>
        <v>5545829338</v>
      </c>
      <c r="L158" s="448">
        <f>+L159+L184</f>
        <v>5305913550</v>
      </c>
      <c r="M158" s="486">
        <f t="shared" ref="M158:X158" si="71">+M160+M252</f>
        <v>0</v>
      </c>
      <c r="N158" s="486">
        <f t="shared" si="71"/>
        <v>0</v>
      </c>
      <c r="O158" s="486">
        <f t="shared" si="71"/>
        <v>0</v>
      </c>
      <c r="P158" s="486">
        <f t="shared" si="71"/>
        <v>0</v>
      </c>
      <c r="Q158" s="486">
        <f t="shared" si="71"/>
        <v>0</v>
      </c>
      <c r="R158" s="486">
        <f t="shared" si="71"/>
        <v>0</v>
      </c>
      <c r="S158" s="486">
        <f t="shared" si="71"/>
        <v>0</v>
      </c>
      <c r="T158" s="486">
        <f t="shared" si="71"/>
        <v>0</v>
      </c>
      <c r="U158" s="486">
        <f t="shared" si="71"/>
        <v>0</v>
      </c>
      <c r="V158" s="486">
        <f t="shared" si="71"/>
        <v>0</v>
      </c>
      <c r="W158" s="486">
        <f t="shared" si="71"/>
        <v>0</v>
      </c>
      <c r="X158" s="486">
        <f t="shared" si="71"/>
        <v>0</v>
      </c>
      <c r="Y158" s="487">
        <f>Y159+Y184</f>
        <v>7465968713</v>
      </c>
      <c r="Z158" s="487">
        <f>Z159+Z184</f>
        <v>6136471058</v>
      </c>
      <c r="AA158" s="487">
        <f>AA159+AA184</f>
        <v>5582202638</v>
      </c>
      <c r="AB158" s="487">
        <f>AB159+AB184</f>
        <v>5342286850</v>
      </c>
      <c r="AC158" s="487">
        <f>AC159+AC184</f>
        <v>0</v>
      </c>
    </row>
    <row r="159" spans="1:29" ht="27" thickTop="1" thickBot="1" x14ac:dyDescent="0.3">
      <c r="A159" s="444"/>
      <c r="B159" s="446"/>
      <c r="C159" s="446"/>
      <c r="D159" s="446"/>
      <c r="E159" s="444"/>
      <c r="F159" s="444"/>
      <c r="G159" s="444"/>
      <c r="H159" s="220" t="s">
        <v>452</v>
      </c>
      <c r="I159" s="448">
        <f>+I160+I164+I168+I172+I176+I180</f>
        <v>6959743879</v>
      </c>
      <c r="J159" s="448">
        <f t="shared" ref="J159:X159" si="72">+J160+J164+J168+J172+J176+J180</f>
        <v>5667882872</v>
      </c>
      <c r="K159" s="448">
        <f t="shared" si="72"/>
        <v>5173239752</v>
      </c>
      <c r="L159" s="448">
        <f t="shared" si="72"/>
        <v>4984785296</v>
      </c>
      <c r="M159" s="448">
        <f t="shared" si="72"/>
        <v>0</v>
      </c>
      <c r="N159" s="448">
        <f t="shared" si="72"/>
        <v>0</v>
      </c>
      <c r="O159" s="448">
        <f t="shared" si="72"/>
        <v>0</v>
      </c>
      <c r="P159" s="448">
        <f t="shared" si="72"/>
        <v>0</v>
      </c>
      <c r="Q159" s="448">
        <f t="shared" si="72"/>
        <v>0</v>
      </c>
      <c r="R159" s="448">
        <f t="shared" si="72"/>
        <v>0</v>
      </c>
      <c r="S159" s="448">
        <f t="shared" si="72"/>
        <v>0</v>
      </c>
      <c r="T159" s="448">
        <f t="shared" si="72"/>
        <v>0</v>
      </c>
      <c r="U159" s="561">
        <f t="shared" si="72"/>
        <v>39224834</v>
      </c>
      <c r="V159" s="448">
        <f t="shared" si="72"/>
        <v>39071667</v>
      </c>
      <c r="W159" s="448">
        <f t="shared" si="72"/>
        <v>36373300</v>
      </c>
      <c r="X159" s="448">
        <f t="shared" si="72"/>
        <v>36373300</v>
      </c>
      <c r="Y159" s="462">
        <f>Y160+Y164+Y168+Y172+Y176+Y180</f>
        <v>6998968713</v>
      </c>
      <c r="Z159" s="462">
        <f>Z160+Z164+Z168+Z172+Z176+Z180</f>
        <v>5706954539</v>
      </c>
      <c r="AA159" s="462">
        <f>AA160+AA164+AA168+AA172+AA176+AA180</f>
        <v>5209613052</v>
      </c>
      <c r="AB159" s="462">
        <f>AB160+AB164+AB168+AB172+AB176+AB180</f>
        <v>5021158596</v>
      </c>
      <c r="AC159" s="436"/>
    </row>
    <row r="160" spans="1:29" ht="27" thickTop="1" thickBot="1" x14ac:dyDescent="0.3">
      <c r="A160" s="444"/>
      <c r="B160" s="444"/>
      <c r="C160" s="444"/>
      <c r="D160" s="444"/>
      <c r="E160" s="444"/>
      <c r="F160" s="444"/>
      <c r="G160" s="444"/>
      <c r="H160" s="498" t="s">
        <v>453</v>
      </c>
      <c r="I160" s="448">
        <f>+I161</f>
        <v>900000000</v>
      </c>
      <c r="J160" s="448">
        <f t="shared" ref="J160:X162" si="73">+J161</f>
        <v>599861041</v>
      </c>
      <c r="K160" s="448">
        <f t="shared" si="73"/>
        <v>533856233</v>
      </c>
      <c r="L160" s="448">
        <f t="shared" si="73"/>
        <v>477747633</v>
      </c>
      <c r="M160" s="448">
        <f t="shared" si="73"/>
        <v>0</v>
      </c>
      <c r="N160" s="448">
        <f t="shared" si="73"/>
        <v>0</v>
      </c>
      <c r="O160" s="448">
        <f t="shared" si="73"/>
        <v>0</v>
      </c>
      <c r="P160" s="448">
        <f t="shared" si="73"/>
        <v>0</v>
      </c>
      <c r="Q160" s="448">
        <f t="shared" si="73"/>
        <v>0</v>
      </c>
      <c r="R160" s="448">
        <f t="shared" si="73"/>
        <v>0</v>
      </c>
      <c r="S160" s="448">
        <f t="shared" si="73"/>
        <v>0</v>
      </c>
      <c r="T160" s="448">
        <f t="shared" si="73"/>
        <v>0</v>
      </c>
      <c r="U160" s="448">
        <f t="shared" si="73"/>
        <v>0</v>
      </c>
      <c r="V160" s="448">
        <f t="shared" si="73"/>
        <v>0</v>
      </c>
      <c r="W160" s="448">
        <f t="shared" si="73"/>
        <v>0</v>
      </c>
      <c r="X160" s="448">
        <f t="shared" si="73"/>
        <v>0</v>
      </c>
      <c r="Y160" s="462">
        <f t="shared" ref="Y160:AB175" si="74">+I160+M160+Q160+U160</f>
        <v>900000000</v>
      </c>
      <c r="Z160" s="462">
        <f t="shared" si="74"/>
        <v>599861041</v>
      </c>
      <c r="AA160" s="462">
        <f t="shared" si="74"/>
        <v>533856233</v>
      </c>
      <c r="AB160" s="463">
        <f t="shared" si="74"/>
        <v>477747633</v>
      </c>
      <c r="AC160" s="436"/>
    </row>
    <row r="161" spans="1:29" ht="16.5" thickTop="1" thickBot="1" x14ac:dyDescent="0.3">
      <c r="A161" s="472"/>
      <c r="B161" s="472"/>
      <c r="C161" s="472"/>
      <c r="D161" s="472"/>
      <c r="E161" s="472"/>
      <c r="F161" s="472"/>
      <c r="G161" s="472"/>
      <c r="H161" s="499" t="s">
        <v>779</v>
      </c>
      <c r="I161" s="448">
        <f>+I162</f>
        <v>900000000</v>
      </c>
      <c r="J161" s="448">
        <f t="shared" si="73"/>
        <v>599861041</v>
      </c>
      <c r="K161" s="448">
        <f t="shared" si="73"/>
        <v>533856233</v>
      </c>
      <c r="L161" s="448">
        <f t="shared" si="73"/>
        <v>477747633</v>
      </c>
      <c r="M161" s="492">
        <f t="shared" si="73"/>
        <v>0</v>
      </c>
      <c r="N161" s="492">
        <f t="shared" si="73"/>
        <v>0</v>
      </c>
      <c r="O161" s="492">
        <f t="shared" si="73"/>
        <v>0</v>
      </c>
      <c r="P161" s="492">
        <f t="shared" si="73"/>
        <v>0</v>
      </c>
      <c r="Q161" s="492">
        <f t="shared" si="73"/>
        <v>0</v>
      </c>
      <c r="R161" s="492">
        <f t="shared" si="73"/>
        <v>0</v>
      </c>
      <c r="S161" s="492">
        <f t="shared" si="73"/>
        <v>0</v>
      </c>
      <c r="T161" s="492">
        <f t="shared" si="73"/>
        <v>0</v>
      </c>
      <c r="U161" s="492">
        <f t="shared" si="73"/>
        <v>0</v>
      </c>
      <c r="V161" s="492">
        <f t="shared" si="73"/>
        <v>0</v>
      </c>
      <c r="W161" s="492">
        <f t="shared" si="73"/>
        <v>0</v>
      </c>
      <c r="X161" s="492">
        <f t="shared" si="73"/>
        <v>0</v>
      </c>
      <c r="Y161" s="493">
        <f t="shared" si="74"/>
        <v>900000000</v>
      </c>
      <c r="Z161" s="493">
        <f t="shared" si="74"/>
        <v>599861041</v>
      </c>
      <c r="AA161" s="493">
        <f t="shared" si="74"/>
        <v>533856233</v>
      </c>
      <c r="AB161" s="494">
        <f t="shared" si="74"/>
        <v>477747633</v>
      </c>
      <c r="AC161" s="436"/>
    </row>
    <row r="162" spans="1:29" ht="16.5" thickTop="1" thickBot="1" x14ac:dyDescent="0.3">
      <c r="A162" s="444"/>
      <c r="B162" s="444"/>
      <c r="C162" s="444"/>
      <c r="D162" s="444"/>
      <c r="E162" s="445"/>
      <c r="F162" s="445"/>
      <c r="G162" s="444"/>
      <c r="H162" s="217" t="s">
        <v>780</v>
      </c>
      <c r="I162" s="448">
        <f>+I163</f>
        <v>900000000</v>
      </c>
      <c r="J162" s="448">
        <f t="shared" si="73"/>
        <v>599861041</v>
      </c>
      <c r="K162" s="448">
        <f t="shared" si="73"/>
        <v>533856233</v>
      </c>
      <c r="L162" s="448">
        <f t="shared" si="73"/>
        <v>477747633</v>
      </c>
      <c r="M162" s="497">
        <f t="shared" si="73"/>
        <v>0</v>
      </c>
      <c r="N162" s="497">
        <f t="shared" si="73"/>
        <v>0</v>
      </c>
      <c r="O162" s="497">
        <f t="shared" si="73"/>
        <v>0</v>
      </c>
      <c r="P162" s="497">
        <f t="shared" si="73"/>
        <v>0</v>
      </c>
      <c r="Q162" s="497">
        <f t="shared" si="73"/>
        <v>0</v>
      </c>
      <c r="R162" s="497">
        <f t="shared" si="73"/>
        <v>0</v>
      </c>
      <c r="S162" s="497">
        <f t="shared" si="73"/>
        <v>0</v>
      </c>
      <c r="T162" s="497">
        <f t="shared" si="73"/>
        <v>0</v>
      </c>
      <c r="U162" s="497">
        <f t="shared" si="73"/>
        <v>0</v>
      </c>
      <c r="V162" s="497">
        <f t="shared" si="73"/>
        <v>0</v>
      </c>
      <c r="W162" s="497">
        <f t="shared" si="73"/>
        <v>0</v>
      </c>
      <c r="X162" s="497">
        <f t="shared" si="73"/>
        <v>0</v>
      </c>
      <c r="Y162" s="450">
        <f t="shared" si="74"/>
        <v>900000000</v>
      </c>
      <c r="Z162" s="450">
        <f t="shared" si="74"/>
        <v>599861041</v>
      </c>
      <c r="AA162" s="450">
        <f t="shared" si="74"/>
        <v>533856233</v>
      </c>
      <c r="AB162" s="451">
        <f t="shared" si="74"/>
        <v>477747633</v>
      </c>
      <c r="AC162" s="436"/>
    </row>
    <row r="163" spans="1:29" ht="16.5" thickTop="1" thickBot="1" x14ac:dyDescent="0.3">
      <c r="A163" s="444"/>
      <c r="B163" s="444"/>
      <c r="C163" s="444"/>
      <c r="D163" s="444"/>
      <c r="E163" s="445"/>
      <c r="F163" s="445"/>
      <c r="G163" s="445"/>
      <c r="H163" s="217" t="s">
        <v>781</v>
      </c>
      <c r="I163" s="448">
        <v>900000000</v>
      </c>
      <c r="J163" s="448">
        <v>599861041</v>
      </c>
      <c r="K163" s="448">
        <v>533856233</v>
      </c>
      <c r="L163" s="448">
        <v>477747633</v>
      </c>
      <c r="M163" s="497"/>
      <c r="N163" s="497"/>
      <c r="O163" s="497"/>
      <c r="P163" s="497"/>
      <c r="Q163" s="497"/>
      <c r="R163" s="497"/>
      <c r="S163" s="497"/>
      <c r="T163" s="497"/>
      <c r="U163" s="497"/>
      <c r="V163" s="497"/>
      <c r="W163" s="497"/>
      <c r="X163" s="497"/>
      <c r="Y163" s="450">
        <f t="shared" si="74"/>
        <v>900000000</v>
      </c>
      <c r="Z163" s="450">
        <f t="shared" si="74"/>
        <v>599861041</v>
      </c>
      <c r="AA163" s="450">
        <f t="shared" si="74"/>
        <v>533856233</v>
      </c>
      <c r="AB163" s="451">
        <f t="shared" si="74"/>
        <v>477747633</v>
      </c>
      <c r="AC163" s="436"/>
    </row>
    <row r="164" spans="1:29" ht="27" thickTop="1" thickBot="1" x14ac:dyDescent="0.3">
      <c r="A164" s="218"/>
      <c r="B164" s="218"/>
      <c r="C164" s="218"/>
      <c r="D164" s="218"/>
      <c r="E164" s="218"/>
      <c r="F164" s="218"/>
      <c r="G164" s="217"/>
      <c r="H164" s="498" t="s">
        <v>487</v>
      </c>
      <c r="I164" s="509">
        <f>+I165</f>
        <v>960000000</v>
      </c>
      <c r="J164" s="509">
        <f t="shared" ref="J164:X166" si="75">+J165</f>
        <v>950354720</v>
      </c>
      <c r="K164" s="509">
        <f t="shared" si="75"/>
        <v>894120472</v>
      </c>
      <c r="L164" s="509">
        <f t="shared" si="75"/>
        <v>864520472</v>
      </c>
      <c r="M164" s="509">
        <f t="shared" si="75"/>
        <v>0</v>
      </c>
      <c r="N164" s="509">
        <f t="shared" si="75"/>
        <v>0</v>
      </c>
      <c r="O164" s="509">
        <f t="shared" si="75"/>
        <v>0</v>
      </c>
      <c r="P164" s="509">
        <f t="shared" si="75"/>
        <v>0</v>
      </c>
      <c r="Q164" s="509">
        <f t="shared" si="75"/>
        <v>0</v>
      </c>
      <c r="R164" s="509">
        <f t="shared" si="75"/>
        <v>0</v>
      </c>
      <c r="S164" s="509">
        <f t="shared" si="75"/>
        <v>0</v>
      </c>
      <c r="T164" s="509">
        <f t="shared" si="75"/>
        <v>0</v>
      </c>
      <c r="U164" s="509">
        <f t="shared" si="75"/>
        <v>39224834</v>
      </c>
      <c r="V164" s="509">
        <f t="shared" si="75"/>
        <v>39071667</v>
      </c>
      <c r="W164" s="509">
        <f t="shared" si="75"/>
        <v>36373300</v>
      </c>
      <c r="X164" s="509">
        <f t="shared" si="75"/>
        <v>36373300</v>
      </c>
      <c r="Y164" s="510">
        <f>I164+M164+Q164+U164</f>
        <v>999224834</v>
      </c>
      <c r="Z164" s="510">
        <f>J164+N164+R164+V164</f>
        <v>989426387</v>
      </c>
      <c r="AA164" s="510">
        <f>K164+O164+S164+W164</f>
        <v>930493772</v>
      </c>
      <c r="AB164" s="510">
        <f>L164+P164+T164+X164</f>
        <v>900893772</v>
      </c>
      <c r="AC164" s="436"/>
    </row>
    <row r="165" spans="1:29" ht="16.5" thickTop="1" thickBot="1" x14ac:dyDescent="0.3">
      <c r="A165" s="512"/>
      <c r="B165" s="512"/>
      <c r="C165" s="512"/>
      <c r="D165" s="512"/>
      <c r="E165" s="472"/>
      <c r="F165" s="472"/>
      <c r="G165" s="472"/>
      <c r="H165" s="499" t="s">
        <v>779</v>
      </c>
      <c r="I165" s="448">
        <f>+I166</f>
        <v>960000000</v>
      </c>
      <c r="J165" s="448">
        <f t="shared" si="75"/>
        <v>950354720</v>
      </c>
      <c r="K165" s="448">
        <f t="shared" si="75"/>
        <v>894120472</v>
      </c>
      <c r="L165" s="448">
        <f t="shared" si="75"/>
        <v>864520472</v>
      </c>
      <c r="M165" s="492">
        <f t="shared" si="75"/>
        <v>0</v>
      </c>
      <c r="N165" s="492">
        <f t="shared" si="75"/>
        <v>0</v>
      </c>
      <c r="O165" s="492">
        <f t="shared" si="75"/>
        <v>0</v>
      </c>
      <c r="P165" s="492">
        <f t="shared" si="75"/>
        <v>0</v>
      </c>
      <c r="Q165" s="492">
        <f t="shared" si="75"/>
        <v>0</v>
      </c>
      <c r="R165" s="492">
        <f t="shared" si="75"/>
        <v>0</v>
      </c>
      <c r="S165" s="492">
        <f t="shared" si="75"/>
        <v>0</v>
      </c>
      <c r="T165" s="492">
        <f t="shared" si="75"/>
        <v>0</v>
      </c>
      <c r="U165" s="492">
        <f t="shared" si="75"/>
        <v>39224834</v>
      </c>
      <c r="V165" s="492">
        <f t="shared" si="75"/>
        <v>39071667</v>
      </c>
      <c r="W165" s="492">
        <f t="shared" si="75"/>
        <v>36373300</v>
      </c>
      <c r="X165" s="492">
        <f t="shared" si="75"/>
        <v>36373300</v>
      </c>
      <c r="Y165" s="493">
        <f t="shared" si="74"/>
        <v>999224834</v>
      </c>
      <c r="Z165" s="493">
        <f t="shared" si="74"/>
        <v>989426387</v>
      </c>
      <c r="AA165" s="493">
        <f t="shared" si="74"/>
        <v>930493772</v>
      </c>
      <c r="AB165" s="494">
        <f t="shared" si="74"/>
        <v>900893772</v>
      </c>
      <c r="AC165" s="436"/>
    </row>
    <row r="166" spans="1:29" ht="16.5" thickTop="1" thickBot="1" x14ac:dyDescent="0.3">
      <c r="A166" s="444"/>
      <c r="B166" s="444"/>
      <c r="C166" s="446"/>
      <c r="D166" s="446"/>
      <c r="E166" s="445"/>
      <c r="F166" s="445"/>
      <c r="G166" s="444"/>
      <c r="H166" s="217" t="s">
        <v>780</v>
      </c>
      <c r="I166" s="448">
        <f>+I167</f>
        <v>960000000</v>
      </c>
      <c r="J166" s="448">
        <f t="shared" si="75"/>
        <v>950354720</v>
      </c>
      <c r="K166" s="448">
        <f t="shared" si="75"/>
        <v>894120472</v>
      </c>
      <c r="L166" s="448">
        <f t="shared" si="75"/>
        <v>864520472</v>
      </c>
      <c r="M166" s="497">
        <f t="shared" si="75"/>
        <v>0</v>
      </c>
      <c r="N166" s="497">
        <f t="shared" si="75"/>
        <v>0</v>
      </c>
      <c r="O166" s="497">
        <f t="shared" si="75"/>
        <v>0</v>
      </c>
      <c r="P166" s="497">
        <f t="shared" si="75"/>
        <v>0</v>
      </c>
      <c r="Q166" s="497">
        <f t="shared" si="75"/>
        <v>0</v>
      </c>
      <c r="R166" s="497">
        <f t="shared" si="75"/>
        <v>0</v>
      </c>
      <c r="S166" s="497">
        <f t="shared" si="75"/>
        <v>0</v>
      </c>
      <c r="T166" s="497">
        <f t="shared" si="75"/>
        <v>0</v>
      </c>
      <c r="U166" s="509">
        <v>39224834</v>
      </c>
      <c r="V166" s="509">
        <v>39071667</v>
      </c>
      <c r="W166" s="509">
        <v>36373300</v>
      </c>
      <c r="X166" s="509">
        <v>36373300</v>
      </c>
      <c r="Y166" s="450">
        <f t="shared" si="74"/>
        <v>999224834</v>
      </c>
      <c r="Z166" s="450">
        <f t="shared" si="74"/>
        <v>989426387</v>
      </c>
      <c r="AA166" s="450">
        <f t="shared" si="74"/>
        <v>930493772</v>
      </c>
      <c r="AB166" s="451">
        <f t="shared" si="74"/>
        <v>900893772</v>
      </c>
      <c r="AC166" s="436"/>
    </row>
    <row r="167" spans="1:29" ht="16.5" thickTop="1" thickBot="1" x14ac:dyDescent="0.3">
      <c r="A167" s="444"/>
      <c r="B167" s="444"/>
      <c r="C167" s="446"/>
      <c r="D167" s="446"/>
      <c r="E167" s="445"/>
      <c r="F167" s="445"/>
      <c r="G167" s="445"/>
      <c r="H167" s="217" t="s">
        <v>781</v>
      </c>
      <c r="I167" s="448">
        <v>960000000</v>
      </c>
      <c r="J167" s="448">
        <v>950354720</v>
      </c>
      <c r="K167" s="448">
        <v>894120472</v>
      </c>
      <c r="L167" s="448">
        <v>864520472</v>
      </c>
      <c r="M167" s="497"/>
      <c r="N167" s="497"/>
      <c r="O167" s="497"/>
      <c r="P167" s="497"/>
      <c r="Q167" s="497"/>
      <c r="R167" s="497"/>
      <c r="S167" s="497"/>
      <c r="T167" s="497"/>
      <c r="U167" s="509">
        <v>39224834</v>
      </c>
      <c r="V167" s="509">
        <v>39071667</v>
      </c>
      <c r="W167" s="509">
        <v>36373300</v>
      </c>
      <c r="X167" s="509">
        <v>36373300</v>
      </c>
      <c r="Y167" s="450">
        <f>+I167+M167+Q167+U167</f>
        <v>999224834</v>
      </c>
      <c r="Z167" s="450">
        <f>+J167+N167+R167+V167</f>
        <v>989426387</v>
      </c>
      <c r="AA167" s="450">
        <f>+K167+O167+S167+W167</f>
        <v>930493772</v>
      </c>
      <c r="AB167" s="451">
        <f>+L167+P167+T167+X167</f>
        <v>900893772</v>
      </c>
      <c r="AC167" s="436"/>
    </row>
    <row r="168" spans="1:29" ht="39.75" thickTop="1" thickBot="1" x14ac:dyDescent="0.3">
      <c r="A168" s="218"/>
      <c r="B168" s="218"/>
      <c r="C168" s="218"/>
      <c r="D168" s="218"/>
      <c r="E168" s="218"/>
      <c r="F168" s="218"/>
      <c r="G168" s="217"/>
      <c r="H168" s="498" t="s">
        <v>512</v>
      </c>
      <c r="I168" s="509">
        <f>+I169</f>
        <v>3699743879</v>
      </c>
      <c r="J168" s="509">
        <f t="shared" ref="J168:X178" si="76">+J169</f>
        <v>3513116913</v>
      </c>
      <c r="K168" s="509">
        <f t="shared" si="76"/>
        <v>3324844186</v>
      </c>
      <c r="L168" s="509">
        <f t="shared" si="76"/>
        <v>3234825692</v>
      </c>
      <c r="M168" s="509">
        <f t="shared" si="76"/>
        <v>0</v>
      </c>
      <c r="N168" s="509">
        <f t="shared" si="76"/>
        <v>0</v>
      </c>
      <c r="O168" s="509">
        <f t="shared" si="76"/>
        <v>0</v>
      </c>
      <c r="P168" s="509">
        <f t="shared" si="76"/>
        <v>0</v>
      </c>
      <c r="Q168" s="509">
        <f t="shared" si="76"/>
        <v>0</v>
      </c>
      <c r="R168" s="509">
        <f t="shared" si="76"/>
        <v>0</v>
      </c>
      <c r="S168" s="509">
        <f t="shared" si="76"/>
        <v>0</v>
      </c>
      <c r="T168" s="509">
        <f t="shared" si="76"/>
        <v>0</v>
      </c>
      <c r="U168" s="509">
        <f t="shared" si="76"/>
        <v>0</v>
      </c>
      <c r="V168" s="509">
        <f t="shared" si="76"/>
        <v>0</v>
      </c>
      <c r="W168" s="509">
        <f t="shared" si="76"/>
        <v>0</v>
      </c>
      <c r="X168" s="509">
        <f t="shared" si="76"/>
        <v>0</v>
      </c>
      <c r="Y168" s="510">
        <f t="shared" si="74"/>
        <v>3699743879</v>
      </c>
      <c r="Z168" s="510">
        <f t="shared" si="74"/>
        <v>3513116913</v>
      </c>
      <c r="AA168" s="510">
        <f t="shared" si="74"/>
        <v>3324844186</v>
      </c>
      <c r="AB168" s="511">
        <f t="shared" si="74"/>
        <v>3234825692</v>
      </c>
      <c r="AC168" s="436"/>
    </row>
    <row r="169" spans="1:29" ht="16.5" thickTop="1" thickBot="1" x14ac:dyDescent="0.3">
      <c r="A169" s="512"/>
      <c r="B169" s="512"/>
      <c r="C169" s="512"/>
      <c r="D169" s="512"/>
      <c r="E169" s="472"/>
      <c r="F169" s="472"/>
      <c r="G169" s="472"/>
      <c r="H169" s="499" t="s">
        <v>779</v>
      </c>
      <c r="I169" s="448">
        <f>+I170</f>
        <v>3699743879</v>
      </c>
      <c r="J169" s="492">
        <f t="shared" si="76"/>
        <v>3513116913</v>
      </c>
      <c r="K169" s="448">
        <f t="shared" si="76"/>
        <v>3324844186</v>
      </c>
      <c r="L169" s="448">
        <f t="shared" si="76"/>
        <v>3234825692</v>
      </c>
      <c r="M169" s="492">
        <f t="shared" si="76"/>
        <v>0</v>
      </c>
      <c r="N169" s="492">
        <f t="shared" si="76"/>
        <v>0</v>
      </c>
      <c r="O169" s="492">
        <f t="shared" si="76"/>
        <v>0</v>
      </c>
      <c r="P169" s="492">
        <f t="shared" si="76"/>
        <v>0</v>
      </c>
      <c r="Q169" s="492">
        <f t="shared" si="76"/>
        <v>0</v>
      </c>
      <c r="R169" s="492">
        <f t="shared" si="76"/>
        <v>0</v>
      </c>
      <c r="S169" s="492">
        <f t="shared" si="76"/>
        <v>0</v>
      </c>
      <c r="T169" s="492">
        <f t="shared" si="76"/>
        <v>0</v>
      </c>
      <c r="U169" s="492">
        <f t="shared" si="76"/>
        <v>0</v>
      </c>
      <c r="V169" s="492">
        <f t="shared" si="76"/>
        <v>0</v>
      </c>
      <c r="W169" s="492">
        <f t="shared" si="76"/>
        <v>0</v>
      </c>
      <c r="X169" s="492">
        <f t="shared" si="76"/>
        <v>0</v>
      </c>
      <c r="Y169" s="493">
        <f t="shared" si="74"/>
        <v>3699743879</v>
      </c>
      <c r="Z169" s="493">
        <f t="shared" si="74"/>
        <v>3513116913</v>
      </c>
      <c r="AA169" s="493">
        <f t="shared" si="74"/>
        <v>3324844186</v>
      </c>
      <c r="AB169" s="494">
        <f t="shared" si="74"/>
        <v>3234825692</v>
      </c>
      <c r="AC169" s="436"/>
    </row>
    <row r="170" spans="1:29" ht="16.5" thickTop="1" thickBot="1" x14ac:dyDescent="0.3">
      <c r="A170" s="444"/>
      <c r="B170" s="444"/>
      <c r="C170" s="446"/>
      <c r="D170" s="446"/>
      <c r="E170" s="445"/>
      <c r="F170" s="445"/>
      <c r="G170" s="444"/>
      <c r="H170" s="217" t="s">
        <v>780</v>
      </c>
      <c r="I170" s="448">
        <f>+I171</f>
        <v>3699743879</v>
      </c>
      <c r="J170" s="497">
        <f t="shared" si="76"/>
        <v>3513116913</v>
      </c>
      <c r="K170" s="448">
        <f t="shared" si="76"/>
        <v>3324844186</v>
      </c>
      <c r="L170" s="448">
        <f t="shared" si="76"/>
        <v>3234825692</v>
      </c>
      <c r="M170" s="497">
        <f t="shared" si="76"/>
        <v>0</v>
      </c>
      <c r="N170" s="497">
        <f t="shared" si="76"/>
        <v>0</v>
      </c>
      <c r="O170" s="497">
        <f t="shared" si="76"/>
        <v>0</v>
      </c>
      <c r="P170" s="497">
        <f t="shared" si="76"/>
        <v>0</v>
      </c>
      <c r="Q170" s="497">
        <f t="shared" si="76"/>
        <v>0</v>
      </c>
      <c r="R170" s="497">
        <f t="shared" si="76"/>
        <v>0</v>
      </c>
      <c r="S170" s="497">
        <f t="shared" si="76"/>
        <v>0</v>
      </c>
      <c r="T170" s="497">
        <f t="shared" si="76"/>
        <v>0</v>
      </c>
      <c r="U170" s="497">
        <f t="shared" si="76"/>
        <v>0</v>
      </c>
      <c r="V170" s="497">
        <f t="shared" si="76"/>
        <v>0</v>
      </c>
      <c r="W170" s="497">
        <f t="shared" si="76"/>
        <v>0</v>
      </c>
      <c r="X170" s="497">
        <f t="shared" si="76"/>
        <v>0</v>
      </c>
      <c r="Y170" s="450">
        <f t="shared" si="74"/>
        <v>3699743879</v>
      </c>
      <c r="Z170" s="450">
        <f t="shared" si="74"/>
        <v>3513116913</v>
      </c>
      <c r="AA170" s="450">
        <f t="shared" si="74"/>
        <v>3324844186</v>
      </c>
      <c r="AB170" s="451">
        <f t="shared" si="74"/>
        <v>3234825692</v>
      </c>
      <c r="AC170" s="436"/>
    </row>
    <row r="171" spans="1:29" ht="16.5" thickTop="1" thickBot="1" x14ac:dyDescent="0.3">
      <c r="A171" s="444"/>
      <c r="B171" s="444"/>
      <c r="C171" s="446"/>
      <c r="D171" s="446"/>
      <c r="E171" s="445"/>
      <c r="F171" s="445"/>
      <c r="G171" s="445"/>
      <c r="H171" s="217" t="s">
        <v>781</v>
      </c>
      <c r="I171" s="448">
        <v>3699743879</v>
      </c>
      <c r="J171" s="497">
        <v>3513116913</v>
      </c>
      <c r="K171" s="448">
        <v>3324844186</v>
      </c>
      <c r="L171" s="448">
        <v>3234825692</v>
      </c>
      <c r="M171" s="497"/>
      <c r="N171" s="497"/>
      <c r="O171" s="497"/>
      <c r="P171" s="497"/>
      <c r="Q171" s="497"/>
      <c r="R171" s="497"/>
      <c r="S171" s="497"/>
      <c r="T171" s="497"/>
      <c r="U171" s="497"/>
      <c r="V171" s="497"/>
      <c r="W171" s="497"/>
      <c r="X171" s="497"/>
      <c r="Y171" s="450">
        <f t="shared" si="74"/>
        <v>3699743879</v>
      </c>
      <c r="Z171" s="450">
        <f t="shared" si="74"/>
        <v>3513116913</v>
      </c>
      <c r="AA171" s="450">
        <f t="shared" si="74"/>
        <v>3324844186</v>
      </c>
      <c r="AB171" s="451">
        <f t="shared" si="74"/>
        <v>3234825692</v>
      </c>
      <c r="AC171" s="436"/>
    </row>
    <row r="172" spans="1:29" ht="52.5" thickTop="1" thickBot="1" x14ac:dyDescent="0.3">
      <c r="A172" s="218"/>
      <c r="B172" s="218"/>
      <c r="C172" s="218"/>
      <c r="D172" s="218"/>
      <c r="E172" s="218"/>
      <c r="F172" s="218"/>
      <c r="G172" s="217"/>
      <c r="H172" s="498" t="s">
        <v>530</v>
      </c>
      <c r="I172" s="509">
        <f>+I173</f>
        <v>500000000</v>
      </c>
      <c r="J172" s="509">
        <f>+J173</f>
        <v>222843884</v>
      </c>
      <c r="K172" s="509">
        <f>+K173</f>
        <v>51174922</v>
      </c>
      <c r="L172" s="509">
        <f>+L173</f>
        <v>51174922</v>
      </c>
      <c r="M172" s="509">
        <f t="shared" si="76"/>
        <v>0</v>
      </c>
      <c r="N172" s="509">
        <f t="shared" si="76"/>
        <v>0</v>
      </c>
      <c r="O172" s="509">
        <f t="shared" si="76"/>
        <v>0</v>
      </c>
      <c r="P172" s="509">
        <f t="shared" si="76"/>
        <v>0</v>
      </c>
      <c r="Q172" s="509">
        <f t="shared" si="76"/>
        <v>0</v>
      </c>
      <c r="R172" s="509">
        <f t="shared" si="76"/>
        <v>0</v>
      </c>
      <c r="S172" s="509">
        <f t="shared" si="76"/>
        <v>0</v>
      </c>
      <c r="T172" s="509">
        <f t="shared" si="76"/>
        <v>0</v>
      </c>
      <c r="U172" s="509">
        <f t="shared" si="76"/>
        <v>0</v>
      </c>
      <c r="V172" s="509">
        <f t="shared" si="76"/>
        <v>0</v>
      </c>
      <c r="W172" s="509">
        <f t="shared" si="76"/>
        <v>0</v>
      </c>
      <c r="X172" s="509">
        <f t="shared" si="76"/>
        <v>0</v>
      </c>
      <c r="Y172" s="510">
        <f t="shared" si="74"/>
        <v>500000000</v>
      </c>
      <c r="Z172" s="510">
        <f t="shared" si="74"/>
        <v>222843884</v>
      </c>
      <c r="AA172" s="510">
        <f t="shared" si="74"/>
        <v>51174922</v>
      </c>
      <c r="AB172" s="511">
        <f t="shared" si="74"/>
        <v>51174922</v>
      </c>
      <c r="AC172" s="436"/>
    </row>
    <row r="173" spans="1:29" ht="16.5" thickTop="1" thickBot="1" x14ac:dyDescent="0.3">
      <c r="A173" s="512"/>
      <c r="B173" s="512"/>
      <c r="C173" s="512"/>
      <c r="D173" s="512"/>
      <c r="E173" s="472"/>
      <c r="F173" s="472"/>
      <c r="G173" s="472"/>
      <c r="H173" s="499" t="s">
        <v>779</v>
      </c>
      <c r="I173" s="448">
        <f>+I174</f>
        <v>500000000</v>
      </c>
      <c r="J173" s="448">
        <f t="shared" si="76"/>
        <v>222843884</v>
      </c>
      <c r="K173" s="448">
        <f t="shared" si="76"/>
        <v>51174922</v>
      </c>
      <c r="L173" s="448">
        <f t="shared" si="76"/>
        <v>51174922</v>
      </c>
      <c r="M173" s="492">
        <f t="shared" si="76"/>
        <v>0</v>
      </c>
      <c r="N173" s="492">
        <f t="shared" si="76"/>
        <v>0</v>
      </c>
      <c r="O173" s="492">
        <f t="shared" si="76"/>
        <v>0</v>
      </c>
      <c r="P173" s="492">
        <f t="shared" si="76"/>
        <v>0</v>
      </c>
      <c r="Q173" s="492">
        <f t="shared" si="76"/>
        <v>0</v>
      </c>
      <c r="R173" s="492">
        <f t="shared" si="76"/>
        <v>0</v>
      </c>
      <c r="S173" s="492">
        <f t="shared" si="76"/>
        <v>0</v>
      </c>
      <c r="T173" s="492">
        <f t="shared" si="76"/>
        <v>0</v>
      </c>
      <c r="U173" s="492">
        <f t="shared" si="76"/>
        <v>0</v>
      </c>
      <c r="V173" s="492">
        <f t="shared" si="76"/>
        <v>0</v>
      </c>
      <c r="W173" s="492">
        <f t="shared" si="76"/>
        <v>0</v>
      </c>
      <c r="X173" s="492">
        <f t="shared" si="76"/>
        <v>0</v>
      </c>
      <c r="Y173" s="493">
        <f t="shared" si="74"/>
        <v>500000000</v>
      </c>
      <c r="Z173" s="493">
        <f t="shared" si="74"/>
        <v>222843884</v>
      </c>
      <c r="AA173" s="493">
        <f t="shared" si="74"/>
        <v>51174922</v>
      </c>
      <c r="AB173" s="494">
        <f t="shared" si="74"/>
        <v>51174922</v>
      </c>
      <c r="AC173" s="436"/>
    </row>
    <row r="174" spans="1:29" ht="16.5" thickTop="1" thickBot="1" x14ac:dyDescent="0.3">
      <c r="A174" s="444"/>
      <c r="B174" s="444"/>
      <c r="C174" s="446"/>
      <c r="D174" s="446"/>
      <c r="E174" s="445"/>
      <c r="F174" s="445"/>
      <c r="G174" s="444"/>
      <c r="H174" s="217" t="s">
        <v>780</v>
      </c>
      <c r="I174" s="448">
        <f>+I175</f>
        <v>500000000</v>
      </c>
      <c r="J174" s="448">
        <f t="shared" si="76"/>
        <v>222843884</v>
      </c>
      <c r="K174" s="448">
        <f t="shared" si="76"/>
        <v>51174922</v>
      </c>
      <c r="L174" s="448">
        <f t="shared" si="76"/>
        <v>51174922</v>
      </c>
      <c r="M174" s="497">
        <f t="shared" si="76"/>
        <v>0</v>
      </c>
      <c r="N174" s="497">
        <f t="shared" si="76"/>
        <v>0</v>
      </c>
      <c r="O174" s="497">
        <f t="shared" si="76"/>
        <v>0</v>
      </c>
      <c r="P174" s="497">
        <f t="shared" si="76"/>
        <v>0</v>
      </c>
      <c r="Q174" s="497">
        <f t="shared" si="76"/>
        <v>0</v>
      </c>
      <c r="R174" s="497">
        <f t="shared" si="76"/>
        <v>0</v>
      </c>
      <c r="S174" s="497">
        <f t="shared" si="76"/>
        <v>0</v>
      </c>
      <c r="T174" s="497">
        <f t="shared" si="76"/>
        <v>0</v>
      </c>
      <c r="U174" s="497">
        <f t="shared" si="76"/>
        <v>0</v>
      </c>
      <c r="V174" s="497">
        <f t="shared" si="76"/>
        <v>0</v>
      </c>
      <c r="W174" s="497">
        <f t="shared" si="76"/>
        <v>0</v>
      </c>
      <c r="X174" s="497">
        <f t="shared" si="76"/>
        <v>0</v>
      </c>
      <c r="Y174" s="450">
        <f t="shared" si="74"/>
        <v>500000000</v>
      </c>
      <c r="Z174" s="450">
        <f t="shared" si="74"/>
        <v>222843884</v>
      </c>
      <c r="AA174" s="450">
        <f t="shared" si="74"/>
        <v>51174922</v>
      </c>
      <c r="AB174" s="451">
        <f t="shared" si="74"/>
        <v>51174922</v>
      </c>
      <c r="AC174" s="436"/>
    </row>
    <row r="175" spans="1:29" ht="16.5" thickTop="1" thickBot="1" x14ac:dyDescent="0.3">
      <c r="A175" s="444"/>
      <c r="B175" s="444"/>
      <c r="C175" s="446"/>
      <c r="D175" s="446"/>
      <c r="E175" s="445"/>
      <c r="F175" s="445"/>
      <c r="G175" s="445"/>
      <c r="H175" s="217" t="s">
        <v>781</v>
      </c>
      <c r="I175" s="448">
        <v>500000000</v>
      </c>
      <c r="J175" s="448">
        <v>222843884</v>
      </c>
      <c r="K175" s="448">
        <v>51174922</v>
      </c>
      <c r="L175" s="448">
        <v>51174922</v>
      </c>
      <c r="M175" s="497"/>
      <c r="N175" s="497"/>
      <c r="O175" s="497"/>
      <c r="P175" s="497"/>
      <c r="Q175" s="497"/>
      <c r="R175" s="497"/>
      <c r="S175" s="497"/>
      <c r="T175" s="497"/>
      <c r="U175" s="497"/>
      <c r="V175" s="497"/>
      <c r="W175" s="497"/>
      <c r="X175" s="497"/>
      <c r="Y175" s="450">
        <f t="shared" si="74"/>
        <v>500000000</v>
      </c>
      <c r="Z175" s="450">
        <f t="shared" si="74"/>
        <v>222843884</v>
      </c>
      <c r="AA175" s="450">
        <f t="shared" si="74"/>
        <v>51174922</v>
      </c>
      <c r="AB175" s="451">
        <f t="shared" si="74"/>
        <v>51174922</v>
      </c>
      <c r="AC175" s="436"/>
    </row>
    <row r="176" spans="1:29" ht="39.75" thickTop="1" thickBot="1" x14ac:dyDescent="0.3">
      <c r="A176" s="218"/>
      <c r="B176" s="218"/>
      <c r="C176" s="218"/>
      <c r="D176" s="218"/>
      <c r="E176" s="218"/>
      <c r="F176" s="218"/>
      <c r="G176" s="217"/>
      <c r="H176" s="498" t="s">
        <v>785</v>
      </c>
      <c r="I176" s="509">
        <f>+I177</f>
        <v>500000000</v>
      </c>
      <c r="J176" s="509">
        <f>+J177</f>
        <v>22415920</v>
      </c>
      <c r="K176" s="509">
        <f>+K177</f>
        <v>22415920</v>
      </c>
      <c r="L176" s="509">
        <f>+L177</f>
        <v>22415920</v>
      </c>
      <c r="M176" s="509">
        <f t="shared" si="76"/>
        <v>0</v>
      </c>
      <c r="N176" s="509">
        <f t="shared" si="76"/>
        <v>0</v>
      </c>
      <c r="O176" s="509">
        <f t="shared" si="76"/>
        <v>0</v>
      </c>
      <c r="P176" s="509">
        <f t="shared" si="76"/>
        <v>0</v>
      </c>
      <c r="Q176" s="509">
        <f t="shared" si="76"/>
        <v>0</v>
      </c>
      <c r="R176" s="509">
        <f t="shared" si="76"/>
        <v>0</v>
      </c>
      <c r="S176" s="509">
        <f t="shared" si="76"/>
        <v>0</v>
      </c>
      <c r="T176" s="509">
        <f t="shared" si="76"/>
        <v>0</v>
      </c>
      <c r="U176" s="509">
        <f t="shared" si="76"/>
        <v>0</v>
      </c>
      <c r="V176" s="509">
        <f t="shared" si="76"/>
        <v>0</v>
      </c>
      <c r="W176" s="509">
        <f t="shared" si="76"/>
        <v>0</v>
      </c>
      <c r="X176" s="509">
        <f t="shared" si="76"/>
        <v>0</v>
      </c>
      <c r="Y176" s="510">
        <f t="shared" ref="Y176:AB183" si="77">+I176+M176+Q176+U176</f>
        <v>500000000</v>
      </c>
      <c r="Z176" s="510">
        <f t="shared" si="77"/>
        <v>22415920</v>
      </c>
      <c r="AA176" s="510">
        <f t="shared" si="77"/>
        <v>22415920</v>
      </c>
      <c r="AB176" s="511">
        <f t="shared" si="77"/>
        <v>22415920</v>
      </c>
      <c r="AC176" s="436"/>
    </row>
    <row r="177" spans="1:29" ht="16.5" thickTop="1" thickBot="1" x14ac:dyDescent="0.3">
      <c r="A177" s="512"/>
      <c r="B177" s="512"/>
      <c r="C177" s="512"/>
      <c r="D177" s="512"/>
      <c r="E177" s="472"/>
      <c r="F177" s="472"/>
      <c r="G177" s="472"/>
      <c r="H177" s="499" t="s">
        <v>779</v>
      </c>
      <c r="I177" s="448">
        <f>+I178</f>
        <v>500000000</v>
      </c>
      <c r="J177" s="448">
        <f t="shared" si="76"/>
        <v>22415920</v>
      </c>
      <c r="K177" s="448">
        <f t="shared" si="76"/>
        <v>22415920</v>
      </c>
      <c r="L177" s="448">
        <f t="shared" si="76"/>
        <v>22415920</v>
      </c>
      <c r="M177" s="492">
        <f t="shared" si="76"/>
        <v>0</v>
      </c>
      <c r="N177" s="492">
        <f t="shared" si="76"/>
        <v>0</v>
      </c>
      <c r="O177" s="492">
        <f t="shared" si="76"/>
        <v>0</v>
      </c>
      <c r="P177" s="492">
        <f t="shared" si="76"/>
        <v>0</v>
      </c>
      <c r="Q177" s="492">
        <f t="shared" si="76"/>
        <v>0</v>
      </c>
      <c r="R177" s="492">
        <f t="shared" si="76"/>
        <v>0</v>
      </c>
      <c r="S177" s="492">
        <f t="shared" si="76"/>
        <v>0</v>
      </c>
      <c r="T177" s="492">
        <f t="shared" si="76"/>
        <v>0</v>
      </c>
      <c r="U177" s="492">
        <f t="shared" si="76"/>
        <v>0</v>
      </c>
      <c r="V177" s="492">
        <f t="shared" si="76"/>
        <v>0</v>
      </c>
      <c r="W177" s="492">
        <f t="shared" si="76"/>
        <v>0</v>
      </c>
      <c r="X177" s="492">
        <f t="shared" si="76"/>
        <v>0</v>
      </c>
      <c r="Y177" s="493">
        <f t="shared" si="77"/>
        <v>500000000</v>
      </c>
      <c r="Z177" s="493">
        <f t="shared" si="77"/>
        <v>22415920</v>
      </c>
      <c r="AA177" s="493">
        <f t="shared" si="77"/>
        <v>22415920</v>
      </c>
      <c r="AB177" s="494">
        <f t="shared" si="77"/>
        <v>22415920</v>
      </c>
      <c r="AC177" s="436"/>
    </row>
    <row r="178" spans="1:29" ht="16.5" thickTop="1" thickBot="1" x14ac:dyDescent="0.3">
      <c r="A178" s="444"/>
      <c r="B178" s="444"/>
      <c r="C178" s="446"/>
      <c r="D178" s="446"/>
      <c r="E178" s="445"/>
      <c r="F178" s="445"/>
      <c r="G178" s="444"/>
      <c r="H178" s="217" t="s">
        <v>780</v>
      </c>
      <c r="I178" s="448">
        <f>+I179</f>
        <v>500000000</v>
      </c>
      <c r="J178" s="448">
        <f t="shared" si="76"/>
        <v>22415920</v>
      </c>
      <c r="K178" s="448">
        <f t="shared" si="76"/>
        <v>22415920</v>
      </c>
      <c r="L178" s="448">
        <f t="shared" si="76"/>
        <v>22415920</v>
      </c>
      <c r="M178" s="497">
        <f t="shared" si="76"/>
        <v>0</v>
      </c>
      <c r="N178" s="497">
        <f t="shared" si="76"/>
        <v>0</v>
      </c>
      <c r="O178" s="497">
        <f t="shared" si="76"/>
        <v>0</v>
      </c>
      <c r="P178" s="497">
        <f t="shared" si="76"/>
        <v>0</v>
      </c>
      <c r="Q178" s="497">
        <f t="shared" si="76"/>
        <v>0</v>
      </c>
      <c r="R178" s="497">
        <f t="shared" si="76"/>
        <v>0</v>
      </c>
      <c r="S178" s="497">
        <f t="shared" si="76"/>
        <v>0</v>
      </c>
      <c r="T178" s="497">
        <f t="shared" si="76"/>
        <v>0</v>
      </c>
      <c r="U178" s="497">
        <f t="shared" si="76"/>
        <v>0</v>
      </c>
      <c r="V178" s="497">
        <f t="shared" si="76"/>
        <v>0</v>
      </c>
      <c r="W178" s="497">
        <f t="shared" si="76"/>
        <v>0</v>
      </c>
      <c r="X178" s="497">
        <f t="shared" si="76"/>
        <v>0</v>
      </c>
      <c r="Y178" s="450">
        <f t="shared" si="77"/>
        <v>500000000</v>
      </c>
      <c r="Z178" s="450">
        <f t="shared" si="77"/>
        <v>22415920</v>
      </c>
      <c r="AA178" s="450">
        <f t="shared" si="77"/>
        <v>22415920</v>
      </c>
      <c r="AB178" s="451">
        <f t="shared" si="77"/>
        <v>22415920</v>
      </c>
      <c r="AC178" s="436"/>
    </row>
    <row r="179" spans="1:29" ht="16.5" thickTop="1" thickBot="1" x14ac:dyDescent="0.3">
      <c r="A179" s="444"/>
      <c r="B179" s="444"/>
      <c r="C179" s="446"/>
      <c r="D179" s="446"/>
      <c r="E179" s="445"/>
      <c r="F179" s="445"/>
      <c r="G179" s="445"/>
      <c r="H179" s="217" t="s">
        <v>781</v>
      </c>
      <c r="I179" s="448">
        <v>500000000</v>
      </c>
      <c r="J179" s="448">
        <v>22415920</v>
      </c>
      <c r="K179" s="448">
        <v>22415920</v>
      </c>
      <c r="L179" s="448">
        <v>22415920</v>
      </c>
      <c r="M179" s="497"/>
      <c r="N179" s="497"/>
      <c r="O179" s="497"/>
      <c r="P179" s="497"/>
      <c r="Q179" s="497"/>
      <c r="R179" s="497"/>
      <c r="S179" s="497"/>
      <c r="T179" s="497"/>
      <c r="U179" s="497"/>
      <c r="V179" s="497"/>
      <c r="W179" s="497"/>
      <c r="X179" s="497"/>
      <c r="Y179" s="450">
        <f t="shared" si="77"/>
        <v>500000000</v>
      </c>
      <c r="Z179" s="450">
        <f t="shared" si="77"/>
        <v>22415920</v>
      </c>
      <c r="AA179" s="450">
        <f t="shared" si="77"/>
        <v>22415920</v>
      </c>
      <c r="AB179" s="451">
        <f t="shared" si="77"/>
        <v>22415920</v>
      </c>
      <c r="AC179" s="436"/>
    </row>
    <row r="180" spans="1:29" ht="27" thickTop="1" thickBot="1" x14ac:dyDescent="0.3">
      <c r="A180" s="218"/>
      <c r="B180" s="218"/>
      <c r="C180" s="218"/>
      <c r="D180" s="218"/>
      <c r="E180" s="218"/>
      <c r="F180" s="218"/>
      <c r="G180" s="217"/>
      <c r="H180" s="498" t="s">
        <v>786</v>
      </c>
      <c r="I180" s="509">
        <f>+I181</f>
        <v>400000000</v>
      </c>
      <c r="J180" s="509">
        <f t="shared" ref="J180:X182" si="78">+J181</f>
        <v>359290394</v>
      </c>
      <c r="K180" s="509">
        <f t="shared" si="78"/>
        <v>346828019</v>
      </c>
      <c r="L180" s="509">
        <f t="shared" si="78"/>
        <v>334100657</v>
      </c>
      <c r="M180" s="509">
        <f t="shared" si="78"/>
        <v>0</v>
      </c>
      <c r="N180" s="509">
        <f t="shared" si="78"/>
        <v>0</v>
      </c>
      <c r="O180" s="509">
        <f t="shared" si="78"/>
        <v>0</v>
      </c>
      <c r="P180" s="509">
        <f t="shared" si="78"/>
        <v>0</v>
      </c>
      <c r="Q180" s="509">
        <f t="shared" si="78"/>
        <v>0</v>
      </c>
      <c r="R180" s="509">
        <f t="shared" si="78"/>
        <v>0</v>
      </c>
      <c r="S180" s="509">
        <f t="shared" si="78"/>
        <v>0</v>
      </c>
      <c r="T180" s="509">
        <f t="shared" si="78"/>
        <v>0</v>
      </c>
      <c r="U180" s="509">
        <f t="shared" si="78"/>
        <v>0</v>
      </c>
      <c r="V180" s="509">
        <f t="shared" si="78"/>
        <v>0</v>
      </c>
      <c r="W180" s="509">
        <f t="shared" si="78"/>
        <v>0</v>
      </c>
      <c r="X180" s="509">
        <f t="shared" si="78"/>
        <v>0</v>
      </c>
      <c r="Y180" s="510">
        <f>I180+M180+Q180+U180</f>
        <v>400000000</v>
      </c>
      <c r="Z180" s="510">
        <f>J180+N180+R180+V180</f>
        <v>359290394</v>
      </c>
      <c r="AA180" s="510">
        <f>K180+O180+S180+W180</f>
        <v>346828019</v>
      </c>
      <c r="AB180" s="510">
        <f>L180+P180+T180+X180</f>
        <v>334100657</v>
      </c>
      <c r="AC180" s="510">
        <f>M180+Q180+U180+Y180</f>
        <v>400000000</v>
      </c>
    </row>
    <row r="181" spans="1:29" ht="16.5" thickTop="1" thickBot="1" x14ac:dyDescent="0.3">
      <c r="A181" s="512"/>
      <c r="B181" s="512"/>
      <c r="C181" s="512"/>
      <c r="D181" s="512"/>
      <c r="E181" s="472"/>
      <c r="F181" s="472"/>
      <c r="G181" s="472"/>
      <c r="H181" s="499" t="s">
        <v>779</v>
      </c>
      <c r="I181" s="448">
        <f>+I182</f>
        <v>400000000</v>
      </c>
      <c r="J181" s="448">
        <f t="shared" si="78"/>
        <v>359290394</v>
      </c>
      <c r="K181" s="448">
        <f t="shared" si="78"/>
        <v>346828019</v>
      </c>
      <c r="L181" s="448">
        <f t="shared" si="78"/>
        <v>334100657</v>
      </c>
      <c r="M181" s="492">
        <f t="shared" si="78"/>
        <v>0</v>
      </c>
      <c r="N181" s="492">
        <f t="shared" si="78"/>
        <v>0</v>
      </c>
      <c r="O181" s="492">
        <f t="shared" si="78"/>
        <v>0</v>
      </c>
      <c r="P181" s="492">
        <f t="shared" si="78"/>
        <v>0</v>
      </c>
      <c r="Q181" s="492">
        <f t="shared" si="78"/>
        <v>0</v>
      </c>
      <c r="R181" s="492">
        <f t="shared" si="78"/>
        <v>0</v>
      </c>
      <c r="S181" s="492">
        <f t="shared" si="78"/>
        <v>0</v>
      </c>
      <c r="T181" s="492">
        <f t="shared" si="78"/>
        <v>0</v>
      </c>
      <c r="U181" s="492">
        <f t="shared" si="78"/>
        <v>0</v>
      </c>
      <c r="V181" s="492">
        <f t="shared" si="78"/>
        <v>0</v>
      </c>
      <c r="W181" s="492">
        <f t="shared" si="78"/>
        <v>0</v>
      </c>
      <c r="X181" s="492">
        <f t="shared" si="78"/>
        <v>0</v>
      </c>
      <c r="Y181" s="493">
        <f t="shared" si="77"/>
        <v>400000000</v>
      </c>
      <c r="Z181" s="493">
        <f t="shared" si="77"/>
        <v>359290394</v>
      </c>
      <c r="AA181" s="493">
        <f t="shared" si="77"/>
        <v>346828019</v>
      </c>
      <c r="AB181" s="494">
        <f t="shared" si="77"/>
        <v>334100657</v>
      </c>
      <c r="AC181" s="436"/>
    </row>
    <row r="182" spans="1:29" ht="16.5" thickTop="1" thickBot="1" x14ac:dyDescent="0.3">
      <c r="A182" s="444"/>
      <c r="B182" s="444"/>
      <c r="C182" s="446"/>
      <c r="D182" s="446"/>
      <c r="E182" s="445"/>
      <c r="F182" s="445"/>
      <c r="G182" s="444"/>
      <c r="H182" s="217" t="s">
        <v>780</v>
      </c>
      <c r="I182" s="448">
        <f>+I183</f>
        <v>400000000</v>
      </c>
      <c r="J182" s="448">
        <f t="shared" si="78"/>
        <v>359290394</v>
      </c>
      <c r="K182" s="448">
        <f t="shared" si="78"/>
        <v>346828019</v>
      </c>
      <c r="L182" s="448">
        <f t="shared" si="78"/>
        <v>334100657</v>
      </c>
      <c r="M182" s="497">
        <f t="shared" si="78"/>
        <v>0</v>
      </c>
      <c r="N182" s="497">
        <f t="shared" si="78"/>
        <v>0</v>
      </c>
      <c r="O182" s="497">
        <f t="shared" si="78"/>
        <v>0</v>
      </c>
      <c r="P182" s="497">
        <f t="shared" si="78"/>
        <v>0</v>
      </c>
      <c r="Q182" s="497">
        <f t="shared" si="78"/>
        <v>0</v>
      </c>
      <c r="R182" s="497">
        <f t="shared" si="78"/>
        <v>0</v>
      </c>
      <c r="S182" s="497">
        <f t="shared" si="78"/>
        <v>0</v>
      </c>
      <c r="T182" s="497">
        <f t="shared" si="78"/>
        <v>0</v>
      </c>
      <c r="U182" s="497">
        <f t="shared" si="78"/>
        <v>0</v>
      </c>
      <c r="V182" s="497">
        <f t="shared" si="78"/>
        <v>0</v>
      </c>
      <c r="W182" s="497">
        <f t="shared" si="78"/>
        <v>0</v>
      </c>
      <c r="X182" s="497">
        <f t="shared" si="78"/>
        <v>0</v>
      </c>
      <c r="Y182" s="450">
        <f t="shared" si="77"/>
        <v>400000000</v>
      </c>
      <c r="Z182" s="450">
        <f t="shared" si="77"/>
        <v>359290394</v>
      </c>
      <c r="AA182" s="450">
        <f t="shared" si="77"/>
        <v>346828019</v>
      </c>
      <c r="AB182" s="451">
        <f t="shared" si="77"/>
        <v>334100657</v>
      </c>
      <c r="AC182" s="436"/>
    </row>
    <row r="183" spans="1:29" ht="16.5" thickTop="1" thickBot="1" x14ac:dyDescent="0.3">
      <c r="A183" s="444"/>
      <c r="B183" s="444"/>
      <c r="C183" s="446"/>
      <c r="D183" s="446"/>
      <c r="E183" s="445"/>
      <c r="F183" s="445"/>
      <c r="G183" s="445"/>
      <c r="H183" s="217" t="s">
        <v>781</v>
      </c>
      <c r="I183" s="448">
        <v>400000000</v>
      </c>
      <c r="J183" s="448">
        <v>359290394</v>
      </c>
      <c r="K183" s="448">
        <v>346828019</v>
      </c>
      <c r="L183" s="448">
        <v>334100657</v>
      </c>
      <c r="M183" s="497"/>
      <c r="N183" s="497"/>
      <c r="O183" s="497"/>
      <c r="P183" s="497"/>
      <c r="Q183" s="497"/>
      <c r="R183" s="497"/>
      <c r="S183" s="497"/>
      <c r="T183" s="497"/>
      <c r="U183" s="497"/>
      <c r="V183" s="497"/>
      <c r="W183" s="497"/>
      <c r="X183" s="497"/>
      <c r="Y183" s="450">
        <f t="shared" si="77"/>
        <v>400000000</v>
      </c>
      <c r="Z183" s="450">
        <f t="shared" si="77"/>
        <v>359290394</v>
      </c>
      <c r="AA183" s="450">
        <f t="shared" si="77"/>
        <v>346828019</v>
      </c>
      <c r="AB183" s="451">
        <f t="shared" si="77"/>
        <v>334100657</v>
      </c>
      <c r="AC183" s="436"/>
    </row>
    <row r="184" spans="1:29" ht="27" thickTop="1" thickBot="1" x14ac:dyDescent="0.3">
      <c r="A184" s="444"/>
      <c r="B184" s="446"/>
      <c r="C184" s="446"/>
      <c r="D184" s="446"/>
      <c r="E184" s="444"/>
      <c r="F184" s="444"/>
      <c r="G184" s="444"/>
      <c r="H184" s="220" t="s">
        <v>570</v>
      </c>
      <c r="I184" s="448">
        <f>+I185+I189</f>
        <v>467000000</v>
      </c>
      <c r="J184" s="448">
        <f t="shared" ref="J184:AB184" si="79">+J185+J189</f>
        <v>429516519</v>
      </c>
      <c r="K184" s="448">
        <f t="shared" si="79"/>
        <v>372589586</v>
      </c>
      <c r="L184" s="448">
        <f t="shared" si="79"/>
        <v>321128254</v>
      </c>
      <c r="M184" s="448">
        <f t="shared" si="79"/>
        <v>0</v>
      </c>
      <c r="N184" s="448">
        <f t="shared" si="79"/>
        <v>0</v>
      </c>
      <c r="O184" s="448">
        <f t="shared" si="79"/>
        <v>0</v>
      </c>
      <c r="P184" s="448">
        <f t="shared" si="79"/>
        <v>0</v>
      </c>
      <c r="Q184" s="448">
        <f t="shared" si="79"/>
        <v>0</v>
      </c>
      <c r="R184" s="448">
        <f t="shared" si="79"/>
        <v>0</v>
      </c>
      <c r="S184" s="448">
        <f t="shared" si="79"/>
        <v>0</v>
      </c>
      <c r="T184" s="448">
        <f t="shared" si="79"/>
        <v>0</v>
      </c>
      <c r="U184" s="448">
        <f t="shared" si="79"/>
        <v>0</v>
      </c>
      <c r="V184" s="448">
        <f t="shared" si="79"/>
        <v>0</v>
      </c>
      <c r="W184" s="448">
        <f t="shared" si="79"/>
        <v>0</v>
      </c>
      <c r="X184" s="448">
        <f t="shared" si="79"/>
        <v>0</v>
      </c>
      <c r="Y184" s="462">
        <f>+Y185+Y189</f>
        <v>467000000</v>
      </c>
      <c r="Z184" s="462">
        <f t="shared" si="79"/>
        <v>429516519</v>
      </c>
      <c r="AA184" s="462">
        <f t="shared" si="79"/>
        <v>372589586</v>
      </c>
      <c r="AB184" s="463">
        <f t="shared" si="79"/>
        <v>321128254</v>
      </c>
      <c r="AC184" s="436"/>
    </row>
    <row r="185" spans="1:29" ht="27" thickTop="1" thickBot="1" x14ac:dyDescent="0.3">
      <c r="A185" s="444"/>
      <c r="B185" s="444"/>
      <c r="C185" s="444"/>
      <c r="D185" s="444"/>
      <c r="E185" s="444"/>
      <c r="F185" s="444"/>
      <c r="G185" s="444"/>
      <c r="H185" s="498" t="s">
        <v>571</v>
      </c>
      <c r="I185" s="448">
        <f>+I186</f>
        <v>100000000</v>
      </c>
      <c r="J185" s="448">
        <f t="shared" ref="J185:X187" si="80">+J186</f>
        <v>88400880</v>
      </c>
      <c r="K185" s="448">
        <f t="shared" si="80"/>
        <v>34112880</v>
      </c>
      <c r="L185" s="448">
        <f t="shared" si="80"/>
        <v>34112880</v>
      </c>
      <c r="M185" s="448">
        <f t="shared" si="80"/>
        <v>0</v>
      </c>
      <c r="N185" s="448">
        <f t="shared" si="80"/>
        <v>0</v>
      </c>
      <c r="O185" s="448">
        <f t="shared" si="80"/>
        <v>0</v>
      </c>
      <c r="P185" s="448">
        <f t="shared" si="80"/>
        <v>0</v>
      </c>
      <c r="Q185" s="448">
        <f t="shared" si="80"/>
        <v>0</v>
      </c>
      <c r="R185" s="448">
        <f t="shared" si="80"/>
        <v>0</v>
      </c>
      <c r="S185" s="448">
        <f t="shared" si="80"/>
        <v>0</v>
      </c>
      <c r="T185" s="448">
        <f t="shared" si="80"/>
        <v>0</v>
      </c>
      <c r="U185" s="448">
        <f t="shared" si="80"/>
        <v>0</v>
      </c>
      <c r="V185" s="448">
        <f t="shared" si="80"/>
        <v>0</v>
      </c>
      <c r="W185" s="448">
        <f t="shared" si="80"/>
        <v>0</v>
      </c>
      <c r="X185" s="448">
        <f t="shared" si="80"/>
        <v>0</v>
      </c>
      <c r="Y185" s="462">
        <f>U185+Q185+M185+I185</f>
        <v>100000000</v>
      </c>
      <c r="Z185" s="462">
        <f>V185+R185+N185+J185</f>
        <v>88400880</v>
      </c>
      <c r="AA185" s="462">
        <f>W185+S185+O185+K185</f>
        <v>34112880</v>
      </c>
      <c r="AB185" s="462">
        <f>X185+T185+P185+L185</f>
        <v>34112880</v>
      </c>
      <c r="AC185" s="436"/>
    </row>
    <row r="186" spans="1:29" ht="16.5" thickTop="1" thickBot="1" x14ac:dyDescent="0.3">
      <c r="A186" s="472"/>
      <c r="B186" s="472"/>
      <c r="C186" s="472"/>
      <c r="D186" s="472"/>
      <c r="E186" s="472"/>
      <c r="F186" s="472"/>
      <c r="G186" s="472"/>
      <c r="H186" s="499" t="s">
        <v>779</v>
      </c>
      <c r="I186" s="448">
        <f>+I187</f>
        <v>100000000</v>
      </c>
      <c r="J186" s="448">
        <f t="shared" si="80"/>
        <v>88400880</v>
      </c>
      <c r="K186" s="448">
        <f t="shared" si="80"/>
        <v>34112880</v>
      </c>
      <c r="L186" s="448">
        <f t="shared" si="80"/>
        <v>34112880</v>
      </c>
      <c r="M186" s="492">
        <f t="shared" si="80"/>
        <v>0</v>
      </c>
      <c r="N186" s="492">
        <f t="shared" si="80"/>
        <v>0</v>
      </c>
      <c r="O186" s="492">
        <f t="shared" si="80"/>
        <v>0</v>
      </c>
      <c r="P186" s="492">
        <f t="shared" si="80"/>
        <v>0</v>
      </c>
      <c r="Q186" s="492">
        <f t="shared" si="80"/>
        <v>0</v>
      </c>
      <c r="R186" s="492">
        <f t="shared" si="80"/>
        <v>0</v>
      </c>
      <c r="S186" s="492">
        <f t="shared" si="80"/>
        <v>0</v>
      </c>
      <c r="T186" s="492">
        <f t="shared" si="80"/>
        <v>0</v>
      </c>
      <c r="U186" s="492">
        <f t="shared" si="80"/>
        <v>0</v>
      </c>
      <c r="V186" s="492">
        <f t="shared" si="80"/>
        <v>0</v>
      </c>
      <c r="W186" s="492">
        <f t="shared" si="80"/>
        <v>0</v>
      </c>
      <c r="X186" s="492">
        <f t="shared" si="80"/>
        <v>0</v>
      </c>
      <c r="Y186" s="493">
        <f t="shared" ref="Y186:AB188" si="81">+I186+M186+Q186+U186</f>
        <v>100000000</v>
      </c>
      <c r="Z186" s="493">
        <f t="shared" si="81"/>
        <v>88400880</v>
      </c>
      <c r="AA186" s="493">
        <f t="shared" si="81"/>
        <v>34112880</v>
      </c>
      <c r="AB186" s="494">
        <f t="shared" si="81"/>
        <v>34112880</v>
      </c>
      <c r="AC186" s="436"/>
    </row>
    <row r="187" spans="1:29" ht="16.5" thickTop="1" thickBot="1" x14ac:dyDescent="0.3">
      <c r="A187" s="444"/>
      <c r="B187" s="444"/>
      <c r="C187" s="444"/>
      <c r="D187" s="444"/>
      <c r="E187" s="445"/>
      <c r="F187" s="445"/>
      <c r="G187" s="444"/>
      <c r="H187" s="217" t="s">
        <v>780</v>
      </c>
      <c r="I187" s="448">
        <f>+I188</f>
        <v>100000000</v>
      </c>
      <c r="J187" s="497">
        <f t="shared" si="80"/>
        <v>88400880</v>
      </c>
      <c r="K187" s="448">
        <f t="shared" si="80"/>
        <v>34112880</v>
      </c>
      <c r="L187" s="448">
        <f t="shared" si="80"/>
        <v>34112880</v>
      </c>
      <c r="M187" s="497">
        <f t="shared" si="80"/>
        <v>0</v>
      </c>
      <c r="N187" s="497">
        <f t="shared" si="80"/>
        <v>0</v>
      </c>
      <c r="O187" s="497">
        <f t="shared" si="80"/>
        <v>0</v>
      </c>
      <c r="P187" s="497">
        <f t="shared" si="80"/>
        <v>0</v>
      </c>
      <c r="Q187" s="497">
        <f t="shared" si="80"/>
        <v>0</v>
      </c>
      <c r="R187" s="497">
        <f t="shared" si="80"/>
        <v>0</v>
      </c>
      <c r="S187" s="497">
        <f t="shared" si="80"/>
        <v>0</v>
      </c>
      <c r="T187" s="497">
        <f t="shared" si="80"/>
        <v>0</v>
      </c>
      <c r="U187" s="497">
        <f t="shared" si="80"/>
        <v>0</v>
      </c>
      <c r="V187" s="497">
        <f t="shared" si="80"/>
        <v>0</v>
      </c>
      <c r="W187" s="497">
        <f t="shared" si="80"/>
        <v>0</v>
      </c>
      <c r="X187" s="497">
        <f t="shared" si="80"/>
        <v>0</v>
      </c>
      <c r="Y187" s="450">
        <f t="shared" si="81"/>
        <v>100000000</v>
      </c>
      <c r="Z187" s="450">
        <f t="shared" si="81"/>
        <v>88400880</v>
      </c>
      <c r="AA187" s="450">
        <f t="shared" si="81"/>
        <v>34112880</v>
      </c>
      <c r="AB187" s="451">
        <f t="shared" si="81"/>
        <v>34112880</v>
      </c>
      <c r="AC187" s="436"/>
    </row>
    <row r="188" spans="1:29" ht="16.5" thickTop="1" thickBot="1" x14ac:dyDescent="0.3">
      <c r="A188" s="444"/>
      <c r="B188" s="444"/>
      <c r="C188" s="444"/>
      <c r="D188" s="444"/>
      <c r="E188" s="445"/>
      <c r="F188" s="445"/>
      <c r="G188" s="445"/>
      <c r="H188" s="217" t="s">
        <v>781</v>
      </c>
      <c r="I188" s="448">
        <v>100000000</v>
      </c>
      <c r="J188" s="497">
        <v>88400880</v>
      </c>
      <c r="K188" s="448">
        <v>34112880</v>
      </c>
      <c r="L188" s="448">
        <v>34112880</v>
      </c>
      <c r="M188" s="497"/>
      <c r="N188" s="497"/>
      <c r="O188" s="497"/>
      <c r="P188" s="497"/>
      <c r="Q188" s="497"/>
      <c r="R188" s="497"/>
      <c r="S188" s="497"/>
      <c r="T188" s="497"/>
      <c r="U188" s="497"/>
      <c r="V188" s="497"/>
      <c r="W188" s="497"/>
      <c r="X188" s="497"/>
      <c r="Y188" s="450">
        <f t="shared" si="81"/>
        <v>100000000</v>
      </c>
      <c r="Z188" s="450">
        <f t="shared" si="81"/>
        <v>88400880</v>
      </c>
      <c r="AA188" s="450">
        <f t="shared" si="81"/>
        <v>34112880</v>
      </c>
      <c r="AB188" s="451">
        <f t="shared" si="81"/>
        <v>34112880</v>
      </c>
      <c r="AC188" s="436"/>
    </row>
    <row r="189" spans="1:29" ht="39.75" thickTop="1" thickBot="1" x14ac:dyDescent="0.3">
      <c r="A189" s="218"/>
      <c r="B189" s="218"/>
      <c r="C189" s="218"/>
      <c r="D189" s="218"/>
      <c r="E189" s="218"/>
      <c r="F189" s="218"/>
      <c r="G189" s="217"/>
      <c r="H189" s="498" t="s">
        <v>589</v>
      </c>
      <c r="I189" s="509">
        <f>+I190</f>
        <v>367000000</v>
      </c>
      <c r="J189" s="509">
        <f t="shared" ref="J189:X203" si="82">+J190</f>
        <v>341115639</v>
      </c>
      <c r="K189" s="509">
        <f t="shared" si="82"/>
        <v>338476706</v>
      </c>
      <c r="L189" s="509">
        <f t="shared" si="82"/>
        <v>287015374</v>
      </c>
      <c r="M189" s="509">
        <f t="shared" si="82"/>
        <v>0</v>
      </c>
      <c r="N189" s="509">
        <f t="shared" si="82"/>
        <v>0</v>
      </c>
      <c r="O189" s="509">
        <f t="shared" si="82"/>
        <v>0</v>
      </c>
      <c r="P189" s="509">
        <f t="shared" si="82"/>
        <v>0</v>
      </c>
      <c r="Q189" s="509">
        <f t="shared" si="82"/>
        <v>0</v>
      </c>
      <c r="R189" s="509">
        <f t="shared" si="82"/>
        <v>0</v>
      </c>
      <c r="S189" s="509">
        <f t="shared" si="82"/>
        <v>0</v>
      </c>
      <c r="T189" s="509">
        <f t="shared" si="82"/>
        <v>0</v>
      </c>
      <c r="U189" s="509">
        <f t="shared" si="82"/>
        <v>0</v>
      </c>
      <c r="V189" s="509">
        <f t="shared" si="82"/>
        <v>0</v>
      </c>
      <c r="W189" s="509">
        <f t="shared" si="82"/>
        <v>0</v>
      </c>
      <c r="X189" s="509">
        <f t="shared" si="82"/>
        <v>0</v>
      </c>
      <c r="Y189" s="510">
        <f t="shared" ref="Y189:AB192" si="83">+I189+M189+Q189+U189</f>
        <v>367000000</v>
      </c>
      <c r="Z189" s="510">
        <f t="shared" si="83"/>
        <v>341115639</v>
      </c>
      <c r="AA189" s="510">
        <f t="shared" si="83"/>
        <v>338476706</v>
      </c>
      <c r="AB189" s="511">
        <f t="shared" si="83"/>
        <v>287015374</v>
      </c>
      <c r="AC189" s="436"/>
    </row>
    <row r="190" spans="1:29" ht="16.5" thickTop="1" thickBot="1" x14ac:dyDescent="0.3">
      <c r="A190" s="512"/>
      <c r="B190" s="512"/>
      <c r="C190" s="512"/>
      <c r="D190" s="512"/>
      <c r="E190" s="472"/>
      <c r="F190" s="472"/>
      <c r="G190" s="472"/>
      <c r="H190" s="499" t="s">
        <v>779</v>
      </c>
      <c r="I190" s="448">
        <f>+I191</f>
        <v>367000000</v>
      </c>
      <c r="J190" s="448">
        <f t="shared" si="82"/>
        <v>341115639</v>
      </c>
      <c r="K190" s="448">
        <f t="shared" si="82"/>
        <v>338476706</v>
      </c>
      <c r="L190" s="448">
        <f t="shared" si="82"/>
        <v>287015374</v>
      </c>
      <c r="M190" s="492">
        <f t="shared" si="82"/>
        <v>0</v>
      </c>
      <c r="N190" s="492">
        <f t="shared" si="82"/>
        <v>0</v>
      </c>
      <c r="O190" s="492">
        <f t="shared" si="82"/>
        <v>0</v>
      </c>
      <c r="P190" s="492">
        <f t="shared" si="82"/>
        <v>0</v>
      </c>
      <c r="Q190" s="492">
        <f t="shared" si="82"/>
        <v>0</v>
      </c>
      <c r="R190" s="492">
        <f t="shared" si="82"/>
        <v>0</v>
      </c>
      <c r="S190" s="492">
        <f t="shared" si="82"/>
        <v>0</v>
      </c>
      <c r="T190" s="492">
        <f t="shared" si="82"/>
        <v>0</v>
      </c>
      <c r="U190" s="492">
        <f t="shared" si="82"/>
        <v>0</v>
      </c>
      <c r="V190" s="492">
        <f t="shared" si="82"/>
        <v>0</v>
      </c>
      <c r="W190" s="492">
        <f t="shared" si="82"/>
        <v>0</v>
      </c>
      <c r="X190" s="492">
        <f t="shared" si="82"/>
        <v>0</v>
      </c>
      <c r="Y190" s="493">
        <f t="shared" si="83"/>
        <v>367000000</v>
      </c>
      <c r="Z190" s="493">
        <f t="shared" si="83"/>
        <v>341115639</v>
      </c>
      <c r="AA190" s="493">
        <f t="shared" si="83"/>
        <v>338476706</v>
      </c>
      <c r="AB190" s="494">
        <f t="shared" si="83"/>
        <v>287015374</v>
      </c>
      <c r="AC190" s="436"/>
    </row>
    <row r="191" spans="1:29" ht="16.5" thickTop="1" thickBot="1" x14ac:dyDescent="0.3">
      <c r="A191" s="444"/>
      <c r="B191" s="444"/>
      <c r="C191" s="446"/>
      <c r="D191" s="446"/>
      <c r="E191" s="445"/>
      <c r="F191" s="445"/>
      <c r="G191" s="444"/>
      <c r="H191" s="217" t="s">
        <v>780</v>
      </c>
      <c r="I191" s="448">
        <f>+I192</f>
        <v>367000000</v>
      </c>
      <c r="J191" s="448">
        <f t="shared" si="82"/>
        <v>341115639</v>
      </c>
      <c r="K191" s="448">
        <f t="shared" si="82"/>
        <v>338476706</v>
      </c>
      <c r="L191" s="448">
        <f t="shared" si="82"/>
        <v>287015374</v>
      </c>
      <c r="M191" s="497">
        <f t="shared" si="82"/>
        <v>0</v>
      </c>
      <c r="N191" s="497">
        <f t="shared" si="82"/>
        <v>0</v>
      </c>
      <c r="O191" s="497">
        <f t="shared" si="82"/>
        <v>0</v>
      </c>
      <c r="P191" s="497">
        <f t="shared" si="82"/>
        <v>0</v>
      </c>
      <c r="Q191" s="497">
        <f t="shared" si="82"/>
        <v>0</v>
      </c>
      <c r="R191" s="497">
        <f t="shared" si="82"/>
        <v>0</v>
      </c>
      <c r="S191" s="497">
        <f t="shared" si="82"/>
        <v>0</v>
      </c>
      <c r="T191" s="497">
        <f t="shared" si="82"/>
        <v>0</v>
      </c>
      <c r="U191" s="497">
        <f t="shared" si="82"/>
        <v>0</v>
      </c>
      <c r="V191" s="497">
        <f t="shared" si="82"/>
        <v>0</v>
      </c>
      <c r="W191" s="497">
        <f t="shared" si="82"/>
        <v>0</v>
      </c>
      <c r="X191" s="497">
        <f t="shared" si="82"/>
        <v>0</v>
      </c>
      <c r="Y191" s="450">
        <f t="shared" si="83"/>
        <v>367000000</v>
      </c>
      <c r="Z191" s="450">
        <f t="shared" si="83"/>
        <v>341115639</v>
      </c>
      <c r="AA191" s="450">
        <f t="shared" si="83"/>
        <v>338476706</v>
      </c>
      <c r="AB191" s="451">
        <f t="shared" si="83"/>
        <v>287015374</v>
      </c>
      <c r="AC191" s="436"/>
    </row>
    <row r="192" spans="1:29" ht="16.5" thickTop="1" thickBot="1" x14ac:dyDescent="0.3">
      <c r="A192" s="444"/>
      <c r="B192" s="444"/>
      <c r="C192" s="446"/>
      <c r="D192" s="446"/>
      <c r="E192" s="445"/>
      <c r="F192" s="445"/>
      <c r="G192" s="445"/>
      <c r="H192" s="217" t="s">
        <v>781</v>
      </c>
      <c r="I192" s="448">
        <v>367000000</v>
      </c>
      <c r="J192" s="448">
        <v>341115639</v>
      </c>
      <c r="K192" s="448">
        <v>338476706</v>
      </c>
      <c r="L192" s="448">
        <v>287015374</v>
      </c>
      <c r="M192" s="497"/>
      <c r="N192" s="497"/>
      <c r="O192" s="497"/>
      <c r="P192" s="497"/>
      <c r="Q192" s="497"/>
      <c r="R192" s="497"/>
      <c r="S192" s="497"/>
      <c r="T192" s="497"/>
      <c r="U192" s="497"/>
      <c r="V192" s="497"/>
      <c r="W192" s="497"/>
      <c r="X192" s="497"/>
      <c r="Y192" s="450">
        <f t="shared" si="83"/>
        <v>367000000</v>
      </c>
      <c r="Z192" s="450">
        <f t="shared" si="83"/>
        <v>341115639</v>
      </c>
      <c r="AA192" s="450">
        <f t="shared" si="83"/>
        <v>338476706</v>
      </c>
      <c r="AB192" s="451">
        <f t="shared" si="83"/>
        <v>287015374</v>
      </c>
      <c r="AC192" s="436"/>
    </row>
    <row r="193" spans="1:29" ht="39.75" hidden="1" thickTop="1" thickBot="1" x14ac:dyDescent="0.3">
      <c r="A193" s="218"/>
      <c r="B193" s="218"/>
      <c r="C193" s="218"/>
      <c r="D193" s="218"/>
      <c r="E193" s="218"/>
      <c r="F193" s="218"/>
      <c r="G193" s="217"/>
      <c r="H193" s="221" t="s">
        <v>787</v>
      </c>
      <c r="I193" s="509">
        <f>+I194</f>
        <v>0</v>
      </c>
      <c r="J193" s="509">
        <f>+J194</f>
        <v>0</v>
      </c>
      <c r="K193" s="509">
        <f>+K194</f>
        <v>0</v>
      </c>
      <c r="L193" s="509">
        <f>+L194</f>
        <v>0</v>
      </c>
      <c r="M193" s="509">
        <f t="shared" si="82"/>
        <v>0</v>
      </c>
      <c r="N193" s="509">
        <f t="shared" si="82"/>
        <v>0</v>
      </c>
      <c r="O193" s="509">
        <f t="shared" si="82"/>
        <v>0</v>
      </c>
      <c r="P193" s="509">
        <f t="shared" si="82"/>
        <v>0</v>
      </c>
      <c r="Q193" s="509">
        <f t="shared" si="82"/>
        <v>0</v>
      </c>
      <c r="R193" s="509">
        <f t="shared" si="82"/>
        <v>0</v>
      </c>
      <c r="S193" s="509">
        <f t="shared" si="82"/>
        <v>0</v>
      </c>
      <c r="T193" s="509">
        <f t="shared" si="82"/>
        <v>0</v>
      </c>
      <c r="U193" s="509"/>
      <c r="V193" s="509"/>
      <c r="W193" s="509"/>
      <c r="X193" s="509"/>
      <c r="Y193" s="510"/>
      <c r="Z193" s="510"/>
      <c r="AA193" s="510"/>
      <c r="AB193" s="511"/>
      <c r="AC193" s="436"/>
    </row>
    <row r="194" spans="1:29" ht="16.5" hidden="1" thickTop="1" thickBot="1" x14ac:dyDescent="0.3">
      <c r="A194" s="512"/>
      <c r="B194" s="512"/>
      <c r="C194" s="512"/>
      <c r="D194" s="512"/>
      <c r="E194" s="472"/>
      <c r="F194" s="472"/>
      <c r="G194" s="472"/>
      <c r="H194" s="499" t="s">
        <v>779</v>
      </c>
      <c r="I194" s="448">
        <f>+I195</f>
        <v>0</v>
      </c>
      <c r="J194" s="448">
        <f t="shared" si="82"/>
        <v>0</v>
      </c>
      <c r="K194" s="448">
        <f t="shared" si="82"/>
        <v>0</v>
      </c>
      <c r="L194" s="448">
        <f t="shared" si="82"/>
        <v>0</v>
      </c>
      <c r="M194" s="492">
        <f t="shared" si="82"/>
        <v>0</v>
      </c>
      <c r="N194" s="492">
        <f t="shared" si="82"/>
        <v>0</v>
      </c>
      <c r="O194" s="492">
        <f t="shared" si="82"/>
        <v>0</v>
      </c>
      <c r="P194" s="492">
        <f t="shared" si="82"/>
        <v>0</v>
      </c>
      <c r="Q194" s="492">
        <f t="shared" si="82"/>
        <v>0</v>
      </c>
      <c r="R194" s="492">
        <f t="shared" si="82"/>
        <v>0</v>
      </c>
      <c r="S194" s="492">
        <f t="shared" si="82"/>
        <v>0</v>
      </c>
      <c r="T194" s="492">
        <f t="shared" si="82"/>
        <v>0</v>
      </c>
      <c r="U194" s="492"/>
      <c r="V194" s="492"/>
      <c r="W194" s="492"/>
      <c r="X194" s="492"/>
      <c r="Y194" s="493"/>
      <c r="Z194" s="493"/>
      <c r="AA194" s="493"/>
      <c r="AB194" s="494"/>
      <c r="AC194" s="436"/>
    </row>
    <row r="195" spans="1:29" ht="16.5" hidden="1" thickTop="1" thickBot="1" x14ac:dyDescent="0.3">
      <c r="A195" s="444"/>
      <c r="B195" s="444"/>
      <c r="C195" s="446"/>
      <c r="D195" s="446"/>
      <c r="E195" s="445"/>
      <c r="F195" s="445"/>
      <c r="G195" s="444"/>
      <c r="H195" s="217" t="s">
        <v>780</v>
      </c>
      <c r="I195" s="448">
        <f>+I196</f>
        <v>0</v>
      </c>
      <c r="J195" s="448">
        <f t="shared" si="82"/>
        <v>0</v>
      </c>
      <c r="K195" s="448">
        <f t="shared" si="82"/>
        <v>0</v>
      </c>
      <c r="L195" s="448">
        <f t="shared" si="82"/>
        <v>0</v>
      </c>
      <c r="M195" s="497">
        <f t="shared" si="82"/>
        <v>0</v>
      </c>
      <c r="N195" s="497">
        <f t="shared" si="82"/>
        <v>0</v>
      </c>
      <c r="O195" s="497">
        <f t="shared" si="82"/>
        <v>0</v>
      </c>
      <c r="P195" s="497">
        <f t="shared" si="82"/>
        <v>0</v>
      </c>
      <c r="Q195" s="497">
        <f t="shared" si="82"/>
        <v>0</v>
      </c>
      <c r="R195" s="497">
        <f t="shared" si="82"/>
        <v>0</v>
      </c>
      <c r="S195" s="497">
        <f t="shared" si="82"/>
        <v>0</v>
      </c>
      <c r="T195" s="497">
        <f t="shared" si="82"/>
        <v>0</v>
      </c>
      <c r="U195" s="497"/>
      <c r="V195" s="497"/>
      <c r="W195" s="497"/>
      <c r="X195" s="497"/>
      <c r="Y195" s="450"/>
      <c r="Z195" s="450"/>
      <c r="AA195" s="450"/>
      <c r="AB195" s="451"/>
      <c r="AC195" s="436"/>
    </row>
    <row r="196" spans="1:29" ht="16.5" hidden="1" thickTop="1" thickBot="1" x14ac:dyDescent="0.3">
      <c r="A196" s="444"/>
      <c r="B196" s="444"/>
      <c r="C196" s="446"/>
      <c r="D196" s="446"/>
      <c r="E196" s="445"/>
      <c r="F196" s="445"/>
      <c r="G196" s="445"/>
      <c r="H196" s="217" t="s">
        <v>781</v>
      </c>
      <c r="I196" s="448">
        <v>0</v>
      </c>
      <c r="J196" s="448">
        <v>0</v>
      </c>
      <c r="K196" s="448">
        <v>0</v>
      </c>
      <c r="L196" s="448">
        <v>0</v>
      </c>
      <c r="M196" s="497"/>
      <c r="N196" s="497"/>
      <c r="O196" s="497"/>
      <c r="P196" s="497"/>
      <c r="Q196" s="497"/>
      <c r="R196" s="497"/>
      <c r="S196" s="497"/>
      <c r="T196" s="497"/>
      <c r="Y196" s="450"/>
      <c r="Z196" s="450"/>
      <c r="AA196" s="450"/>
      <c r="AB196" s="451"/>
      <c r="AC196" s="436"/>
    </row>
    <row r="197" spans="1:29" ht="27" hidden="1" thickTop="1" thickBot="1" x14ac:dyDescent="0.3">
      <c r="A197" s="218"/>
      <c r="B197" s="218"/>
      <c r="C197" s="218"/>
      <c r="D197" s="218"/>
      <c r="E197" s="218"/>
      <c r="F197" s="218"/>
      <c r="G197" s="217"/>
      <c r="H197" s="221" t="s">
        <v>788</v>
      </c>
      <c r="I197" s="509">
        <f>+I198</f>
        <v>0</v>
      </c>
      <c r="J197" s="509">
        <f>+J198</f>
        <v>0</v>
      </c>
      <c r="K197" s="509">
        <f>+K198</f>
        <v>0</v>
      </c>
      <c r="L197" s="509">
        <f>+L198</f>
        <v>0</v>
      </c>
      <c r="M197" s="509">
        <f t="shared" si="82"/>
        <v>0</v>
      </c>
      <c r="N197" s="509">
        <f t="shared" si="82"/>
        <v>0</v>
      </c>
      <c r="O197" s="509">
        <f t="shared" si="82"/>
        <v>0</v>
      </c>
      <c r="P197" s="509">
        <f t="shared" si="82"/>
        <v>0</v>
      </c>
      <c r="Q197" s="509">
        <f t="shared" si="82"/>
        <v>0</v>
      </c>
      <c r="R197" s="509">
        <f t="shared" si="82"/>
        <v>0</v>
      </c>
      <c r="S197" s="509">
        <f t="shared" si="82"/>
        <v>0</v>
      </c>
      <c r="T197" s="509">
        <f t="shared" si="82"/>
        <v>0</v>
      </c>
      <c r="U197" s="509">
        <f t="shared" si="82"/>
        <v>0</v>
      </c>
      <c r="V197" s="509">
        <f t="shared" si="82"/>
        <v>0</v>
      </c>
      <c r="W197" s="509">
        <f t="shared" si="82"/>
        <v>0</v>
      </c>
      <c r="X197" s="509">
        <f t="shared" si="82"/>
        <v>0</v>
      </c>
      <c r="Y197" s="510"/>
      <c r="Z197" s="510"/>
      <c r="AA197" s="510"/>
      <c r="AB197" s="511"/>
      <c r="AC197" s="436"/>
    </row>
    <row r="198" spans="1:29" ht="16.5" hidden="1" thickTop="1" thickBot="1" x14ac:dyDescent="0.3">
      <c r="A198" s="512"/>
      <c r="B198" s="512"/>
      <c r="C198" s="512"/>
      <c r="D198" s="512"/>
      <c r="E198" s="472"/>
      <c r="F198" s="472"/>
      <c r="G198" s="472"/>
      <c r="H198" s="499" t="s">
        <v>779</v>
      </c>
      <c r="I198" s="448">
        <f>+I199</f>
        <v>0</v>
      </c>
      <c r="J198" s="448">
        <f t="shared" si="82"/>
        <v>0</v>
      </c>
      <c r="K198" s="448">
        <f t="shared" si="82"/>
        <v>0</v>
      </c>
      <c r="L198" s="448">
        <f t="shared" si="82"/>
        <v>0</v>
      </c>
      <c r="M198" s="492">
        <f t="shared" si="82"/>
        <v>0</v>
      </c>
      <c r="N198" s="492">
        <f t="shared" si="82"/>
        <v>0</v>
      </c>
      <c r="O198" s="492">
        <f t="shared" si="82"/>
        <v>0</v>
      </c>
      <c r="P198" s="492">
        <f t="shared" si="82"/>
        <v>0</v>
      </c>
      <c r="Q198" s="492">
        <f t="shared" si="82"/>
        <v>0</v>
      </c>
      <c r="R198" s="492">
        <f t="shared" si="82"/>
        <v>0</v>
      </c>
      <c r="S198" s="492">
        <f t="shared" si="82"/>
        <v>0</v>
      </c>
      <c r="T198" s="492">
        <f t="shared" si="82"/>
        <v>0</v>
      </c>
      <c r="U198" s="492">
        <f t="shared" si="82"/>
        <v>0</v>
      </c>
      <c r="V198" s="492">
        <f t="shared" si="82"/>
        <v>0</v>
      </c>
      <c r="W198" s="492">
        <f t="shared" si="82"/>
        <v>0</v>
      </c>
      <c r="X198" s="492">
        <f t="shared" si="82"/>
        <v>0</v>
      </c>
      <c r="Y198" s="493"/>
      <c r="Z198" s="493"/>
      <c r="AA198" s="493"/>
      <c r="AB198" s="494"/>
      <c r="AC198" s="436"/>
    </row>
    <row r="199" spans="1:29" ht="16.5" hidden="1" thickTop="1" thickBot="1" x14ac:dyDescent="0.3">
      <c r="A199" s="444"/>
      <c r="B199" s="444"/>
      <c r="C199" s="446"/>
      <c r="D199" s="446"/>
      <c r="E199" s="445"/>
      <c r="F199" s="445"/>
      <c r="G199" s="444"/>
      <c r="H199" s="217" t="s">
        <v>780</v>
      </c>
      <c r="I199" s="448">
        <f>+I200</f>
        <v>0</v>
      </c>
      <c r="J199" s="448">
        <f t="shared" si="82"/>
        <v>0</v>
      </c>
      <c r="K199" s="448">
        <f t="shared" si="82"/>
        <v>0</v>
      </c>
      <c r="L199" s="448">
        <f t="shared" si="82"/>
        <v>0</v>
      </c>
      <c r="M199" s="497">
        <f t="shared" si="82"/>
        <v>0</v>
      </c>
      <c r="N199" s="497">
        <f t="shared" si="82"/>
        <v>0</v>
      </c>
      <c r="O199" s="497">
        <f t="shared" si="82"/>
        <v>0</v>
      </c>
      <c r="P199" s="497">
        <f t="shared" si="82"/>
        <v>0</v>
      </c>
      <c r="Q199" s="497">
        <f t="shared" si="82"/>
        <v>0</v>
      </c>
      <c r="R199" s="497">
        <f t="shared" si="82"/>
        <v>0</v>
      </c>
      <c r="S199" s="497">
        <f t="shared" si="82"/>
        <v>0</v>
      </c>
      <c r="T199" s="497">
        <f t="shared" si="82"/>
        <v>0</v>
      </c>
      <c r="U199" s="497"/>
      <c r="V199" s="497"/>
      <c r="W199" s="497"/>
      <c r="X199" s="497"/>
      <c r="Y199" s="450"/>
      <c r="Z199" s="450"/>
      <c r="AA199" s="450"/>
      <c r="AB199" s="451"/>
      <c r="AC199" s="436"/>
    </row>
    <row r="200" spans="1:29" ht="16.5" hidden="1" thickTop="1" thickBot="1" x14ac:dyDescent="0.3">
      <c r="A200" s="444"/>
      <c r="B200" s="444"/>
      <c r="C200" s="446"/>
      <c r="D200" s="446"/>
      <c r="E200" s="445"/>
      <c r="F200" s="445"/>
      <c r="G200" s="445"/>
      <c r="H200" s="217" t="s">
        <v>781</v>
      </c>
      <c r="I200" s="448">
        <v>0</v>
      </c>
      <c r="J200" s="448">
        <v>0</v>
      </c>
      <c r="K200" s="448">
        <v>0</v>
      </c>
      <c r="L200" s="448">
        <v>0</v>
      </c>
      <c r="M200" s="497"/>
      <c r="N200" s="497"/>
      <c r="O200" s="497"/>
      <c r="P200" s="497"/>
      <c r="Q200" s="497"/>
      <c r="R200" s="497"/>
      <c r="S200" s="497"/>
      <c r="T200" s="497"/>
      <c r="U200" s="497"/>
      <c r="V200" s="497"/>
      <c r="W200" s="497"/>
      <c r="X200" s="497"/>
      <c r="Y200" s="450"/>
      <c r="Z200" s="450"/>
      <c r="AA200" s="450"/>
      <c r="AB200" s="451"/>
      <c r="AC200" s="436"/>
    </row>
    <row r="201" spans="1:29" ht="39.75" hidden="1" thickTop="1" thickBot="1" x14ac:dyDescent="0.3">
      <c r="A201" s="218"/>
      <c r="B201" s="218"/>
      <c r="C201" s="218"/>
      <c r="D201" s="218"/>
      <c r="E201" s="218"/>
      <c r="F201" s="218"/>
      <c r="G201" s="217"/>
      <c r="H201" s="221" t="s">
        <v>789</v>
      </c>
      <c r="I201" s="509">
        <f>+I202</f>
        <v>0</v>
      </c>
      <c r="J201" s="509">
        <f>+J202</f>
        <v>0</v>
      </c>
      <c r="K201" s="509">
        <f>+K202</f>
        <v>0</v>
      </c>
      <c r="L201" s="509">
        <f>+L202</f>
        <v>0</v>
      </c>
      <c r="M201" s="509">
        <f t="shared" si="82"/>
        <v>0</v>
      </c>
      <c r="N201" s="509">
        <f t="shared" si="82"/>
        <v>0</v>
      </c>
      <c r="O201" s="509">
        <f t="shared" si="82"/>
        <v>0</v>
      </c>
      <c r="P201" s="509">
        <f t="shared" si="82"/>
        <v>0</v>
      </c>
      <c r="Q201" s="509">
        <f t="shared" si="82"/>
        <v>0</v>
      </c>
      <c r="R201" s="509">
        <f t="shared" si="82"/>
        <v>0</v>
      </c>
      <c r="S201" s="509">
        <f t="shared" si="82"/>
        <v>0</v>
      </c>
      <c r="T201" s="509">
        <f t="shared" si="82"/>
        <v>0</v>
      </c>
      <c r="U201" s="536"/>
      <c r="V201" s="536"/>
      <c r="W201" s="536"/>
      <c r="X201" s="536"/>
      <c r="Y201" s="510"/>
      <c r="Z201" s="510"/>
      <c r="AA201" s="510"/>
      <c r="AB201" s="511"/>
      <c r="AC201" s="436"/>
    </row>
    <row r="202" spans="1:29" ht="16.5" hidden="1" thickTop="1" thickBot="1" x14ac:dyDescent="0.3">
      <c r="A202" s="512"/>
      <c r="B202" s="512"/>
      <c r="C202" s="512"/>
      <c r="D202" s="512"/>
      <c r="E202" s="472"/>
      <c r="F202" s="472"/>
      <c r="G202" s="472"/>
      <c r="H202" s="499" t="s">
        <v>779</v>
      </c>
      <c r="I202" s="448">
        <f>+I203</f>
        <v>0</v>
      </c>
      <c r="J202" s="448">
        <f t="shared" si="82"/>
        <v>0</v>
      </c>
      <c r="K202" s="448">
        <f t="shared" si="82"/>
        <v>0</v>
      </c>
      <c r="L202" s="448">
        <f t="shared" si="82"/>
        <v>0</v>
      </c>
      <c r="M202" s="492">
        <f t="shared" si="82"/>
        <v>0</v>
      </c>
      <c r="N202" s="492">
        <f t="shared" si="82"/>
        <v>0</v>
      </c>
      <c r="O202" s="492">
        <f t="shared" si="82"/>
        <v>0</v>
      </c>
      <c r="P202" s="492">
        <f t="shared" si="82"/>
        <v>0</v>
      </c>
      <c r="Q202" s="492">
        <f t="shared" si="82"/>
        <v>0</v>
      </c>
      <c r="R202" s="492">
        <f t="shared" si="82"/>
        <v>0</v>
      </c>
      <c r="S202" s="492">
        <f t="shared" si="82"/>
        <v>0</v>
      </c>
      <c r="T202" s="492">
        <f t="shared" si="82"/>
        <v>0</v>
      </c>
      <c r="U202" s="492"/>
      <c r="V202" s="492"/>
      <c r="W202" s="492"/>
      <c r="X202" s="492"/>
      <c r="Y202" s="493"/>
      <c r="Z202" s="493"/>
      <c r="AA202" s="493"/>
      <c r="AB202" s="494"/>
      <c r="AC202" s="436"/>
    </row>
    <row r="203" spans="1:29" ht="16.5" hidden="1" thickTop="1" thickBot="1" x14ac:dyDescent="0.3">
      <c r="A203" s="444"/>
      <c r="B203" s="444"/>
      <c r="C203" s="446"/>
      <c r="D203" s="446"/>
      <c r="E203" s="445"/>
      <c r="F203" s="445"/>
      <c r="G203" s="444"/>
      <c r="H203" s="217" t="s">
        <v>780</v>
      </c>
      <c r="I203" s="448">
        <f>+I204</f>
        <v>0</v>
      </c>
      <c r="J203" s="448">
        <f t="shared" si="82"/>
        <v>0</v>
      </c>
      <c r="K203" s="448">
        <f t="shared" si="82"/>
        <v>0</v>
      </c>
      <c r="L203" s="448">
        <f t="shared" si="82"/>
        <v>0</v>
      </c>
      <c r="M203" s="497">
        <f t="shared" si="82"/>
        <v>0</v>
      </c>
      <c r="N203" s="497">
        <f t="shared" si="82"/>
        <v>0</v>
      </c>
      <c r="O203" s="497">
        <f t="shared" si="82"/>
        <v>0</v>
      </c>
      <c r="P203" s="497">
        <f t="shared" si="82"/>
        <v>0</v>
      </c>
      <c r="Q203" s="497">
        <f t="shared" si="82"/>
        <v>0</v>
      </c>
      <c r="R203" s="497">
        <f t="shared" si="82"/>
        <v>0</v>
      </c>
      <c r="S203" s="497">
        <f t="shared" si="82"/>
        <v>0</v>
      </c>
      <c r="T203" s="497">
        <f t="shared" si="82"/>
        <v>0</v>
      </c>
      <c r="U203" s="537"/>
      <c r="V203" s="537"/>
      <c r="W203" s="537"/>
      <c r="X203" s="537"/>
      <c r="Y203" s="450"/>
      <c r="Z203" s="450"/>
      <c r="AA203" s="450"/>
      <c r="AB203" s="451"/>
      <c r="AC203" s="436"/>
    </row>
    <row r="204" spans="1:29" ht="16.5" hidden="1" thickTop="1" thickBot="1" x14ac:dyDescent="0.3">
      <c r="A204" s="444"/>
      <c r="B204" s="444"/>
      <c r="C204" s="446"/>
      <c r="D204" s="446"/>
      <c r="E204" s="445"/>
      <c r="F204" s="445"/>
      <c r="G204" s="445"/>
      <c r="H204" s="217" t="s">
        <v>781</v>
      </c>
      <c r="I204" s="448">
        <v>0</v>
      </c>
      <c r="J204" s="448">
        <v>0</v>
      </c>
      <c r="K204" s="448">
        <v>0</v>
      </c>
      <c r="L204" s="448">
        <v>0</v>
      </c>
      <c r="M204" s="497"/>
      <c r="N204" s="497"/>
      <c r="O204" s="497"/>
      <c r="P204" s="497"/>
      <c r="Q204" s="497"/>
      <c r="R204" s="497"/>
      <c r="S204" s="497"/>
      <c r="T204" s="497"/>
      <c r="U204" s="537"/>
      <c r="V204" s="537"/>
      <c r="W204" s="537"/>
      <c r="X204" s="537"/>
      <c r="Y204" s="450"/>
      <c r="Z204" s="450"/>
      <c r="AA204" s="450"/>
      <c r="AB204" s="451"/>
      <c r="AC204" s="436"/>
    </row>
    <row r="205" spans="1:29" ht="39.75" hidden="1" thickTop="1" thickBot="1" x14ac:dyDescent="0.3">
      <c r="A205" s="218"/>
      <c r="B205" s="218"/>
      <c r="C205" s="218"/>
      <c r="D205" s="218"/>
      <c r="E205" s="218"/>
      <c r="F205" s="218"/>
      <c r="G205" s="217"/>
      <c r="H205" s="221" t="s">
        <v>790</v>
      </c>
      <c r="I205" s="509">
        <f>+I206</f>
        <v>0</v>
      </c>
      <c r="J205" s="509">
        <f t="shared" ref="J205:T207" si="84">+J206</f>
        <v>0</v>
      </c>
      <c r="K205" s="509">
        <f t="shared" si="84"/>
        <v>0</v>
      </c>
      <c r="L205" s="509">
        <f t="shared" si="84"/>
        <v>0</v>
      </c>
      <c r="M205" s="509">
        <f t="shared" si="84"/>
        <v>0</v>
      </c>
      <c r="N205" s="509">
        <f t="shared" si="84"/>
        <v>0</v>
      </c>
      <c r="O205" s="509">
        <f t="shared" si="84"/>
        <v>0</v>
      </c>
      <c r="P205" s="509">
        <f t="shared" si="84"/>
        <v>0</v>
      </c>
      <c r="Q205" s="509">
        <f t="shared" si="84"/>
        <v>0</v>
      </c>
      <c r="R205" s="509">
        <f t="shared" si="84"/>
        <v>0</v>
      </c>
      <c r="S205" s="509">
        <f t="shared" si="84"/>
        <v>0</v>
      </c>
      <c r="T205" s="509">
        <f t="shared" si="84"/>
        <v>0</v>
      </c>
      <c r="U205" s="509"/>
      <c r="V205" s="509"/>
      <c r="W205" s="509"/>
      <c r="X205" s="509"/>
      <c r="Y205" s="510"/>
      <c r="Z205" s="514"/>
      <c r="AA205" s="514"/>
      <c r="AB205" s="515"/>
      <c r="AC205" s="436"/>
    </row>
    <row r="206" spans="1:29" ht="16.5" hidden="1" thickTop="1" thickBot="1" x14ac:dyDescent="0.3">
      <c r="A206" s="512"/>
      <c r="B206" s="512"/>
      <c r="C206" s="512"/>
      <c r="D206" s="512"/>
      <c r="E206" s="472"/>
      <c r="F206" s="472"/>
      <c r="G206" s="472"/>
      <c r="H206" s="499" t="s">
        <v>779</v>
      </c>
      <c r="I206" s="448">
        <f>+I207</f>
        <v>0</v>
      </c>
      <c r="J206" s="448">
        <f t="shared" si="84"/>
        <v>0</v>
      </c>
      <c r="K206" s="448">
        <f t="shared" si="84"/>
        <v>0</v>
      </c>
      <c r="L206" s="448">
        <f t="shared" si="84"/>
        <v>0</v>
      </c>
      <c r="M206" s="492">
        <f t="shared" si="84"/>
        <v>0</v>
      </c>
      <c r="N206" s="492">
        <f t="shared" si="84"/>
        <v>0</v>
      </c>
      <c r="O206" s="492">
        <f t="shared" si="84"/>
        <v>0</v>
      </c>
      <c r="P206" s="492">
        <f t="shared" si="84"/>
        <v>0</v>
      </c>
      <c r="Q206" s="492">
        <f t="shared" si="84"/>
        <v>0</v>
      </c>
      <c r="R206" s="492">
        <f t="shared" si="84"/>
        <v>0</v>
      </c>
      <c r="S206" s="492">
        <f t="shared" si="84"/>
        <v>0</v>
      </c>
      <c r="T206" s="492">
        <f t="shared" si="84"/>
        <v>0</v>
      </c>
      <c r="U206" s="492"/>
      <c r="V206" s="492"/>
      <c r="W206" s="492"/>
      <c r="X206" s="492"/>
      <c r="Y206" s="516"/>
      <c r="Z206" s="516"/>
      <c r="AA206" s="516"/>
      <c r="AB206" s="517"/>
      <c r="AC206" s="436"/>
    </row>
    <row r="207" spans="1:29" ht="16.5" hidden="1" thickTop="1" thickBot="1" x14ac:dyDescent="0.3">
      <c r="A207" s="444"/>
      <c r="B207" s="444"/>
      <c r="C207" s="446"/>
      <c r="D207" s="446"/>
      <c r="E207" s="445"/>
      <c r="F207" s="445"/>
      <c r="G207" s="444"/>
      <c r="H207" s="217" t="s">
        <v>780</v>
      </c>
      <c r="I207" s="448">
        <f>+I208</f>
        <v>0</v>
      </c>
      <c r="J207" s="448">
        <f t="shared" si="84"/>
        <v>0</v>
      </c>
      <c r="K207" s="448">
        <f t="shared" si="84"/>
        <v>0</v>
      </c>
      <c r="L207" s="448">
        <f t="shared" si="84"/>
        <v>0</v>
      </c>
      <c r="M207" s="497">
        <f t="shared" si="84"/>
        <v>0</v>
      </c>
      <c r="N207" s="497">
        <f t="shared" si="84"/>
        <v>0</v>
      </c>
      <c r="O207" s="497">
        <f t="shared" si="84"/>
        <v>0</v>
      </c>
      <c r="P207" s="497">
        <f t="shared" si="84"/>
        <v>0</v>
      </c>
      <c r="Q207" s="497">
        <f t="shared" si="84"/>
        <v>0</v>
      </c>
      <c r="R207" s="497">
        <f t="shared" si="84"/>
        <v>0</v>
      </c>
      <c r="S207" s="497">
        <f t="shared" si="84"/>
        <v>0</v>
      </c>
      <c r="T207" s="497">
        <f t="shared" si="84"/>
        <v>0</v>
      </c>
      <c r="U207" s="497"/>
      <c r="V207" s="497"/>
      <c r="W207" s="497"/>
      <c r="X207" s="497"/>
      <c r="Y207" s="518"/>
      <c r="Z207" s="518"/>
      <c r="AA207" s="518"/>
      <c r="AB207" s="519"/>
      <c r="AC207" s="436"/>
    </row>
    <row r="208" spans="1:29" ht="16.5" hidden="1" thickTop="1" thickBot="1" x14ac:dyDescent="0.3">
      <c r="A208" s="444"/>
      <c r="B208" s="444"/>
      <c r="C208" s="446"/>
      <c r="D208" s="446"/>
      <c r="E208" s="445"/>
      <c r="F208" s="445"/>
      <c r="G208" s="445"/>
      <c r="H208" s="217" t="s">
        <v>781</v>
      </c>
      <c r="I208" s="448">
        <v>0</v>
      </c>
      <c r="J208" s="448">
        <v>0</v>
      </c>
      <c r="K208" s="448">
        <v>0</v>
      </c>
      <c r="L208" s="448">
        <v>0</v>
      </c>
      <c r="M208" s="497"/>
      <c r="N208" s="497"/>
      <c r="O208" s="497"/>
      <c r="P208" s="497"/>
      <c r="Q208" s="497"/>
      <c r="R208" s="497"/>
      <c r="S208" s="497"/>
      <c r="T208" s="497"/>
      <c r="Y208" s="450"/>
      <c r="Z208" s="450"/>
      <c r="AA208" s="450"/>
      <c r="AB208" s="451"/>
      <c r="AC208" s="436"/>
    </row>
    <row r="209" spans="1:29" ht="16.5" hidden="1" thickTop="1" thickBot="1" x14ac:dyDescent="0.3">
      <c r="A209" s="218"/>
      <c r="B209" s="218"/>
      <c r="C209" s="218"/>
      <c r="D209" s="218"/>
      <c r="E209" s="218"/>
      <c r="F209" s="218"/>
      <c r="G209" s="217"/>
      <c r="H209" s="221" t="s">
        <v>791</v>
      </c>
      <c r="I209" s="509">
        <f>+I210</f>
        <v>0</v>
      </c>
      <c r="J209" s="509">
        <f t="shared" ref="J209:T211" si="85">+J210</f>
        <v>0</v>
      </c>
      <c r="K209" s="509">
        <f t="shared" si="85"/>
        <v>0</v>
      </c>
      <c r="L209" s="509">
        <f t="shared" si="85"/>
        <v>0</v>
      </c>
      <c r="M209" s="509">
        <f t="shared" si="85"/>
        <v>0</v>
      </c>
      <c r="N209" s="509">
        <f t="shared" si="85"/>
        <v>0</v>
      </c>
      <c r="O209" s="509">
        <f t="shared" si="85"/>
        <v>0</v>
      </c>
      <c r="P209" s="509">
        <f t="shared" si="85"/>
        <v>0</v>
      </c>
      <c r="Q209" s="509">
        <f t="shared" si="85"/>
        <v>0</v>
      </c>
      <c r="R209" s="509">
        <f t="shared" si="85"/>
        <v>0</v>
      </c>
      <c r="S209" s="509">
        <f t="shared" si="85"/>
        <v>0</v>
      </c>
      <c r="T209" s="509">
        <f t="shared" si="85"/>
        <v>0</v>
      </c>
      <c r="U209" s="509"/>
      <c r="V209" s="509"/>
      <c r="W209" s="509"/>
      <c r="X209" s="509"/>
      <c r="Y209" s="510"/>
      <c r="Z209" s="510"/>
      <c r="AA209" s="510"/>
      <c r="AB209" s="511"/>
      <c r="AC209" s="436"/>
    </row>
    <row r="210" spans="1:29" ht="16.5" hidden="1" thickTop="1" thickBot="1" x14ac:dyDescent="0.3">
      <c r="A210" s="512"/>
      <c r="B210" s="512"/>
      <c r="C210" s="512"/>
      <c r="D210" s="512"/>
      <c r="E210" s="472"/>
      <c r="F210" s="472"/>
      <c r="G210" s="472"/>
      <c r="H210" s="499" t="s">
        <v>779</v>
      </c>
      <c r="I210" s="448">
        <f>+I211</f>
        <v>0</v>
      </c>
      <c r="J210" s="448">
        <f t="shared" si="85"/>
        <v>0</v>
      </c>
      <c r="K210" s="448">
        <f t="shared" si="85"/>
        <v>0</v>
      </c>
      <c r="L210" s="448">
        <f t="shared" si="85"/>
        <v>0</v>
      </c>
      <c r="M210" s="492">
        <f t="shared" si="85"/>
        <v>0</v>
      </c>
      <c r="N210" s="492">
        <f t="shared" si="85"/>
        <v>0</v>
      </c>
      <c r="O210" s="492">
        <f t="shared" si="85"/>
        <v>0</v>
      </c>
      <c r="P210" s="492">
        <f t="shared" si="85"/>
        <v>0</v>
      </c>
      <c r="Q210" s="492">
        <f t="shared" si="85"/>
        <v>0</v>
      </c>
      <c r="R210" s="492">
        <f t="shared" si="85"/>
        <v>0</v>
      </c>
      <c r="S210" s="492">
        <f t="shared" si="85"/>
        <v>0</v>
      </c>
      <c r="T210" s="492">
        <f t="shared" si="85"/>
        <v>0</v>
      </c>
      <c r="U210" s="492"/>
      <c r="V210" s="492"/>
      <c r="W210" s="492"/>
      <c r="X210" s="492"/>
      <c r="Y210" s="493"/>
      <c r="Z210" s="493"/>
      <c r="AA210" s="493"/>
      <c r="AB210" s="494"/>
      <c r="AC210" s="436"/>
    </row>
    <row r="211" spans="1:29" ht="16.5" hidden="1" thickTop="1" thickBot="1" x14ac:dyDescent="0.3">
      <c r="A211" s="444"/>
      <c r="B211" s="444"/>
      <c r="C211" s="446"/>
      <c r="D211" s="446"/>
      <c r="E211" s="445"/>
      <c r="F211" s="445"/>
      <c r="G211" s="444"/>
      <c r="H211" s="217" t="s">
        <v>780</v>
      </c>
      <c r="I211" s="448">
        <f>+I212</f>
        <v>0</v>
      </c>
      <c r="J211" s="448">
        <f t="shared" si="85"/>
        <v>0</v>
      </c>
      <c r="K211" s="448">
        <f t="shared" si="85"/>
        <v>0</v>
      </c>
      <c r="L211" s="448">
        <f t="shared" si="85"/>
        <v>0</v>
      </c>
      <c r="M211" s="497">
        <f t="shared" si="85"/>
        <v>0</v>
      </c>
      <c r="N211" s="497">
        <f t="shared" si="85"/>
        <v>0</v>
      </c>
      <c r="O211" s="497">
        <f t="shared" si="85"/>
        <v>0</v>
      </c>
      <c r="P211" s="497">
        <f t="shared" si="85"/>
        <v>0</v>
      </c>
      <c r="Q211" s="497">
        <f t="shared" si="85"/>
        <v>0</v>
      </c>
      <c r="R211" s="497">
        <f t="shared" si="85"/>
        <v>0</v>
      </c>
      <c r="S211" s="497">
        <f t="shared" si="85"/>
        <v>0</v>
      </c>
      <c r="T211" s="497">
        <f t="shared" si="85"/>
        <v>0</v>
      </c>
      <c r="U211" s="497"/>
      <c r="V211" s="497"/>
      <c r="W211" s="497"/>
      <c r="X211" s="497"/>
      <c r="Y211" s="450"/>
      <c r="Z211" s="450"/>
      <c r="AA211" s="450"/>
      <c r="AB211" s="451"/>
      <c r="AC211" s="436"/>
    </row>
    <row r="212" spans="1:29" ht="16.5" hidden="1" thickTop="1" thickBot="1" x14ac:dyDescent="0.3">
      <c r="A212" s="444"/>
      <c r="B212" s="444"/>
      <c r="C212" s="446"/>
      <c r="D212" s="446"/>
      <c r="E212" s="445"/>
      <c r="F212" s="445"/>
      <c r="G212" s="445"/>
      <c r="H212" s="217" t="s">
        <v>781</v>
      </c>
      <c r="I212" s="448">
        <v>0</v>
      </c>
      <c r="J212" s="448">
        <v>0</v>
      </c>
      <c r="K212" s="448">
        <v>0</v>
      </c>
      <c r="L212" s="448">
        <v>0</v>
      </c>
      <c r="M212" s="497"/>
      <c r="N212" s="497"/>
      <c r="O212" s="497"/>
      <c r="P212" s="497"/>
      <c r="Q212" s="497"/>
      <c r="R212" s="497"/>
      <c r="S212" s="497"/>
      <c r="T212" s="497"/>
      <c r="Y212" s="450"/>
      <c r="Z212" s="450"/>
      <c r="AA212" s="450"/>
      <c r="AB212" s="451"/>
      <c r="AC212" s="436"/>
    </row>
    <row r="213" spans="1:29" ht="16.5" hidden="1" thickTop="1" thickBot="1" x14ac:dyDescent="0.3">
      <c r="A213" s="218"/>
      <c r="B213" s="218"/>
      <c r="C213" s="218"/>
      <c r="D213" s="218"/>
      <c r="E213" s="218"/>
      <c r="F213" s="218"/>
      <c r="G213" s="217"/>
      <c r="H213" s="221" t="s">
        <v>792</v>
      </c>
      <c r="I213" s="509">
        <f>+I214</f>
        <v>0</v>
      </c>
      <c r="J213" s="509">
        <f t="shared" ref="J213:X215" si="86">+J214</f>
        <v>0</v>
      </c>
      <c r="K213" s="509">
        <f t="shared" si="86"/>
        <v>0</v>
      </c>
      <c r="L213" s="509">
        <f t="shared" si="86"/>
        <v>0</v>
      </c>
      <c r="M213" s="509">
        <f t="shared" si="86"/>
        <v>0</v>
      </c>
      <c r="N213" s="509">
        <f t="shared" si="86"/>
        <v>0</v>
      </c>
      <c r="O213" s="509">
        <f t="shared" si="86"/>
        <v>0</v>
      </c>
      <c r="P213" s="509">
        <f t="shared" si="86"/>
        <v>0</v>
      </c>
      <c r="Q213" s="509">
        <f t="shared" si="86"/>
        <v>0</v>
      </c>
      <c r="R213" s="509">
        <f t="shared" si="86"/>
        <v>0</v>
      </c>
      <c r="S213" s="509">
        <f t="shared" si="86"/>
        <v>0</v>
      </c>
      <c r="T213" s="509">
        <f t="shared" si="86"/>
        <v>0</v>
      </c>
      <c r="U213" s="509">
        <f t="shared" si="86"/>
        <v>0</v>
      </c>
      <c r="V213" s="509">
        <f t="shared" si="86"/>
        <v>0</v>
      </c>
      <c r="W213" s="509">
        <f t="shared" si="86"/>
        <v>0</v>
      </c>
      <c r="X213" s="509">
        <f t="shared" si="86"/>
        <v>0</v>
      </c>
      <c r="Y213" s="520">
        <f t="shared" ref="Y213:AB216" si="87">+I213+M213+Q213+U213</f>
        <v>0</v>
      </c>
      <c r="Z213" s="520">
        <f t="shared" si="87"/>
        <v>0</v>
      </c>
      <c r="AA213" s="520">
        <f t="shared" si="87"/>
        <v>0</v>
      </c>
      <c r="AB213" s="219">
        <f t="shared" si="87"/>
        <v>0</v>
      </c>
      <c r="AC213" s="436"/>
    </row>
    <row r="214" spans="1:29" ht="16.5" hidden="1" thickTop="1" thickBot="1" x14ac:dyDescent="0.3">
      <c r="A214" s="512"/>
      <c r="B214" s="512"/>
      <c r="C214" s="512"/>
      <c r="D214" s="512"/>
      <c r="E214" s="472"/>
      <c r="F214" s="472"/>
      <c r="G214" s="472"/>
      <c r="H214" s="499" t="s">
        <v>779</v>
      </c>
      <c r="I214" s="448">
        <f>+I215</f>
        <v>0</v>
      </c>
      <c r="J214" s="448">
        <f t="shared" si="86"/>
        <v>0</v>
      </c>
      <c r="K214" s="448">
        <f t="shared" si="86"/>
        <v>0</v>
      </c>
      <c r="L214" s="448">
        <f t="shared" si="86"/>
        <v>0</v>
      </c>
      <c r="M214" s="492">
        <f t="shared" si="86"/>
        <v>0</v>
      </c>
      <c r="N214" s="492">
        <f t="shared" si="86"/>
        <v>0</v>
      </c>
      <c r="O214" s="492">
        <f t="shared" si="86"/>
        <v>0</v>
      </c>
      <c r="P214" s="492">
        <f t="shared" si="86"/>
        <v>0</v>
      </c>
      <c r="Q214" s="492">
        <f t="shared" si="86"/>
        <v>0</v>
      </c>
      <c r="R214" s="492">
        <f t="shared" si="86"/>
        <v>0</v>
      </c>
      <c r="S214" s="492">
        <f t="shared" si="86"/>
        <v>0</v>
      </c>
      <c r="T214" s="492">
        <f t="shared" si="86"/>
        <v>0</v>
      </c>
      <c r="U214" s="492">
        <f t="shared" si="86"/>
        <v>0</v>
      </c>
      <c r="V214" s="492">
        <f t="shared" si="86"/>
        <v>0</v>
      </c>
      <c r="W214" s="492">
        <f t="shared" si="86"/>
        <v>0</v>
      </c>
      <c r="X214" s="492">
        <f t="shared" si="86"/>
        <v>0</v>
      </c>
      <c r="Y214" s="474">
        <f t="shared" si="87"/>
        <v>0</v>
      </c>
      <c r="Z214" s="474">
        <f t="shared" si="87"/>
        <v>0</v>
      </c>
      <c r="AA214" s="474">
        <f t="shared" si="87"/>
        <v>0</v>
      </c>
      <c r="AB214" s="475">
        <f t="shared" si="87"/>
        <v>0</v>
      </c>
      <c r="AC214" s="436"/>
    </row>
    <row r="215" spans="1:29" ht="16.5" hidden="1" thickTop="1" thickBot="1" x14ac:dyDescent="0.3">
      <c r="A215" s="444"/>
      <c r="B215" s="444"/>
      <c r="C215" s="446"/>
      <c r="D215" s="446"/>
      <c r="E215" s="445"/>
      <c r="F215" s="445"/>
      <c r="G215" s="444"/>
      <c r="H215" s="217" t="s">
        <v>780</v>
      </c>
      <c r="I215" s="448">
        <f>+I216</f>
        <v>0</v>
      </c>
      <c r="J215" s="448">
        <f t="shared" si="86"/>
        <v>0</v>
      </c>
      <c r="K215" s="448">
        <f t="shared" si="86"/>
        <v>0</v>
      </c>
      <c r="L215" s="448">
        <f t="shared" si="86"/>
        <v>0</v>
      </c>
      <c r="M215" s="497">
        <f t="shared" si="86"/>
        <v>0</v>
      </c>
      <c r="N215" s="497">
        <f t="shared" si="86"/>
        <v>0</v>
      </c>
      <c r="O215" s="497">
        <f t="shared" si="86"/>
        <v>0</v>
      </c>
      <c r="P215" s="497">
        <f t="shared" si="86"/>
        <v>0</v>
      </c>
      <c r="Q215" s="497">
        <f t="shared" si="86"/>
        <v>0</v>
      </c>
      <c r="R215" s="497">
        <f t="shared" si="86"/>
        <v>0</v>
      </c>
      <c r="S215" s="497">
        <f t="shared" si="86"/>
        <v>0</v>
      </c>
      <c r="T215" s="497">
        <f t="shared" si="86"/>
        <v>0</v>
      </c>
      <c r="U215" s="497">
        <f t="shared" si="86"/>
        <v>0</v>
      </c>
      <c r="V215" s="497">
        <f t="shared" si="86"/>
        <v>0</v>
      </c>
      <c r="W215" s="497">
        <f t="shared" si="86"/>
        <v>0</v>
      </c>
      <c r="X215" s="497">
        <f t="shared" si="86"/>
        <v>0</v>
      </c>
      <c r="Y215" s="449">
        <f t="shared" si="87"/>
        <v>0</v>
      </c>
      <c r="Z215" s="449">
        <f t="shared" si="87"/>
        <v>0</v>
      </c>
      <c r="AA215" s="449">
        <f t="shared" si="87"/>
        <v>0</v>
      </c>
      <c r="AB215" s="212">
        <f t="shared" si="87"/>
        <v>0</v>
      </c>
      <c r="AC215" s="436"/>
    </row>
    <row r="216" spans="1:29" ht="16.5" hidden="1" thickTop="1" thickBot="1" x14ac:dyDescent="0.3">
      <c r="A216" s="444"/>
      <c r="B216" s="444"/>
      <c r="C216" s="446"/>
      <c r="D216" s="446"/>
      <c r="E216" s="445"/>
      <c r="F216" s="445"/>
      <c r="G216" s="445"/>
      <c r="H216" s="217" t="s">
        <v>781</v>
      </c>
      <c r="I216" s="448">
        <v>0</v>
      </c>
      <c r="J216" s="448">
        <v>0</v>
      </c>
      <c r="K216" s="448">
        <v>0</v>
      </c>
      <c r="L216" s="448">
        <v>0</v>
      </c>
      <c r="M216" s="497"/>
      <c r="N216" s="497"/>
      <c r="O216" s="497"/>
      <c r="P216" s="497"/>
      <c r="Q216" s="497"/>
      <c r="R216" s="497"/>
      <c r="S216" s="497"/>
      <c r="T216" s="497"/>
      <c r="U216" s="497">
        <v>0</v>
      </c>
      <c r="V216" s="497">
        <v>0</v>
      </c>
      <c r="W216" s="497">
        <v>0</v>
      </c>
      <c r="X216" s="497">
        <v>0</v>
      </c>
      <c r="Y216" s="449">
        <f t="shared" si="87"/>
        <v>0</v>
      </c>
      <c r="Z216" s="449">
        <f>+J216+N216+R216+V216</f>
        <v>0</v>
      </c>
      <c r="AA216" s="449">
        <f t="shared" si="87"/>
        <v>0</v>
      </c>
      <c r="AB216" s="212">
        <f t="shared" si="87"/>
        <v>0</v>
      </c>
      <c r="AC216" s="436"/>
    </row>
    <row r="217" spans="1:29" ht="39.75" hidden="1" thickTop="1" thickBot="1" x14ac:dyDescent="0.3">
      <c r="A217" s="218"/>
      <c r="B217" s="218"/>
      <c r="C217" s="218"/>
      <c r="D217" s="218"/>
      <c r="E217" s="218"/>
      <c r="F217" s="218"/>
      <c r="G217" s="217"/>
      <c r="H217" s="221" t="s">
        <v>793</v>
      </c>
      <c r="I217" s="509">
        <f>+I218</f>
        <v>0</v>
      </c>
      <c r="J217" s="509">
        <f t="shared" ref="J217:X223" si="88">+J218</f>
        <v>0</v>
      </c>
      <c r="K217" s="509">
        <f t="shared" si="88"/>
        <v>0</v>
      </c>
      <c r="L217" s="509">
        <f>+L218</f>
        <v>0</v>
      </c>
      <c r="M217" s="509">
        <f>+M218</f>
        <v>0</v>
      </c>
      <c r="N217" s="509">
        <f t="shared" si="88"/>
        <v>0</v>
      </c>
      <c r="O217" s="509">
        <f t="shared" si="88"/>
        <v>0</v>
      </c>
      <c r="P217" s="509">
        <f t="shared" si="88"/>
        <v>0</v>
      </c>
      <c r="Q217" s="509">
        <f t="shared" si="88"/>
        <v>0</v>
      </c>
      <c r="R217" s="509">
        <f t="shared" si="88"/>
        <v>0</v>
      </c>
      <c r="S217" s="509">
        <f t="shared" si="88"/>
        <v>0</v>
      </c>
      <c r="T217" s="509">
        <f t="shared" si="88"/>
        <v>0</v>
      </c>
      <c r="U217" s="509"/>
      <c r="V217" s="509"/>
      <c r="W217" s="509"/>
      <c r="X217" s="509"/>
      <c r="Y217" s="510"/>
      <c r="Z217" s="510"/>
      <c r="AA217" s="510"/>
      <c r="AB217" s="511"/>
      <c r="AC217" s="436"/>
    </row>
    <row r="218" spans="1:29" ht="16.5" hidden="1" thickTop="1" thickBot="1" x14ac:dyDescent="0.3">
      <c r="A218" s="512"/>
      <c r="B218" s="512"/>
      <c r="C218" s="512"/>
      <c r="D218" s="512"/>
      <c r="E218" s="472"/>
      <c r="F218" s="472"/>
      <c r="G218" s="472"/>
      <c r="H218" s="499" t="s">
        <v>779</v>
      </c>
      <c r="I218" s="448">
        <f>+I219</f>
        <v>0</v>
      </c>
      <c r="J218" s="448">
        <f t="shared" si="88"/>
        <v>0</v>
      </c>
      <c r="K218" s="448">
        <f t="shared" si="88"/>
        <v>0</v>
      </c>
      <c r="L218" s="448">
        <f t="shared" si="88"/>
        <v>0</v>
      </c>
      <c r="M218" s="492">
        <f>+M219</f>
        <v>0</v>
      </c>
      <c r="N218" s="492">
        <f t="shared" si="88"/>
        <v>0</v>
      </c>
      <c r="O218" s="492">
        <f t="shared" si="88"/>
        <v>0</v>
      </c>
      <c r="P218" s="492">
        <f t="shared" si="88"/>
        <v>0</v>
      </c>
      <c r="Q218" s="492">
        <f t="shared" si="88"/>
        <v>0</v>
      </c>
      <c r="R218" s="492">
        <f t="shared" si="88"/>
        <v>0</v>
      </c>
      <c r="S218" s="492">
        <f t="shared" si="88"/>
        <v>0</v>
      </c>
      <c r="T218" s="492">
        <f t="shared" si="88"/>
        <v>0</v>
      </c>
      <c r="U218" s="492"/>
      <c r="V218" s="492"/>
      <c r="W218" s="492"/>
      <c r="X218" s="492"/>
      <c r="Y218" s="493"/>
      <c r="Z218" s="493"/>
      <c r="AA218" s="493"/>
      <c r="AB218" s="494"/>
      <c r="AC218" s="436"/>
    </row>
    <row r="219" spans="1:29" ht="16.5" hidden="1" thickTop="1" thickBot="1" x14ac:dyDescent="0.3">
      <c r="A219" s="444"/>
      <c r="B219" s="444"/>
      <c r="C219" s="446"/>
      <c r="D219" s="446"/>
      <c r="E219" s="445"/>
      <c r="F219" s="445"/>
      <c r="G219" s="444"/>
      <c r="H219" s="217" t="s">
        <v>780</v>
      </c>
      <c r="I219" s="448">
        <f>+I220</f>
        <v>0</v>
      </c>
      <c r="J219" s="448">
        <f t="shared" si="88"/>
        <v>0</v>
      </c>
      <c r="K219" s="448">
        <f t="shared" si="88"/>
        <v>0</v>
      </c>
      <c r="L219" s="448">
        <f>+L220</f>
        <v>0</v>
      </c>
      <c r="M219" s="497">
        <f t="shared" si="88"/>
        <v>0</v>
      </c>
      <c r="N219" s="497">
        <f t="shared" si="88"/>
        <v>0</v>
      </c>
      <c r="O219" s="497">
        <f t="shared" si="88"/>
        <v>0</v>
      </c>
      <c r="P219" s="497">
        <f t="shared" si="88"/>
        <v>0</v>
      </c>
      <c r="Q219" s="497">
        <f t="shared" si="88"/>
        <v>0</v>
      </c>
      <c r="R219" s="497">
        <f t="shared" si="88"/>
        <v>0</v>
      </c>
      <c r="S219" s="497">
        <f t="shared" si="88"/>
        <v>0</v>
      </c>
      <c r="T219" s="497">
        <f t="shared" si="88"/>
        <v>0</v>
      </c>
      <c r="U219" s="497"/>
      <c r="V219" s="497"/>
      <c r="W219" s="497"/>
      <c r="X219" s="497"/>
      <c r="Y219" s="450"/>
      <c r="Z219" s="450"/>
      <c r="AA219" s="450"/>
      <c r="AB219" s="451"/>
      <c r="AC219" s="436"/>
    </row>
    <row r="220" spans="1:29" ht="16.5" hidden="1" thickTop="1" thickBot="1" x14ac:dyDescent="0.3">
      <c r="A220" s="444"/>
      <c r="B220" s="444"/>
      <c r="C220" s="446"/>
      <c r="D220" s="446"/>
      <c r="E220" s="445"/>
      <c r="F220" s="445"/>
      <c r="G220" s="445"/>
      <c r="H220" s="217" t="s">
        <v>781</v>
      </c>
      <c r="I220" s="448">
        <v>0</v>
      </c>
      <c r="J220" s="448">
        <v>0</v>
      </c>
      <c r="K220" s="448">
        <v>0</v>
      </c>
      <c r="L220" s="448">
        <v>0</v>
      </c>
      <c r="M220" s="497">
        <v>0</v>
      </c>
      <c r="N220" s="497">
        <v>0</v>
      </c>
      <c r="O220" s="497">
        <v>0</v>
      </c>
      <c r="P220" s="497"/>
      <c r="Q220" s="497"/>
      <c r="R220" s="497"/>
      <c r="S220" s="497"/>
      <c r="T220" s="497"/>
      <c r="Y220" s="450"/>
      <c r="Z220" s="450"/>
      <c r="AA220" s="450"/>
      <c r="AB220" s="451"/>
      <c r="AC220" s="436"/>
    </row>
    <row r="221" spans="1:29" ht="28.5" hidden="1" customHeight="1" thickTop="1" thickBot="1" x14ac:dyDescent="0.3">
      <c r="A221" s="444"/>
      <c r="B221" s="444"/>
      <c r="C221" s="446"/>
      <c r="D221" s="446"/>
      <c r="E221" s="445"/>
      <c r="F221" s="445"/>
      <c r="G221" s="445"/>
      <c r="H221" s="222" t="s">
        <v>794</v>
      </c>
      <c r="I221" s="509">
        <f>+I222</f>
        <v>0</v>
      </c>
      <c r="J221" s="509">
        <f>+J222</f>
        <v>0</v>
      </c>
      <c r="K221" s="509">
        <f t="shared" si="88"/>
        <v>0</v>
      </c>
      <c r="L221" s="509">
        <f>+L222</f>
        <v>0</v>
      </c>
      <c r="M221" s="509">
        <f>+M222</f>
        <v>0</v>
      </c>
      <c r="N221" s="509">
        <f t="shared" si="88"/>
        <v>0</v>
      </c>
      <c r="O221" s="509">
        <f t="shared" si="88"/>
        <v>0</v>
      </c>
      <c r="P221" s="509">
        <f t="shared" si="88"/>
        <v>0</v>
      </c>
      <c r="Q221" s="509">
        <f t="shared" si="88"/>
        <v>0</v>
      </c>
      <c r="R221" s="509">
        <f t="shared" si="88"/>
        <v>0</v>
      </c>
      <c r="S221" s="509">
        <f t="shared" si="88"/>
        <v>0</v>
      </c>
      <c r="T221" s="509">
        <f t="shared" si="88"/>
        <v>0</v>
      </c>
      <c r="U221" s="509">
        <f t="shared" si="88"/>
        <v>0</v>
      </c>
      <c r="V221" s="509">
        <f t="shared" si="88"/>
        <v>0</v>
      </c>
      <c r="W221" s="509">
        <f t="shared" si="88"/>
        <v>0</v>
      </c>
      <c r="X221" s="509">
        <f t="shared" si="88"/>
        <v>0</v>
      </c>
      <c r="Y221" s="510"/>
      <c r="Z221" s="510"/>
      <c r="AA221" s="510"/>
      <c r="AB221" s="511"/>
      <c r="AC221" s="436"/>
    </row>
    <row r="222" spans="1:29" ht="16.5" hidden="1" thickTop="1" thickBot="1" x14ac:dyDescent="0.3">
      <c r="A222" s="444"/>
      <c r="B222" s="444"/>
      <c r="C222" s="446"/>
      <c r="D222" s="446"/>
      <c r="E222" s="445"/>
      <c r="F222" s="445"/>
      <c r="G222" s="445"/>
      <c r="H222" s="499" t="s">
        <v>779</v>
      </c>
      <c r="I222" s="448">
        <f>+I223</f>
        <v>0</v>
      </c>
      <c r="J222" s="448">
        <f t="shared" si="88"/>
        <v>0</v>
      </c>
      <c r="K222" s="448">
        <f t="shared" si="88"/>
        <v>0</v>
      </c>
      <c r="L222" s="448">
        <f t="shared" si="88"/>
        <v>0</v>
      </c>
      <c r="M222" s="492">
        <f>+M223</f>
        <v>0</v>
      </c>
      <c r="N222" s="492">
        <f t="shared" si="88"/>
        <v>0</v>
      </c>
      <c r="O222" s="492">
        <f t="shared" si="88"/>
        <v>0</v>
      </c>
      <c r="P222" s="492">
        <f t="shared" si="88"/>
        <v>0</v>
      </c>
      <c r="Q222" s="492">
        <f t="shared" si="88"/>
        <v>0</v>
      </c>
      <c r="R222" s="492">
        <f t="shared" si="88"/>
        <v>0</v>
      </c>
      <c r="S222" s="492">
        <f t="shared" si="88"/>
        <v>0</v>
      </c>
      <c r="T222" s="492">
        <f t="shared" si="88"/>
        <v>0</v>
      </c>
      <c r="U222" s="492">
        <f t="shared" si="88"/>
        <v>0</v>
      </c>
      <c r="V222" s="492">
        <f t="shared" si="88"/>
        <v>0</v>
      </c>
      <c r="W222" s="492">
        <f t="shared" si="88"/>
        <v>0</v>
      </c>
      <c r="X222" s="492">
        <f t="shared" si="88"/>
        <v>0</v>
      </c>
      <c r="Y222" s="493"/>
      <c r="Z222" s="493"/>
      <c r="AA222" s="493"/>
      <c r="AB222" s="494"/>
      <c r="AC222" s="436"/>
    </row>
    <row r="223" spans="1:29" ht="16.5" hidden="1" thickTop="1" thickBot="1" x14ac:dyDescent="0.3">
      <c r="A223" s="444"/>
      <c r="B223" s="444"/>
      <c r="C223" s="446"/>
      <c r="D223" s="446"/>
      <c r="E223" s="445"/>
      <c r="F223" s="445"/>
      <c r="G223" s="445"/>
      <c r="H223" s="217" t="s">
        <v>780</v>
      </c>
      <c r="I223" s="448">
        <f>+I224</f>
        <v>0</v>
      </c>
      <c r="J223" s="448">
        <f t="shared" si="88"/>
        <v>0</v>
      </c>
      <c r="K223" s="448">
        <f t="shared" si="88"/>
        <v>0</v>
      </c>
      <c r="L223" s="448">
        <f t="shared" si="88"/>
        <v>0</v>
      </c>
      <c r="M223" s="497">
        <f t="shared" si="88"/>
        <v>0</v>
      </c>
      <c r="N223" s="497">
        <f t="shared" si="88"/>
        <v>0</v>
      </c>
      <c r="O223" s="497">
        <f t="shared" si="88"/>
        <v>0</v>
      </c>
      <c r="P223" s="497">
        <f t="shared" si="88"/>
        <v>0</v>
      </c>
      <c r="Q223" s="497">
        <f t="shared" si="88"/>
        <v>0</v>
      </c>
      <c r="R223" s="497">
        <f t="shared" si="88"/>
        <v>0</v>
      </c>
      <c r="S223" s="497">
        <f t="shared" si="88"/>
        <v>0</v>
      </c>
      <c r="T223" s="497">
        <f t="shared" si="88"/>
        <v>0</v>
      </c>
      <c r="U223" s="497"/>
      <c r="V223" s="497"/>
      <c r="W223" s="497"/>
      <c r="X223" s="497"/>
      <c r="Y223" s="450"/>
      <c r="Z223" s="450"/>
      <c r="AA223" s="450"/>
      <c r="AB223" s="451"/>
      <c r="AC223" s="436"/>
    </row>
    <row r="224" spans="1:29" ht="16.5" hidden="1" thickTop="1" thickBot="1" x14ac:dyDescent="0.3">
      <c r="A224" s="444"/>
      <c r="B224" s="444"/>
      <c r="C224" s="446"/>
      <c r="D224" s="446"/>
      <c r="E224" s="445"/>
      <c r="F224" s="445"/>
      <c r="G224" s="445"/>
      <c r="H224" s="217" t="s">
        <v>781</v>
      </c>
      <c r="I224" s="448">
        <v>0</v>
      </c>
      <c r="J224" s="448">
        <v>0</v>
      </c>
      <c r="K224" s="448">
        <v>0</v>
      </c>
      <c r="L224" s="448">
        <v>0</v>
      </c>
      <c r="M224" s="497"/>
      <c r="N224" s="497">
        <v>0</v>
      </c>
      <c r="O224" s="497">
        <v>0</v>
      </c>
      <c r="P224" s="497"/>
      <c r="Q224" s="497"/>
      <c r="R224" s="497"/>
      <c r="S224" s="497"/>
      <c r="T224" s="497"/>
      <c r="Y224" s="450"/>
      <c r="Z224" s="450"/>
      <c r="AA224" s="450"/>
      <c r="AB224" s="451"/>
      <c r="AC224" s="436"/>
    </row>
    <row r="225" spans="1:29" ht="16.5" thickTop="1" thickBot="1" x14ac:dyDescent="0.3">
      <c r="A225" s="521"/>
      <c r="B225" s="521"/>
      <c r="C225" s="522"/>
      <c r="D225" s="522"/>
      <c r="E225" s="522"/>
      <c r="F225" s="522"/>
      <c r="G225" s="522"/>
      <c r="H225" s="523" t="s">
        <v>795</v>
      </c>
      <c r="I225" s="524">
        <f>I4+I37+I47</f>
        <v>29603375164</v>
      </c>
      <c r="J225" s="524">
        <f t="shared" ref="J225:X225" si="89">J4+J37+J47</f>
        <v>25128788864</v>
      </c>
      <c r="K225" s="524">
        <f t="shared" si="89"/>
        <v>17018051065</v>
      </c>
      <c r="L225" s="524">
        <f>L4+L37+L47</f>
        <v>16326463511</v>
      </c>
      <c r="M225" s="524">
        <f>M4+M37+M47</f>
        <v>46480734557</v>
      </c>
      <c r="N225" s="524">
        <f t="shared" si="89"/>
        <v>46201069521</v>
      </c>
      <c r="O225" s="524">
        <f t="shared" si="89"/>
        <v>20006312242</v>
      </c>
      <c r="P225" s="524">
        <f t="shared" si="89"/>
        <v>20006312242</v>
      </c>
      <c r="Q225" s="524">
        <f t="shared" si="89"/>
        <v>190332268</v>
      </c>
      <c r="R225" s="524">
        <f t="shared" si="89"/>
        <v>165171837</v>
      </c>
      <c r="S225" s="524">
        <f t="shared" si="89"/>
        <v>165171837</v>
      </c>
      <c r="T225" s="524">
        <f t="shared" si="89"/>
        <v>165171837</v>
      </c>
      <c r="U225" s="524">
        <f>U4+U37+U47</f>
        <v>15693880576</v>
      </c>
      <c r="V225" s="524">
        <f>V4+V37+V47</f>
        <v>13981014005.459999</v>
      </c>
      <c r="W225" s="524">
        <f t="shared" si="89"/>
        <v>7902530787.6899996</v>
      </c>
      <c r="X225" s="524">
        <f t="shared" si="89"/>
        <v>7902530787.6899996</v>
      </c>
      <c r="Y225" s="524">
        <f>Y4+Y37+Y47</f>
        <v>91968322565</v>
      </c>
      <c r="Z225" s="524">
        <f>Z4+Z37+Z47</f>
        <v>85476044227.459991</v>
      </c>
      <c r="AA225" s="524">
        <f>AA4+AA37+AA47</f>
        <v>45092065931.689995</v>
      </c>
      <c r="AB225" s="524">
        <f>AB4+AB37+AB47</f>
        <v>44400478377.689995</v>
      </c>
      <c r="AC225" s="436"/>
    </row>
    <row r="226" spans="1:29" ht="15.75" thickTop="1" x14ac:dyDescent="0.25">
      <c r="I226" s="739" t="e">
        <f>+#REF!</f>
        <v>#REF!</v>
      </c>
      <c r="M226" s="738" t="e">
        <f>+#REF!+#REF!</f>
        <v>#REF!</v>
      </c>
      <c r="Q226" s="738" t="e">
        <f>+#REF!</f>
        <v>#REF!</v>
      </c>
      <c r="U226" s="738" t="e">
        <f>+#REF!</f>
        <v>#REF!</v>
      </c>
    </row>
    <row r="227" spans="1:29" x14ac:dyDescent="0.25">
      <c r="Y227" s="572"/>
    </row>
    <row r="228" spans="1:29" x14ac:dyDescent="0.25">
      <c r="H228" s="538"/>
      <c r="U228" s="534"/>
      <c r="V228" s="534"/>
      <c r="W228" s="534"/>
      <c r="X228" s="534"/>
      <c r="Y228" s="539"/>
    </row>
    <row r="229" spans="1:29" x14ac:dyDescent="0.25">
      <c r="H229" s="540"/>
      <c r="Y229" s="539"/>
    </row>
    <row r="230" spans="1:29" x14ac:dyDescent="0.25">
      <c r="H230" s="540"/>
    </row>
    <row r="231" spans="1:29" x14ac:dyDescent="0.25">
      <c r="H231" s="540"/>
    </row>
    <row r="232" spans="1:29" x14ac:dyDescent="0.25">
      <c r="H232" s="540"/>
      <c r="Y232" s="539"/>
    </row>
    <row r="233" spans="1:29" x14ac:dyDescent="0.25">
      <c r="H233" s="540"/>
      <c r="Y233" s="539"/>
    </row>
    <row r="234" spans="1:29" x14ac:dyDescent="0.25">
      <c r="U234" s="534"/>
      <c r="V234" s="534"/>
      <c r="W234" s="534"/>
      <c r="X234" s="534"/>
      <c r="Y234" s="539"/>
    </row>
    <row r="240" spans="1:29" x14ac:dyDescent="0.25">
      <c r="Y240" s="534"/>
    </row>
  </sheetData>
  <mergeCells count="13">
    <mergeCell ref="F2:F3"/>
    <mergeCell ref="A2:A3"/>
    <mergeCell ref="B2:B3"/>
    <mergeCell ref="C2:C3"/>
    <mergeCell ref="D2:D3"/>
    <mergeCell ref="E2:E3"/>
    <mergeCell ref="Y2:AB2"/>
    <mergeCell ref="G2:G3"/>
    <mergeCell ref="H2:H3"/>
    <mergeCell ref="I2:L2"/>
    <mergeCell ref="M2:P2"/>
    <mergeCell ref="Q2:T2"/>
    <mergeCell ref="U2:X2"/>
  </mergeCells>
  <pageMargins left="0.70866141732283472" right="0.70866141732283472" top="0.74803149606299213" bottom="0.74803149606299213" header="0.31496062992125984" footer="0.31496062992125984"/>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0"/>
  <sheetViews>
    <sheetView zoomScale="90" zoomScaleNormal="90" workbookViewId="0">
      <pane ySplit="3" topLeftCell="A149" activePane="bottomLeft" state="frozen"/>
      <selection pane="bottomLeft" activeCell="E249" sqref="A1:XFD1048576"/>
    </sheetView>
  </sheetViews>
  <sheetFormatPr baseColWidth="10" defaultRowHeight="15" x14ac:dyDescent="0.25"/>
  <cols>
    <col min="1" max="1" width="64" bestFit="1" customWidth="1"/>
    <col min="2" max="3" width="15.85546875" customWidth="1"/>
    <col min="4" max="5" width="14.42578125" customWidth="1"/>
    <col min="6" max="9" width="14.140625" customWidth="1"/>
    <col min="10" max="13" width="11.42578125" customWidth="1"/>
    <col min="14" max="14" width="19.140625" customWidth="1"/>
    <col min="15" max="15" width="14.140625" customWidth="1"/>
    <col min="16" max="17" width="12.85546875" customWidth="1"/>
    <col min="18" max="18" width="18.85546875" bestFit="1" customWidth="1"/>
    <col min="19" max="19" width="15" bestFit="1" customWidth="1"/>
    <col min="20" max="21" width="14.140625" bestFit="1" customWidth="1"/>
    <col min="22" max="22" width="22.140625" bestFit="1" customWidth="1"/>
    <col min="23" max="23" width="20.7109375" customWidth="1"/>
    <col min="24" max="24" width="16.85546875" bestFit="1" customWidth="1"/>
    <col min="25" max="25" width="18.28515625" customWidth="1"/>
    <col min="26" max="26" width="19.85546875" customWidth="1"/>
  </cols>
  <sheetData>
    <row r="1" spans="1:45" ht="15.75" thickBot="1" x14ac:dyDescent="0.3">
      <c r="A1" s="780"/>
      <c r="B1" s="781"/>
      <c r="C1" s="780"/>
      <c r="D1" s="780"/>
      <c r="E1" s="782"/>
      <c r="F1" s="782"/>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row>
    <row r="2" spans="1:45" ht="37.5" customHeight="1" thickTop="1" thickBot="1" x14ac:dyDescent="0.3">
      <c r="A2" s="1265" t="s">
        <v>722</v>
      </c>
      <c r="B2" s="1260" t="s">
        <v>723</v>
      </c>
      <c r="C2" s="1261"/>
      <c r="D2" s="1261"/>
      <c r="E2" s="1262"/>
      <c r="F2" s="1260" t="s">
        <v>724</v>
      </c>
      <c r="G2" s="1261"/>
      <c r="H2" s="1261"/>
      <c r="I2" s="1262"/>
      <c r="J2" s="1260" t="s">
        <v>725</v>
      </c>
      <c r="K2" s="1261"/>
      <c r="L2" s="1261"/>
      <c r="M2" s="1262"/>
      <c r="N2" s="1260" t="s">
        <v>726</v>
      </c>
      <c r="O2" s="1261"/>
      <c r="P2" s="1261"/>
      <c r="Q2" s="1262"/>
      <c r="R2" s="1260" t="s">
        <v>727</v>
      </c>
      <c r="S2" s="1261"/>
      <c r="T2" s="1261"/>
      <c r="U2" s="1262"/>
      <c r="V2" s="429" t="s">
        <v>728</v>
      </c>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ht="24" thickTop="1" thickBot="1" x14ac:dyDescent="0.3">
      <c r="A3" s="1266"/>
      <c r="B3" s="430" t="s">
        <v>729</v>
      </c>
      <c r="C3" s="430" t="s">
        <v>730</v>
      </c>
      <c r="D3" s="430" t="s">
        <v>731</v>
      </c>
      <c r="E3" s="430" t="s">
        <v>732</v>
      </c>
      <c r="F3" s="430" t="s">
        <v>729</v>
      </c>
      <c r="G3" s="430" t="s">
        <v>730</v>
      </c>
      <c r="H3" s="430" t="s">
        <v>731</v>
      </c>
      <c r="I3" s="430" t="s">
        <v>732</v>
      </c>
      <c r="J3" s="430" t="s">
        <v>729</v>
      </c>
      <c r="K3" s="430" t="s">
        <v>730</v>
      </c>
      <c r="L3" s="430" t="s">
        <v>731</v>
      </c>
      <c r="M3" s="430" t="s">
        <v>732</v>
      </c>
      <c r="N3" s="430" t="s">
        <v>729</v>
      </c>
      <c r="O3" s="430" t="s">
        <v>730</v>
      </c>
      <c r="P3" s="430" t="s">
        <v>731</v>
      </c>
      <c r="Q3" s="430" t="s">
        <v>732</v>
      </c>
      <c r="R3" s="430" t="s">
        <v>729</v>
      </c>
      <c r="S3" s="430" t="s">
        <v>730</v>
      </c>
      <c r="T3" s="430" t="s">
        <v>731</v>
      </c>
      <c r="U3" s="430" t="s">
        <v>733</v>
      </c>
      <c r="V3" s="43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ht="16.5" thickTop="1" thickBot="1" x14ac:dyDescent="0.3">
      <c r="A4" s="432" t="s">
        <v>736</v>
      </c>
      <c r="B4" s="783">
        <f>+B5+B6+B9+B26</f>
        <v>7918599323</v>
      </c>
      <c r="C4" s="783">
        <f>+C5+C6+C9+C26</f>
        <v>2093033422</v>
      </c>
      <c r="D4" s="783">
        <f t="shared" ref="D4:E4" si="0">+D5+D6+D9+D26</f>
        <v>1576671058</v>
      </c>
      <c r="E4" s="783">
        <f t="shared" si="0"/>
        <v>1568022530</v>
      </c>
      <c r="F4" s="784">
        <f>+F5+F6+F9+F26</f>
        <v>3064751000</v>
      </c>
      <c r="G4" s="784">
        <f>+G5+G6+G9+G26</f>
        <v>2046066745</v>
      </c>
      <c r="H4" s="784">
        <f>+H5+H6+H9+H26</f>
        <v>2031402637</v>
      </c>
      <c r="I4" s="784">
        <f>+I5+I6+I9+I26</f>
        <v>2031402637</v>
      </c>
      <c r="J4" s="784">
        <f>+J5+J6+J9+J26</f>
        <v>0</v>
      </c>
      <c r="K4" s="784">
        <f t="shared" ref="K4:M4" si="1">+K5+K6+K9+K26</f>
        <v>0</v>
      </c>
      <c r="L4" s="784">
        <f t="shared" si="1"/>
        <v>0</v>
      </c>
      <c r="M4" s="784">
        <f t="shared" si="1"/>
        <v>0</v>
      </c>
      <c r="N4" s="784">
        <f>+N5+N6+N9+N26</f>
        <v>0</v>
      </c>
      <c r="O4" s="783">
        <v>0</v>
      </c>
      <c r="P4" s="783">
        <v>0</v>
      </c>
      <c r="Q4" s="783">
        <v>0</v>
      </c>
      <c r="R4" s="785">
        <f>B4+F4+J4+N4</f>
        <v>10983350323</v>
      </c>
      <c r="S4" s="785">
        <f>C4+G4+K4+O4</f>
        <v>4139100167</v>
      </c>
      <c r="T4" s="785">
        <f t="shared" ref="T4" si="2">D4+H4+L4+P4</f>
        <v>3608073695</v>
      </c>
      <c r="U4" s="785">
        <f>E4+I4+M4+Q4</f>
        <v>3599425167</v>
      </c>
      <c r="V4" s="436"/>
      <c r="W4" s="786"/>
      <c r="X4" s="787"/>
      <c r="Y4" s="780"/>
      <c r="Z4" s="780"/>
      <c r="AA4" s="780"/>
      <c r="AB4" s="780"/>
      <c r="AC4" s="780"/>
      <c r="AD4" s="780"/>
      <c r="AE4" s="780"/>
      <c r="AF4" s="780"/>
      <c r="AG4" s="780"/>
      <c r="AH4" s="780"/>
      <c r="AI4" s="780"/>
      <c r="AJ4" s="780"/>
      <c r="AK4" s="780"/>
      <c r="AL4" s="780"/>
      <c r="AM4" s="780"/>
      <c r="AN4" s="780"/>
      <c r="AO4" s="780"/>
      <c r="AP4" s="780"/>
      <c r="AQ4" s="780"/>
      <c r="AR4" s="780"/>
      <c r="AS4" s="780"/>
    </row>
    <row r="5" spans="1:45" ht="16.5" thickTop="1" thickBot="1" x14ac:dyDescent="0.3">
      <c r="A5" s="438" t="s">
        <v>737</v>
      </c>
      <c r="B5" s="788">
        <v>4037299323</v>
      </c>
      <c r="C5" s="788">
        <v>692958425</v>
      </c>
      <c r="D5" s="788">
        <v>692259077</v>
      </c>
      <c r="E5" s="788">
        <v>692032239</v>
      </c>
      <c r="F5" s="788">
        <v>3007751000</v>
      </c>
      <c r="G5" s="788">
        <v>1996066745</v>
      </c>
      <c r="H5" s="788">
        <v>1981402637</v>
      </c>
      <c r="I5" s="788">
        <v>1981402637</v>
      </c>
      <c r="J5" s="789">
        <v>0</v>
      </c>
      <c r="K5" s="788">
        <v>0</v>
      </c>
      <c r="L5" s="788">
        <v>0</v>
      </c>
      <c r="M5" s="788">
        <v>0</v>
      </c>
      <c r="N5" s="790">
        <f t="shared" ref="N5:Q5" si="3">+N6</f>
        <v>0</v>
      </c>
      <c r="O5" s="788">
        <f t="shared" si="3"/>
        <v>0</v>
      </c>
      <c r="P5" s="788">
        <f t="shared" si="3"/>
        <v>0</v>
      </c>
      <c r="Q5" s="788">
        <f t="shared" si="3"/>
        <v>0</v>
      </c>
      <c r="R5" s="443">
        <f>B5+F5+J5+N6</f>
        <v>7045050323</v>
      </c>
      <c r="S5" s="443">
        <f>C5+G5+K5+O6</f>
        <v>2689025170</v>
      </c>
      <c r="T5" s="443">
        <f t="shared" ref="T5:U5" si="4">D5+H5+L5+P6</f>
        <v>2673661714</v>
      </c>
      <c r="U5" s="443">
        <f t="shared" si="4"/>
        <v>2673434876</v>
      </c>
      <c r="V5" s="436"/>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pans="1:45" ht="16.5" thickTop="1" thickBot="1" x14ac:dyDescent="0.3">
      <c r="A6" s="438" t="s">
        <v>739</v>
      </c>
      <c r="B6" s="788">
        <f>+B7+B8</f>
        <v>2987000000</v>
      </c>
      <c r="C6" s="788">
        <f t="shared" ref="C6:U6" si="5">+C7+C8</f>
        <v>1175782061</v>
      </c>
      <c r="D6" s="788">
        <f t="shared" si="5"/>
        <v>669195283</v>
      </c>
      <c r="E6" s="788">
        <f t="shared" si="5"/>
        <v>660773645</v>
      </c>
      <c r="F6" s="788">
        <f t="shared" si="5"/>
        <v>50000000</v>
      </c>
      <c r="G6" s="788">
        <f t="shared" si="5"/>
        <v>50000000</v>
      </c>
      <c r="H6" s="788">
        <f t="shared" si="5"/>
        <v>50000000</v>
      </c>
      <c r="I6" s="788">
        <f t="shared" si="5"/>
        <v>50000000</v>
      </c>
      <c r="J6" s="790">
        <f t="shared" si="5"/>
        <v>0</v>
      </c>
      <c r="K6" s="788">
        <f>+K7+K8</f>
        <v>0</v>
      </c>
      <c r="L6" s="788">
        <f t="shared" si="5"/>
        <v>0</v>
      </c>
      <c r="M6" s="788">
        <f t="shared" si="5"/>
        <v>0</v>
      </c>
      <c r="N6" s="790">
        <f t="shared" si="5"/>
        <v>0</v>
      </c>
      <c r="O6" s="788">
        <f t="shared" si="5"/>
        <v>0</v>
      </c>
      <c r="P6" s="788">
        <f t="shared" si="5"/>
        <v>0</v>
      </c>
      <c r="Q6" s="788">
        <f t="shared" si="5"/>
        <v>0</v>
      </c>
      <c r="R6" s="443">
        <f t="shared" si="5"/>
        <v>3037000000</v>
      </c>
      <c r="S6" s="443">
        <f t="shared" si="5"/>
        <v>1225782061</v>
      </c>
      <c r="T6" s="443">
        <f t="shared" si="5"/>
        <v>719195283</v>
      </c>
      <c r="U6" s="443">
        <f t="shared" si="5"/>
        <v>710773645</v>
      </c>
      <c r="V6" s="436"/>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pans="1:45" ht="16.5" thickTop="1" thickBot="1" x14ac:dyDescent="0.3">
      <c r="A7" s="447" t="s">
        <v>740</v>
      </c>
      <c r="B7" s="791">
        <v>32000000</v>
      </c>
      <c r="C7" s="792">
        <v>0</v>
      </c>
      <c r="D7" s="792">
        <v>0</v>
      </c>
      <c r="E7" s="792">
        <v>0</v>
      </c>
      <c r="F7" s="792"/>
      <c r="G7" s="792"/>
      <c r="H7" s="792"/>
      <c r="I7" s="792"/>
      <c r="J7" s="792"/>
      <c r="K7" s="792"/>
      <c r="L7" s="792"/>
      <c r="M7" s="792"/>
      <c r="N7" s="792"/>
      <c r="O7" s="792"/>
      <c r="P7" s="792"/>
      <c r="Q7" s="792"/>
      <c r="R7" s="213">
        <f t="shared" ref="R7:U24" si="6">+B7+F7+J7+N7</f>
        <v>32000000</v>
      </c>
      <c r="S7" s="213">
        <f t="shared" si="6"/>
        <v>0</v>
      </c>
      <c r="T7" s="213">
        <f t="shared" si="6"/>
        <v>0</v>
      </c>
      <c r="U7" s="213">
        <f t="shared" si="6"/>
        <v>0</v>
      </c>
      <c r="V7" s="436"/>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pans="1:45" ht="16.5" thickTop="1" thickBot="1" x14ac:dyDescent="0.3">
      <c r="A8" s="447" t="s">
        <v>741</v>
      </c>
      <c r="B8" s="791">
        <v>2955000000</v>
      </c>
      <c r="C8" s="791">
        <v>1175782061</v>
      </c>
      <c r="D8" s="791">
        <v>669195283</v>
      </c>
      <c r="E8" s="791">
        <v>660773645</v>
      </c>
      <c r="F8" s="791">
        <v>50000000</v>
      </c>
      <c r="G8" s="791">
        <v>50000000</v>
      </c>
      <c r="H8" s="791">
        <v>50000000</v>
      </c>
      <c r="I8" s="791">
        <v>50000000</v>
      </c>
      <c r="J8" s="789">
        <v>0</v>
      </c>
      <c r="K8" s="789">
        <v>0</v>
      </c>
      <c r="L8" s="789">
        <v>0</v>
      </c>
      <c r="M8" s="789">
        <v>0</v>
      </c>
      <c r="N8" s="792"/>
      <c r="O8" s="792"/>
      <c r="P8" s="792"/>
      <c r="Q8" s="792"/>
      <c r="R8" s="463">
        <f t="shared" si="6"/>
        <v>3005000000</v>
      </c>
      <c r="S8" s="463">
        <f t="shared" si="6"/>
        <v>1225782061</v>
      </c>
      <c r="T8" s="463">
        <f t="shared" si="6"/>
        <v>719195283</v>
      </c>
      <c r="U8" s="463">
        <f t="shared" si="6"/>
        <v>710773645</v>
      </c>
      <c r="V8" s="436"/>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pans="1:45" ht="16.5" thickTop="1" thickBot="1" x14ac:dyDescent="0.3">
      <c r="A9" s="438" t="s">
        <v>743</v>
      </c>
      <c r="B9" s="791">
        <f>+B10+B12+B19+B23</f>
        <v>697000000</v>
      </c>
      <c r="C9" s="791">
        <f t="shared" ref="C9:E9" si="7">+C10+C12+C19+C23</f>
        <v>182295860</v>
      </c>
      <c r="D9" s="791">
        <f t="shared" si="7"/>
        <v>182295860</v>
      </c>
      <c r="E9" s="791">
        <f t="shared" si="7"/>
        <v>182295860</v>
      </c>
      <c r="F9" s="788">
        <f>+F12+F19+F23</f>
        <v>0</v>
      </c>
      <c r="G9" s="788">
        <f t="shared" ref="G9:Q9" si="8">+G12+G19+G23</f>
        <v>0</v>
      </c>
      <c r="H9" s="788">
        <f t="shared" si="8"/>
        <v>0</v>
      </c>
      <c r="I9" s="788">
        <f t="shared" si="8"/>
        <v>0</v>
      </c>
      <c r="J9" s="788">
        <f t="shared" si="8"/>
        <v>0</v>
      </c>
      <c r="K9" s="788">
        <f>+K12+K19+K23</f>
        <v>0</v>
      </c>
      <c r="L9" s="788">
        <f t="shared" si="8"/>
        <v>0</v>
      </c>
      <c r="M9" s="788">
        <f t="shared" si="8"/>
        <v>0</v>
      </c>
      <c r="N9" s="788">
        <f t="shared" si="8"/>
        <v>0</v>
      </c>
      <c r="O9" s="788">
        <f t="shared" si="8"/>
        <v>0</v>
      </c>
      <c r="P9" s="788">
        <f t="shared" si="8"/>
        <v>0</v>
      </c>
      <c r="Q9" s="788">
        <f t="shared" si="8"/>
        <v>0</v>
      </c>
      <c r="R9" s="453">
        <f>+R12+R19+R23+R10</f>
        <v>697000000</v>
      </c>
      <c r="S9" s="453">
        <f>+S12+S19+S23+S10</f>
        <v>182295860</v>
      </c>
      <c r="T9" s="453">
        <f t="shared" ref="T9" si="9">+T12+T19+T23+T10</f>
        <v>182295860</v>
      </c>
      <c r="U9" s="453">
        <f>+U12+U19+U23+U10</f>
        <v>182295860</v>
      </c>
      <c r="V9" s="436"/>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ht="16.5" thickTop="1" thickBot="1" x14ac:dyDescent="0.3">
      <c r="A10" s="457" t="s">
        <v>1719</v>
      </c>
      <c r="B10" s="791">
        <f>+B11</f>
        <v>12000000</v>
      </c>
      <c r="C10" s="788">
        <f t="shared" ref="C10:E10" si="10">+C11</f>
        <v>12000000</v>
      </c>
      <c r="D10" s="788">
        <f t="shared" si="10"/>
        <v>12000000</v>
      </c>
      <c r="E10" s="788">
        <f t="shared" si="10"/>
        <v>12000000</v>
      </c>
      <c r="F10" s="788"/>
      <c r="G10" s="788"/>
      <c r="H10" s="788"/>
      <c r="I10" s="788"/>
      <c r="J10" s="788"/>
      <c r="K10" s="788"/>
      <c r="L10" s="788"/>
      <c r="M10" s="788"/>
      <c r="N10" s="788"/>
      <c r="O10" s="788"/>
      <c r="P10" s="788"/>
      <c r="Q10" s="788"/>
      <c r="R10" s="453">
        <f>+B10+F10+J10+N10</f>
        <v>12000000</v>
      </c>
      <c r="S10" s="453">
        <f t="shared" ref="S10:U11" si="11">+C10+G10+K10+O10</f>
        <v>12000000</v>
      </c>
      <c r="T10" s="453">
        <f t="shared" si="11"/>
        <v>12000000</v>
      </c>
      <c r="U10" s="453">
        <f t="shared" si="11"/>
        <v>12000000</v>
      </c>
      <c r="V10" s="436"/>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ht="16.5" thickTop="1" thickBot="1" x14ac:dyDescent="0.3">
      <c r="A11" s="447" t="s">
        <v>1720</v>
      </c>
      <c r="B11" s="794">
        <v>12000000</v>
      </c>
      <c r="C11" s="794">
        <v>12000000</v>
      </c>
      <c r="D11" s="794">
        <v>12000000</v>
      </c>
      <c r="E11" s="794">
        <v>12000000</v>
      </c>
      <c r="F11" s="788"/>
      <c r="G11" s="788"/>
      <c r="H11" s="788"/>
      <c r="I11" s="788"/>
      <c r="J11" s="788"/>
      <c r="K11" s="788"/>
      <c r="L11" s="788"/>
      <c r="M11" s="788"/>
      <c r="N11" s="788"/>
      <c r="O11" s="788"/>
      <c r="P11" s="788"/>
      <c r="Q11" s="788"/>
      <c r="R11" s="453">
        <f>+B11+F11+J11+N11</f>
        <v>12000000</v>
      </c>
      <c r="S11" s="453">
        <f t="shared" si="11"/>
        <v>12000000</v>
      </c>
      <c r="T11" s="453">
        <f t="shared" si="11"/>
        <v>12000000</v>
      </c>
      <c r="U11" s="453">
        <f t="shared" si="11"/>
        <v>12000000</v>
      </c>
      <c r="V11" s="436"/>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ht="16.5" thickTop="1" thickBot="1" x14ac:dyDescent="0.3">
      <c r="A12" s="457" t="s">
        <v>744</v>
      </c>
      <c r="B12" s="791">
        <f>+B13+B17</f>
        <v>665000000</v>
      </c>
      <c r="C12" s="795">
        <f t="shared" ref="C12:Q12" si="12">+C13+C17</f>
        <v>170295860</v>
      </c>
      <c r="D12" s="795">
        <f t="shared" si="12"/>
        <v>170295860</v>
      </c>
      <c r="E12" s="795">
        <f t="shared" si="12"/>
        <v>170295860</v>
      </c>
      <c r="F12" s="795">
        <f t="shared" si="12"/>
        <v>0</v>
      </c>
      <c r="G12" s="795">
        <f t="shared" si="12"/>
        <v>0</v>
      </c>
      <c r="H12" s="795">
        <f t="shared" si="12"/>
        <v>0</v>
      </c>
      <c r="I12" s="795">
        <f t="shared" si="12"/>
        <v>0</v>
      </c>
      <c r="J12" s="795">
        <f t="shared" si="12"/>
        <v>0</v>
      </c>
      <c r="K12" s="795">
        <f t="shared" si="12"/>
        <v>0</v>
      </c>
      <c r="L12" s="795">
        <f t="shared" si="12"/>
        <v>0</v>
      </c>
      <c r="M12" s="795">
        <f t="shared" si="12"/>
        <v>0</v>
      </c>
      <c r="N12" s="795">
        <f t="shared" si="12"/>
        <v>0</v>
      </c>
      <c r="O12" s="795">
        <f t="shared" si="12"/>
        <v>0</v>
      </c>
      <c r="P12" s="795">
        <f t="shared" si="12"/>
        <v>0</v>
      </c>
      <c r="Q12" s="795">
        <f t="shared" si="12"/>
        <v>0</v>
      </c>
      <c r="R12" s="460">
        <f>+B12+F12+J12+N12</f>
        <v>665000000</v>
      </c>
      <c r="S12" s="460">
        <f t="shared" si="6"/>
        <v>170295860</v>
      </c>
      <c r="T12" s="460">
        <f t="shared" si="6"/>
        <v>170295860</v>
      </c>
      <c r="U12" s="460">
        <f t="shared" si="6"/>
        <v>170295860</v>
      </c>
      <c r="V12" s="436"/>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ht="16.5" thickTop="1" thickBot="1" x14ac:dyDescent="0.3">
      <c r="A13" s="447" t="s">
        <v>745</v>
      </c>
      <c r="B13" s="794">
        <f>+B14</f>
        <v>665000000</v>
      </c>
      <c r="C13" s="789">
        <f>+C14</f>
        <v>170295860</v>
      </c>
      <c r="D13" s="789">
        <f t="shared" ref="D13:Q13" si="13">+D14</f>
        <v>170295860</v>
      </c>
      <c r="E13" s="789">
        <f t="shared" si="13"/>
        <v>170295860</v>
      </c>
      <c r="F13" s="792">
        <f t="shared" si="13"/>
        <v>0</v>
      </c>
      <c r="G13" s="792">
        <f t="shared" si="13"/>
        <v>0</v>
      </c>
      <c r="H13" s="792">
        <f t="shared" si="13"/>
        <v>0</v>
      </c>
      <c r="I13" s="792">
        <f t="shared" si="13"/>
        <v>0</v>
      </c>
      <c r="J13" s="792">
        <f t="shared" si="13"/>
        <v>0</v>
      </c>
      <c r="K13" s="792">
        <f t="shared" si="13"/>
        <v>0</v>
      </c>
      <c r="L13" s="792">
        <f t="shared" si="13"/>
        <v>0</v>
      </c>
      <c r="M13" s="792">
        <f t="shared" si="13"/>
        <v>0</v>
      </c>
      <c r="N13" s="792">
        <f t="shared" si="13"/>
        <v>0</v>
      </c>
      <c r="O13" s="792">
        <f t="shared" si="13"/>
        <v>0</v>
      </c>
      <c r="P13" s="792">
        <f t="shared" si="13"/>
        <v>0</v>
      </c>
      <c r="Q13" s="792">
        <f t="shared" si="13"/>
        <v>0</v>
      </c>
      <c r="R13" s="792">
        <f t="shared" si="6"/>
        <v>665000000</v>
      </c>
      <c r="S13" s="796">
        <f t="shared" si="6"/>
        <v>170295860</v>
      </c>
      <c r="T13" s="796">
        <f>+D13+H13+L13+P13</f>
        <v>170295860</v>
      </c>
      <c r="U13" s="463">
        <f t="shared" si="6"/>
        <v>170295860</v>
      </c>
      <c r="V13" s="436"/>
      <c r="W13" s="797"/>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ht="16.5" thickTop="1" thickBot="1" x14ac:dyDescent="0.3">
      <c r="A14" s="447" t="s">
        <v>746</v>
      </c>
      <c r="B14" s="794">
        <v>665000000</v>
      </c>
      <c r="C14" s="789">
        <v>170295860</v>
      </c>
      <c r="D14" s="789">
        <v>170295860</v>
      </c>
      <c r="E14" s="789">
        <v>170295860</v>
      </c>
      <c r="F14" s="792">
        <f t="shared" ref="F14:Q14" si="14">+F15+F16</f>
        <v>0</v>
      </c>
      <c r="G14" s="792">
        <f t="shared" si="14"/>
        <v>0</v>
      </c>
      <c r="H14" s="792">
        <f t="shared" si="14"/>
        <v>0</v>
      </c>
      <c r="I14" s="792">
        <f t="shared" si="14"/>
        <v>0</v>
      </c>
      <c r="J14" s="792">
        <f>+J15+J16</f>
        <v>0</v>
      </c>
      <c r="K14" s="792">
        <f t="shared" si="14"/>
        <v>0</v>
      </c>
      <c r="L14" s="792">
        <f t="shared" si="14"/>
        <v>0</v>
      </c>
      <c r="M14" s="792">
        <f t="shared" si="14"/>
        <v>0</v>
      </c>
      <c r="N14" s="792">
        <f t="shared" si="14"/>
        <v>0</v>
      </c>
      <c r="O14" s="792">
        <f t="shared" si="14"/>
        <v>0</v>
      </c>
      <c r="P14" s="792">
        <f t="shared" si="14"/>
        <v>0</v>
      </c>
      <c r="Q14" s="792">
        <f t="shared" si="14"/>
        <v>0</v>
      </c>
      <c r="R14" s="796">
        <f t="shared" si="6"/>
        <v>665000000</v>
      </c>
      <c r="S14" s="796">
        <f t="shared" si="6"/>
        <v>170295860</v>
      </c>
      <c r="T14" s="796">
        <f t="shared" si="6"/>
        <v>170295860</v>
      </c>
      <c r="U14" s="463">
        <f t="shared" si="6"/>
        <v>170295860</v>
      </c>
      <c r="V14" s="436"/>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pans="1:45" ht="16.5" thickTop="1" thickBot="1" x14ac:dyDescent="0.3">
      <c r="A15" s="447" t="s">
        <v>747</v>
      </c>
      <c r="B15" s="794"/>
      <c r="C15" s="792"/>
      <c r="D15" s="792"/>
      <c r="E15" s="792"/>
      <c r="F15" s="792"/>
      <c r="G15" s="792"/>
      <c r="H15" s="792"/>
      <c r="I15" s="792"/>
      <c r="J15" s="792"/>
      <c r="K15" s="792"/>
      <c r="L15" s="792"/>
      <c r="M15" s="792"/>
      <c r="N15" s="792"/>
      <c r="O15" s="792"/>
      <c r="P15" s="792"/>
      <c r="Q15" s="792"/>
      <c r="R15" s="792">
        <f t="shared" si="6"/>
        <v>0</v>
      </c>
      <c r="S15" s="792">
        <f t="shared" si="6"/>
        <v>0</v>
      </c>
      <c r="T15" s="792">
        <f t="shared" si="6"/>
        <v>0</v>
      </c>
      <c r="U15" s="213">
        <f t="shared" si="6"/>
        <v>0</v>
      </c>
      <c r="V15" s="436"/>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pans="1:45" ht="16.5" thickTop="1" thickBot="1" x14ac:dyDescent="0.3">
      <c r="A16" s="447" t="s">
        <v>748</v>
      </c>
      <c r="B16" s="794"/>
      <c r="C16" s="792"/>
      <c r="D16" s="792"/>
      <c r="E16" s="792"/>
      <c r="F16" s="792"/>
      <c r="G16" s="792"/>
      <c r="H16" s="792"/>
      <c r="I16" s="792"/>
      <c r="J16" s="792"/>
      <c r="K16" s="792"/>
      <c r="L16" s="792"/>
      <c r="M16" s="792"/>
      <c r="N16" s="792"/>
      <c r="O16" s="792"/>
      <c r="P16" s="792"/>
      <c r="Q16" s="792"/>
      <c r="R16" s="792">
        <f t="shared" si="6"/>
        <v>0</v>
      </c>
      <c r="S16" s="792">
        <f t="shared" si="6"/>
        <v>0</v>
      </c>
      <c r="T16" s="792">
        <f t="shared" si="6"/>
        <v>0</v>
      </c>
      <c r="U16" s="213">
        <f t="shared" si="6"/>
        <v>0</v>
      </c>
      <c r="V16" s="436"/>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pans="1:45" ht="16.5" thickTop="1" thickBot="1" x14ac:dyDescent="0.3">
      <c r="A17" s="447" t="s">
        <v>749</v>
      </c>
      <c r="B17" s="794">
        <f>+B18</f>
        <v>0</v>
      </c>
      <c r="C17" s="792">
        <f t="shared" ref="C17:Q17" si="15">+C18</f>
        <v>0</v>
      </c>
      <c r="D17" s="792">
        <f t="shared" si="15"/>
        <v>0</v>
      </c>
      <c r="E17" s="792">
        <f t="shared" si="15"/>
        <v>0</v>
      </c>
      <c r="F17" s="792">
        <f t="shared" si="15"/>
        <v>0</v>
      </c>
      <c r="G17" s="792">
        <f t="shared" si="15"/>
        <v>0</v>
      </c>
      <c r="H17" s="792">
        <f t="shared" si="15"/>
        <v>0</v>
      </c>
      <c r="I17" s="792">
        <f t="shared" si="15"/>
        <v>0</v>
      </c>
      <c r="J17" s="792">
        <f t="shared" si="15"/>
        <v>0</v>
      </c>
      <c r="K17" s="792">
        <f t="shared" si="15"/>
        <v>0</v>
      </c>
      <c r="L17" s="792">
        <f t="shared" si="15"/>
        <v>0</v>
      </c>
      <c r="M17" s="792">
        <f t="shared" si="15"/>
        <v>0</v>
      </c>
      <c r="N17" s="792">
        <f t="shared" si="15"/>
        <v>0</v>
      </c>
      <c r="O17" s="792">
        <f t="shared" si="15"/>
        <v>0</v>
      </c>
      <c r="P17" s="792">
        <f t="shared" si="15"/>
        <v>0</v>
      </c>
      <c r="Q17" s="792">
        <f t="shared" si="15"/>
        <v>0</v>
      </c>
      <c r="R17" s="792">
        <f t="shared" si="6"/>
        <v>0</v>
      </c>
      <c r="S17" s="792">
        <f t="shared" si="6"/>
        <v>0</v>
      </c>
      <c r="T17" s="792">
        <f t="shared" si="6"/>
        <v>0</v>
      </c>
      <c r="U17" s="213">
        <f t="shared" si="6"/>
        <v>0</v>
      </c>
      <c r="V17" s="436"/>
      <c r="W17" s="780"/>
      <c r="X17" s="780"/>
      <c r="Y17" s="780"/>
      <c r="Z17" s="780"/>
      <c r="AA17" s="780"/>
      <c r="AB17" s="780"/>
      <c r="AC17" s="780"/>
      <c r="AD17" s="780"/>
      <c r="AE17" s="780"/>
      <c r="AF17" s="780"/>
      <c r="AG17" s="780"/>
      <c r="AH17" s="780"/>
      <c r="AI17" s="780"/>
      <c r="AJ17" s="780"/>
      <c r="AK17" s="780"/>
      <c r="AL17" s="780"/>
      <c r="AM17" s="780"/>
      <c r="AN17" s="780"/>
      <c r="AO17" s="780"/>
      <c r="AP17" s="780"/>
      <c r="AQ17" s="780"/>
      <c r="AR17" s="780"/>
      <c r="AS17" s="780"/>
    </row>
    <row r="18" spans="1:45" ht="16.5" thickTop="1" thickBot="1" x14ac:dyDescent="0.3">
      <c r="A18" s="447" t="s">
        <v>750</v>
      </c>
      <c r="B18" s="794"/>
      <c r="C18" s="792"/>
      <c r="D18" s="792"/>
      <c r="E18" s="792"/>
      <c r="F18" s="792"/>
      <c r="G18" s="792"/>
      <c r="H18" s="792"/>
      <c r="I18" s="792"/>
      <c r="J18" s="792"/>
      <c r="K18" s="792"/>
      <c r="L18" s="792"/>
      <c r="M18" s="792"/>
      <c r="N18" s="792"/>
      <c r="O18" s="792"/>
      <c r="P18" s="792"/>
      <c r="Q18" s="792"/>
      <c r="R18" s="792">
        <f t="shared" si="6"/>
        <v>0</v>
      </c>
      <c r="S18" s="792">
        <f t="shared" si="6"/>
        <v>0</v>
      </c>
      <c r="T18" s="792">
        <f t="shared" si="6"/>
        <v>0</v>
      </c>
      <c r="U18" s="213">
        <f t="shared" si="6"/>
        <v>0</v>
      </c>
      <c r="V18" s="436"/>
      <c r="W18" s="780"/>
      <c r="X18" s="780"/>
      <c r="Y18" s="780"/>
      <c r="Z18" s="780"/>
      <c r="AA18" s="780"/>
      <c r="AB18" s="780"/>
      <c r="AC18" s="780"/>
      <c r="AD18" s="780"/>
      <c r="AE18" s="780"/>
      <c r="AF18" s="780"/>
      <c r="AG18" s="780"/>
      <c r="AH18" s="780"/>
      <c r="AI18" s="780"/>
      <c r="AJ18" s="780"/>
      <c r="AK18" s="780"/>
      <c r="AL18" s="780"/>
      <c r="AM18" s="780"/>
      <c r="AN18" s="780"/>
      <c r="AO18" s="780"/>
      <c r="AP18" s="780"/>
      <c r="AQ18" s="780"/>
      <c r="AR18" s="780"/>
      <c r="AS18" s="780"/>
    </row>
    <row r="19" spans="1:45" ht="16.5" thickTop="1" thickBot="1" x14ac:dyDescent="0.3">
      <c r="A19" s="457" t="s">
        <v>751</v>
      </c>
      <c r="B19" s="791">
        <f>+B20</f>
        <v>0</v>
      </c>
      <c r="C19" s="795">
        <f t="shared" ref="C19:Q19" si="16">+C20</f>
        <v>0</v>
      </c>
      <c r="D19" s="795">
        <f t="shared" si="16"/>
        <v>0</v>
      </c>
      <c r="E19" s="795">
        <f t="shared" si="16"/>
        <v>0</v>
      </c>
      <c r="F19" s="795">
        <f t="shared" si="16"/>
        <v>0</v>
      </c>
      <c r="G19" s="795">
        <f t="shared" si="16"/>
        <v>0</v>
      </c>
      <c r="H19" s="795">
        <f t="shared" si="16"/>
        <v>0</v>
      </c>
      <c r="I19" s="795">
        <f t="shared" si="16"/>
        <v>0</v>
      </c>
      <c r="J19" s="795">
        <f t="shared" si="16"/>
        <v>0</v>
      </c>
      <c r="K19" s="795">
        <f t="shared" si="16"/>
        <v>0</v>
      </c>
      <c r="L19" s="795">
        <f t="shared" si="16"/>
        <v>0</v>
      </c>
      <c r="M19" s="795">
        <f t="shared" si="16"/>
        <v>0</v>
      </c>
      <c r="N19" s="795">
        <f t="shared" si="16"/>
        <v>0</v>
      </c>
      <c r="O19" s="795">
        <f t="shared" si="16"/>
        <v>0</v>
      </c>
      <c r="P19" s="795">
        <f t="shared" si="16"/>
        <v>0</v>
      </c>
      <c r="Q19" s="795">
        <f t="shared" si="16"/>
        <v>0</v>
      </c>
      <c r="R19" s="795">
        <f t="shared" si="6"/>
        <v>0</v>
      </c>
      <c r="S19" s="795">
        <f t="shared" si="6"/>
        <v>0</v>
      </c>
      <c r="T19" s="795">
        <f t="shared" si="6"/>
        <v>0</v>
      </c>
      <c r="U19" s="465">
        <f t="shared" si="6"/>
        <v>0</v>
      </c>
      <c r="V19" s="436"/>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93"/>
    </row>
    <row r="20" spans="1:45" ht="16.5" thickTop="1" thickBot="1" x14ac:dyDescent="0.3">
      <c r="A20" s="447" t="s">
        <v>752</v>
      </c>
      <c r="B20" s="794">
        <f>+B21+B22</f>
        <v>0</v>
      </c>
      <c r="C20" s="792">
        <f t="shared" ref="C20:Q20" si="17">+C21+C22</f>
        <v>0</v>
      </c>
      <c r="D20" s="792">
        <f t="shared" si="17"/>
        <v>0</v>
      </c>
      <c r="E20" s="792">
        <f t="shared" si="17"/>
        <v>0</v>
      </c>
      <c r="F20" s="792">
        <f t="shared" si="17"/>
        <v>0</v>
      </c>
      <c r="G20" s="792">
        <f t="shared" si="17"/>
        <v>0</v>
      </c>
      <c r="H20" s="792">
        <f t="shared" si="17"/>
        <v>0</v>
      </c>
      <c r="I20" s="792">
        <f t="shared" si="17"/>
        <v>0</v>
      </c>
      <c r="J20" s="792">
        <f t="shared" si="17"/>
        <v>0</v>
      </c>
      <c r="K20" s="792">
        <f>+K21+K22</f>
        <v>0</v>
      </c>
      <c r="L20" s="792">
        <f t="shared" si="17"/>
        <v>0</v>
      </c>
      <c r="M20" s="792">
        <f t="shared" si="17"/>
        <v>0</v>
      </c>
      <c r="N20" s="792">
        <f t="shared" si="17"/>
        <v>0</v>
      </c>
      <c r="O20" s="792">
        <f t="shared" si="17"/>
        <v>0</v>
      </c>
      <c r="P20" s="792">
        <f t="shared" si="17"/>
        <v>0</v>
      </c>
      <c r="Q20" s="792">
        <f t="shared" si="17"/>
        <v>0</v>
      </c>
      <c r="R20" s="792">
        <f t="shared" si="6"/>
        <v>0</v>
      </c>
      <c r="S20" s="792">
        <f t="shared" si="6"/>
        <v>0</v>
      </c>
      <c r="T20" s="792">
        <f t="shared" si="6"/>
        <v>0</v>
      </c>
      <c r="U20" s="213">
        <f t="shared" si="6"/>
        <v>0</v>
      </c>
      <c r="V20" s="436"/>
      <c r="W20" s="780"/>
      <c r="X20" s="780"/>
      <c r="Y20" s="780"/>
      <c r="Z20" s="780"/>
      <c r="AA20" s="780"/>
      <c r="AB20" s="780"/>
      <c r="AC20" s="780"/>
      <c r="AD20" s="780"/>
      <c r="AE20" s="780"/>
      <c r="AF20" s="780"/>
      <c r="AG20" s="780"/>
      <c r="AH20" s="780"/>
      <c r="AI20" s="780"/>
      <c r="AJ20" s="780"/>
      <c r="AK20" s="780"/>
      <c r="AL20" s="780"/>
      <c r="AM20" s="780"/>
      <c r="AN20" s="780"/>
      <c r="AO20" s="780"/>
      <c r="AP20" s="780"/>
      <c r="AQ20" s="780"/>
      <c r="AR20" s="780"/>
      <c r="AS20" s="780"/>
    </row>
    <row r="21" spans="1:45" ht="16.5" thickTop="1" thickBot="1" x14ac:dyDescent="0.3">
      <c r="A21" s="447" t="s">
        <v>753</v>
      </c>
      <c r="B21" s="794">
        <v>0</v>
      </c>
      <c r="C21" s="792"/>
      <c r="D21" s="792"/>
      <c r="E21" s="792"/>
      <c r="F21" s="792"/>
      <c r="G21" s="792"/>
      <c r="H21" s="792"/>
      <c r="I21" s="792"/>
      <c r="J21" s="792"/>
      <c r="K21" s="792"/>
      <c r="L21" s="792"/>
      <c r="M21" s="792"/>
      <c r="N21" s="792"/>
      <c r="O21" s="792"/>
      <c r="P21" s="792"/>
      <c r="Q21" s="792"/>
      <c r="R21" s="792">
        <f t="shared" si="6"/>
        <v>0</v>
      </c>
      <c r="S21" s="792">
        <f t="shared" si="6"/>
        <v>0</v>
      </c>
      <c r="T21" s="792">
        <f t="shared" si="6"/>
        <v>0</v>
      </c>
      <c r="U21" s="213">
        <f t="shared" si="6"/>
        <v>0</v>
      </c>
      <c r="V21" s="436"/>
      <c r="W21" s="780"/>
      <c r="X21" s="780"/>
      <c r="Y21" s="780"/>
      <c r="Z21" s="780"/>
      <c r="AA21" s="780"/>
      <c r="AB21" s="780"/>
      <c r="AC21" s="780"/>
      <c r="AD21" s="780"/>
      <c r="AE21" s="780"/>
      <c r="AF21" s="780"/>
      <c r="AG21" s="780"/>
      <c r="AH21" s="780"/>
      <c r="AI21" s="780"/>
      <c r="AJ21" s="780"/>
      <c r="AK21" s="780"/>
      <c r="AL21" s="780"/>
      <c r="AM21" s="780"/>
      <c r="AN21" s="780"/>
      <c r="AO21" s="780"/>
      <c r="AP21" s="780"/>
      <c r="AQ21" s="780"/>
      <c r="AR21" s="780"/>
      <c r="AS21" s="780"/>
    </row>
    <row r="22" spans="1:45" ht="16.5" thickTop="1" thickBot="1" x14ac:dyDescent="0.3">
      <c r="A22" s="447" t="s">
        <v>754</v>
      </c>
      <c r="B22" s="794">
        <v>0</v>
      </c>
      <c r="C22" s="792"/>
      <c r="D22" s="792"/>
      <c r="E22" s="792"/>
      <c r="F22" s="792"/>
      <c r="G22" s="792"/>
      <c r="H22" s="792"/>
      <c r="I22" s="792"/>
      <c r="J22" s="792"/>
      <c r="K22" s="792"/>
      <c r="L22" s="792"/>
      <c r="M22" s="792"/>
      <c r="N22" s="792"/>
      <c r="O22" s="792"/>
      <c r="P22" s="792"/>
      <c r="Q22" s="792"/>
      <c r="R22" s="792">
        <f t="shared" si="6"/>
        <v>0</v>
      </c>
      <c r="S22" s="792">
        <f t="shared" si="6"/>
        <v>0</v>
      </c>
      <c r="T22" s="792">
        <f t="shared" si="6"/>
        <v>0</v>
      </c>
      <c r="U22" s="213">
        <f t="shared" si="6"/>
        <v>0</v>
      </c>
      <c r="V22" s="436"/>
      <c r="W22" s="780"/>
      <c r="X22" s="780"/>
      <c r="Y22" s="780"/>
      <c r="Z22" s="780"/>
      <c r="AA22" s="780"/>
      <c r="AB22" s="780"/>
      <c r="AC22" s="780"/>
      <c r="AD22" s="780"/>
      <c r="AE22" s="780"/>
      <c r="AF22" s="780"/>
      <c r="AG22" s="780"/>
      <c r="AH22" s="780"/>
      <c r="AI22" s="780"/>
      <c r="AJ22" s="780"/>
      <c r="AK22" s="780"/>
      <c r="AL22" s="780"/>
      <c r="AM22" s="780"/>
      <c r="AN22" s="780"/>
      <c r="AO22" s="780"/>
      <c r="AP22" s="780"/>
      <c r="AQ22" s="780"/>
      <c r="AR22" s="780"/>
      <c r="AS22" s="780"/>
    </row>
    <row r="23" spans="1:45" ht="16.5" thickTop="1" thickBot="1" x14ac:dyDescent="0.3">
      <c r="A23" s="457" t="s">
        <v>755</v>
      </c>
      <c r="B23" s="791">
        <f>+B24+B25</f>
        <v>20000000</v>
      </c>
      <c r="C23" s="799">
        <f>+C24+C25</f>
        <v>0</v>
      </c>
      <c r="D23" s="799">
        <f>+D24+D25</f>
        <v>0</v>
      </c>
      <c r="E23" s="799">
        <f t="shared" ref="E23:U23" si="18">+E24+E25</f>
        <v>0</v>
      </c>
      <c r="F23" s="799">
        <f t="shared" si="18"/>
        <v>0</v>
      </c>
      <c r="G23" s="799">
        <f t="shared" si="18"/>
        <v>0</v>
      </c>
      <c r="H23" s="799">
        <f t="shared" si="18"/>
        <v>0</v>
      </c>
      <c r="I23" s="799">
        <f t="shared" si="18"/>
        <v>0</v>
      </c>
      <c r="J23" s="799">
        <f t="shared" si="18"/>
        <v>0</v>
      </c>
      <c r="K23" s="799">
        <f>+K24+K25</f>
        <v>0</v>
      </c>
      <c r="L23" s="799">
        <f t="shared" si="18"/>
        <v>0</v>
      </c>
      <c r="M23" s="799">
        <f t="shared" si="18"/>
        <v>0</v>
      </c>
      <c r="N23" s="799">
        <f t="shared" si="18"/>
        <v>0</v>
      </c>
      <c r="O23" s="799">
        <f t="shared" si="18"/>
        <v>0</v>
      </c>
      <c r="P23" s="799">
        <f t="shared" si="18"/>
        <v>0</v>
      </c>
      <c r="Q23" s="799">
        <f t="shared" si="18"/>
        <v>0</v>
      </c>
      <c r="R23" s="799">
        <f t="shared" si="18"/>
        <v>20000000</v>
      </c>
      <c r="S23" s="799">
        <f t="shared" si="18"/>
        <v>0</v>
      </c>
      <c r="T23" s="799">
        <f t="shared" si="18"/>
        <v>0</v>
      </c>
      <c r="U23" s="467">
        <f t="shared" si="18"/>
        <v>0</v>
      </c>
      <c r="V23" s="436"/>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ht="16.5" thickTop="1" thickBot="1" x14ac:dyDescent="0.3">
      <c r="A24" s="447" t="s">
        <v>756</v>
      </c>
      <c r="B24" s="794">
        <v>0</v>
      </c>
      <c r="C24" s="789">
        <v>0</v>
      </c>
      <c r="D24" s="789">
        <v>0</v>
      </c>
      <c r="E24" s="789">
        <v>0</v>
      </c>
      <c r="F24" s="792"/>
      <c r="G24" s="792"/>
      <c r="H24" s="792"/>
      <c r="I24" s="792"/>
      <c r="J24" s="792"/>
      <c r="K24" s="792"/>
      <c r="L24" s="792"/>
      <c r="M24" s="792"/>
      <c r="N24" s="792"/>
      <c r="O24" s="792"/>
      <c r="P24" s="792"/>
      <c r="Q24" s="792"/>
      <c r="R24" s="792">
        <f t="shared" si="6"/>
        <v>0</v>
      </c>
      <c r="S24" s="792">
        <f t="shared" si="6"/>
        <v>0</v>
      </c>
      <c r="T24" s="792">
        <f t="shared" si="6"/>
        <v>0</v>
      </c>
      <c r="U24" s="213">
        <f t="shared" si="6"/>
        <v>0</v>
      </c>
      <c r="V24" s="436"/>
      <c r="W24" s="780"/>
      <c r="X24" s="780"/>
      <c r="Y24" s="780"/>
      <c r="Z24" s="780"/>
      <c r="AA24" s="780"/>
      <c r="AB24" s="780"/>
      <c r="AC24" s="780"/>
      <c r="AD24" s="780"/>
      <c r="AE24" s="780"/>
      <c r="AF24" s="780"/>
      <c r="AG24" s="780"/>
      <c r="AH24" s="780"/>
      <c r="AI24" s="780"/>
      <c r="AJ24" s="780"/>
      <c r="AK24" s="780"/>
      <c r="AL24" s="780"/>
      <c r="AM24" s="780"/>
      <c r="AN24" s="780"/>
      <c r="AO24" s="780"/>
      <c r="AP24" s="780"/>
      <c r="AQ24" s="780"/>
      <c r="AR24" s="780"/>
      <c r="AS24" s="780"/>
    </row>
    <row r="25" spans="1:45" ht="16.5" thickTop="1" thickBot="1" x14ac:dyDescent="0.3">
      <c r="A25" s="447" t="s">
        <v>757</v>
      </c>
      <c r="B25" s="794">
        <v>20000000</v>
      </c>
      <c r="C25" s="792">
        <v>0</v>
      </c>
      <c r="D25" s="792">
        <v>0</v>
      </c>
      <c r="E25" s="792">
        <v>0</v>
      </c>
      <c r="F25" s="792"/>
      <c r="G25" s="792"/>
      <c r="H25" s="792"/>
      <c r="I25" s="792"/>
      <c r="J25" s="792"/>
      <c r="K25" s="792"/>
      <c r="L25" s="792"/>
      <c r="M25" s="792"/>
      <c r="N25" s="792"/>
      <c r="O25" s="792"/>
      <c r="P25" s="792"/>
      <c r="Q25" s="792"/>
      <c r="R25" s="796">
        <f t="shared" ref="R25:U83" si="19">+B25+F25+J25+N25</f>
        <v>20000000</v>
      </c>
      <c r="S25" s="796">
        <f t="shared" si="19"/>
        <v>0</v>
      </c>
      <c r="T25" s="796">
        <f t="shared" si="19"/>
        <v>0</v>
      </c>
      <c r="U25" s="463">
        <f t="shared" si="19"/>
        <v>0</v>
      </c>
      <c r="V25" s="436"/>
      <c r="W25" s="780"/>
      <c r="X25" s="780"/>
      <c r="Y25" s="780"/>
      <c r="Z25" s="780"/>
      <c r="AA25" s="780"/>
      <c r="AB25" s="780"/>
      <c r="AC25" s="780"/>
      <c r="AD25" s="780"/>
      <c r="AE25" s="780"/>
      <c r="AF25" s="780"/>
      <c r="AG25" s="780"/>
      <c r="AH25" s="780"/>
      <c r="AI25" s="780"/>
      <c r="AJ25" s="780"/>
      <c r="AK25" s="780"/>
      <c r="AL25" s="780"/>
      <c r="AM25" s="780"/>
      <c r="AN25" s="780"/>
      <c r="AO25" s="780"/>
      <c r="AP25" s="780"/>
      <c r="AQ25" s="780"/>
      <c r="AR25" s="780"/>
      <c r="AS25" s="780"/>
    </row>
    <row r="26" spans="1:45" ht="16.5" thickTop="1" thickBot="1" x14ac:dyDescent="0.3">
      <c r="A26" s="438" t="s">
        <v>759</v>
      </c>
      <c r="B26" s="791">
        <f>+B27+B31+B33+B35</f>
        <v>197300000</v>
      </c>
      <c r="C26" s="800">
        <f t="shared" ref="C26:Q26" si="20">+C27+C31+C33+C35</f>
        <v>41997076</v>
      </c>
      <c r="D26" s="800">
        <f t="shared" si="20"/>
        <v>32920838</v>
      </c>
      <c r="E26" s="800">
        <f t="shared" si="20"/>
        <v>32920786</v>
      </c>
      <c r="F26" s="800">
        <f t="shared" si="20"/>
        <v>7000000</v>
      </c>
      <c r="G26" s="800">
        <f t="shared" si="20"/>
        <v>0</v>
      </c>
      <c r="H26" s="800">
        <f t="shared" si="20"/>
        <v>0</v>
      </c>
      <c r="I26" s="800">
        <f t="shared" si="20"/>
        <v>0</v>
      </c>
      <c r="J26" s="788">
        <f t="shared" si="20"/>
        <v>0</v>
      </c>
      <c r="K26" s="800">
        <f>+K27+K31+K33+K35</f>
        <v>0</v>
      </c>
      <c r="L26" s="800">
        <f t="shared" si="20"/>
        <v>0</v>
      </c>
      <c r="M26" s="800">
        <f t="shared" si="20"/>
        <v>0</v>
      </c>
      <c r="N26" s="800">
        <f t="shared" si="20"/>
        <v>0</v>
      </c>
      <c r="O26" s="800">
        <f t="shared" si="20"/>
        <v>0</v>
      </c>
      <c r="P26" s="800">
        <f t="shared" si="20"/>
        <v>0</v>
      </c>
      <c r="Q26" s="800">
        <f t="shared" si="20"/>
        <v>0</v>
      </c>
      <c r="R26" s="453">
        <f t="shared" si="19"/>
        <v>204300000</v>
      </c>
      <c r="S26" s="453">
        <f t="shared" si="19"/>
        <v>41997076</v>
      </c>
      <c r="T26" s="453">
        <f t="shared" si="19"/>
        <v>32920838</v>
      </c>
      <c r="U26" s="453">
        <f t="shared" si="19"/>
        <v>32920786</v>
      </c>
      <c r="V26" s="436"/>
      <c r="W26" s="780"/>
      <c r="X26" s="780"/>
      <c r="Y26" s="780"/>
      <c r="Z26" s="780"/>
      <c r="AA26" s="780"/>
      <c r="AB26" s="780"/>
      <c r="AC26" s="780"/>
      <c r="AD26" s="780"/>
      <c r="AE26" s="780"/>
      <c r="AF26" s="780"/>
      <c r="AG26" s="780"/>
      <c r="AH26" s="780"/>
      <c r="AI26" s="780"/>
      <c r="AJ26" s="780"/>
      <c r="AK26" s="780"/>
      <c r="AL26" s="780"/>
      <c r="AM26" s="780"/>
      <c r="AN26" s="780"/>
      <c r="AO26" s="780"/>
      <c r="AP26" s="780"/>
      <c r="AQ26" s="780"/>
      <c r="AR26" s="780"/>
      <c r="AS26" s="780"/>
    </row>
    <row r="27" spans="1:45" ht="16.5" thickTop="1" thickBot="1" x14ac:dyDescent="0.3">
      <c r="A27" s="457" t="s">
        <v>760</v>
      </c>
      <c r="B27" s="791">
        <f>+B28</f>
        <v>85000000</v>
      </c>
      <c r="C27" s="799">
        <f t="shared" ref="C27:U27" si="21">+C28</f>
        <v>41997076</v>
      </c>
      <c r="D27" s="799">
        <f t="shared" si="21"/>
        <v>32920838</v>
      </c>
      <c r="E27" s="799">
        <f t="shared" si="21"/>
        <v>32920786</v>
      </c>
      <c r="F27" s="799">
        <f t="shared" si="21"/>
        <v>0</v>
      </c>
      <c r="G27" s="799">
        <f t="shared" si="21"/>
        <v>0</v>
      </c>
      <c r="H27" s="799">
        <f t="shared" si="21"/>
        <v>0</v>
      </c>
      <c r="I27" s="799">
        <f t="shared" si="21"/>
        <v>0</v>
      </c>
      <c r="J27" s="799">
        <f t="shared" si="21"/>
        <v>0</v>
      </c>
      <c r="K27" s="799">
        <f t="shared" si="21"/>
        <v>0</v>
      </c>
      <c r="L27" s="799">
        <f t="shared" si="21"/>
        <v>0</v>
      </c>
      <c r="M27" s="799">
        <f t="shared" si="21"/>
        <v>0</v>
      </c>
      <c r="N27" s="799">
        <f t="shared" si="21"/>
        <v>0</v>
      </c>
      <c r="O27" s="799">
        <f t="shared" si="21"/>
        <v>0</v>
      </c>
      <c r="P27" s="799">
        <f t="shared" si="21"/>
        <v>0</v>
      </c>
      <c r="Q27" s="799">
        <f t="shared" si="21"/>
        <v>0</v>
      </c>
      <c r="R27" s="799">
        <f t="shared" si="21"/>
        <v>85000000</v>
      </c>
      <c r="S27" s="799">
        <f t="shared" si="21"/>
        <v>41997076</v>
      </c>
      <c r="T27" s="799">
        <f t="shared" si="21"/>
        <v>32920838</v>
      </c>
      <c r="U27" s="467">
        <f t="shared" si="21"/>
        <v>32920786</v>
      </c>
      <c r="V27" s="436"/>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row>
    <row r="28" spans="1:45" ht="16.5" thickTop="1" thickBot="1" x14ac:dyDescent="0.3">
      <c r="A28" s="470" t="s">
        <v>761</v>
      </c>
      <c r="B28" s="791">
        <f>+B29+B30</f>
        <v>85000000</v>
      </c>
      <c r="C28" s="791">
        <f t="shared" ref="C28:U28" si="22">+C29+C30</f>
        <v>41997076</v>
      </c>
      <c r="D28" s="791">
        <f t="shared" si="22"/>
        <v>32920838</v>
      </c>
      <c r="E28" s="791">
        <f t="shared" si="22"/>
        <v>32920786</v>
      </c>
      <c r="F28" s="791">
        <f t="shared" si="22"/>
        <v>0</v>
      </c>
      <c r="G28" s="791">
        <f t="shared" si="22"/>
        <v>0</v>
      </c>
      <c r="H28" s="791">
        <f t="shared" si="22"/>
        <v>0</v>
      </c>
      <c r="I28" s="791">
        <f t="shared" si="22"/>
        <v>0</v>
      </c>
      <c r="J28" s="791">
        <f t="shared" si="22"/>
        <v>0</v>
      </c>
      <c r="K28" s="791">
        <f t="shared" si="22"/>
        <v>0</v>
      </c>
      <c r="L28" s="791">
        <f t="shared" si="22"/>
        <v>0</v>
      </c>
      <c r="M28" s="791">
        <f t="shared" si="22"/>
        <v>0</v>
      </c>
      <c r="N28" s="791">
        <f t="shared" si="22"/>
        <v>0</v>
      </c>
      <c r="O28" s="791">
        <f t="shared" si="22"/>
        <v>0</v>
      </c>
      <c r="P28" s="791">
        <f t="shared" si="22"/>
        <v>0</v>
      </c>
      <c r="Q28" s="791">
        <f t="shared" si="22"/>
        <v>0</v>
      </c>
      <c r="R28" s="791">
        <f t="shared" si="22"/>
        <v>85000000</v>
      </c>
      <c r="S28" s="791">
        <f t="shared" si="22"/>
        <v>41997076</v>
      </c>
      <c r="T28" s="791">
        <f t="shared" si="22"/>
        <v>32920838</v>
      </c>
      <c r="U28" s="214">
        <f t="shared" si="22"/>
        <v>32920786</v>
      </c>
      <c r="V28" s="436"/>
      <c r="W28" s="780"/>
      <c r="X28" s="780"/>
      <c r="Y28" s="780"/>
      <c r="Z28" s="780"/>
      <c r="AA28" s="780"/>
      <c r="AB28" s="780"/>
      <c r="AC28" s="780"/>
      <c r="AD28" s="780"/>
      <c r="AE28" s="780"/>
      <c r="AF28" s="780"/>
      <c r="AG28" s="780"/>
      <c r="AH28" s="780"/>
      <c r="AI28" s="780"/>
      <c r="AJ28" s="780"/>
      <c r="AK28" s="780"/>
      <c r="AL28" s="780"/>
      <c r="AM28" s="780"/>
      <c r="AN28" s="780"/>
      <c r="AO28" s="780"/>
      <c r="AP28" s="780"/>
      <c r="AQ28" s="780"/>
      <c r="AR28" s="780"/>
      <c r="AS28" s="780"/>
    </row>
    <row r="29" spans="1:45" ht="16.5" thickTop="1" thickBot="1" x14ac:dyDescent="0.3">
      <c r="A29" s="447" t="s">
        <v>762</v>
      </c>
      <c r="B29" s="794">
        <v>85000000</v>
      </c>
      <c r="C29" s="792">
        <v>41997076</v>
      </c>
      <c r="D29" s="792">
        <v>32920838</v>
      </c>
      <c r="E29" s="792">
        <v>32920786</v>
      </c>
      <c r="F29" s="792"/>
      <c r="G29" s="792"/>
      <c r="H29" s="792"/>
      <c r="I29" s="792"/>
      <c r="J29" s="789">
        <v>0</v>
      </c>
      <c r="K29" s="789">
        <v>0</v>
      </c>
      <c r="L29" s="789">
        <v>0</v>
      </c>
      <c r="M29" s="789">
        <v>0</v>
      </c>
      <c r="N29" s="792"/>
      <c r="O29" s="792"/>
      <c r="P29" s="792"/>
      <c r="Q29" s="792"/>
      <c r="R29" s="796">
        <f t="shared" si="19"/>
        <v>85000000</v>
      </c>
      <c r="S29" s="796">
        <f t="shared" si="19"/>
        <v>41997076</v>
      </c>
      <c r="T29" s="792">
        <f t="shared" si="19"/>
        <v>32920838</v>
      </c>
      <c r="U29" s="213">
        <f t="shared" si="19"/>
        <v>32920786</v>
      </c>
      <c r="V29" s="436"/>
      <c r="W29" s="798"/>
      <c r="X29" s="798"/>
      <c r="Y29" s="798"/>
      <c r="Z29" s="798"/>
      <c r="AA29" s="798"/>
      <c r="AB29" s="798"/>
      <c r="AC29" s="798"/>
      <c r="AD29" s="798"/>
      <c r="AE29" s="798"/>
      <c r="AF29" s="798"/>
      <c r="AG29" s="798"/>
      <c r="AH29" s="798"/>
      <c r="AI29" s="798"/>
      <c r="AJ29" s="798"/>
      <c r="AK29" s="798"/>
      <c r="AL29" s="798"/>
      <c r="AM29" s="798"/>
      <c r="AN29" s="798"/>
      <c r="AO29" s="798"/>
      <c r="AP29" s="798"/>
      <c r="AQ29" s="798"/>
      <c r="AR29" s="798"/>
      <c r="AS29" s="798"/>
    </row>
    <row r="30" spans="1:45" ht="16.5" thickTop="1" thickBot="1" x14ac:dyDescent="0.3">
      <c r="A30" s="447" t="s">
        <v>763</v>
      </c>
      <c r="B30" s="794"/>
      <c r="C30" s="792"/>
      <c r="D30" s="792"/>
      <c r="E30" s="792"/>
      <c r="F30" s="792"/>
      <c r="G30" s="792"/>
      <c r="H30" s="792"/>
      <c r="I30" s="792"/>
      <c r="J30" s="792">
        <v>0</v>
      </c>
      <c r="K30" s="792"/>
      <c r="L30" s="792"/>
      <c r="M30" s="792"/>
      <c r="N30" s="792"/>
      <c r="O30" s="792"/>
      <c r="P30" s="792"/>
      <c r="Q30" s="792"/>
      <c r="R30" s="796">
        <f t="shared" si="19"/>
        <v>0</v>
      </c>
      <c r="S30" s="792">
        <f t="shared" si="19"/>
        <v>0</v>
      </c>
      <c r="T30" s="792">
        <f t="shared" si="19"/>
        <v>0</v>
      </c>
      <c r="U30" s="213">
        <f t="shared" si="19"/>
        <v>0</v>
      </c>
      <c r="V30" s="436"/>
      <c r="W30" s="798"/>
      <c r="X30" s="798"/>
      <c r="Y30" s="798"/>
      <c r="Z30" s="798"/>
      <c r="AA30" s="798"/>
      <c r="AB30" s="798"/>
      <c r="AC30" s="798"/>
      <c r="AD30" s="798"/>
      <c r="AE30" s="798"/>
      <c r="AF30" s="798"/>
      <c r="AG30" s="798"/>
      <c r="AH30" s="798"/>
      <c r="AI30" s="798"/>
      <c r="AJ30" s="798"/>
      <c r="AK30" s="798"/>
      <c r="AL30" s="798"/>
      <c r="AM30" s="798"/>
      <c r="AN30" s="798"/>
      <c r="AO30" s="798"/>
      <c r="AP30" s="798"/>
      <c r="AQ30" s="798"/>
      <c r="AR30" s="798"/>
      <c r="AS30" s="798"/>
    </row>
    <row r="31" spans="1:45" ht="16.5" thickTop="1" thickBot="1" x14ac:dyDescent="0.3">
      <c r="A31" s="457" t="s">
        <v>764</v>
      </c>
      <c r="B31" s="791">
        <f>+B32</f>
        <v>0</v>
      </c>
      <c r="C31" s="795">
        <f t="shared" ref="C31:Q31" si="23">+C32</f>
        <v>0</v>
      </c>
      <c r="D31" s="795">
        <f t="shared" si="23"/>
        <v>0</v>
      </c>
      <c r="E31" s="795">
        <f t="shared" si="23"/>
        <v>0</v>
      </c>
      <c r="F31" s="795">
        <f t="shared" si="23"/>
        <v>0</v>
      </c>
      <c r="G31" s="795">
        <f t="shared" si="23"/>
        <v>0</v>
      </c>
      <c r="H31" s="795">
        <f t="shared" si="23"/>
        <v>0</v>
      </c>
      <c r="I31" s="795">
        <f t="shared" si="23"/>
        <v>0</v>
      </c>
      <c r="J31" s="795">
        <f t="shared" si="23"/>
        <v>0</v>
      </c>
      <c r="K31" s="795">
        <f t="shared" si="23"/>
        <v>0</v>
      </c>
      <c r="L31" s="795">
        <f t="shared" si="23"/>
        <v>0</v>
      </c>
      <c r="M31" s="795">
        <f t="shared" si="23"/>
        <v>0</v>
      </c>
      <c r="N31" s="795">
        <f t="shared" si="23"/>
        <v>0</v>
      </c>
      <c r="O31" s="795">
        <f t="shared" si="23"/>
        <v>0</v>
      </c>
      <c r="P31" s="795">
        <f t="shared" si="23"/>
        <v>0</v>
      </c>
      <c r="Q31" s="795">
        <f t="shared" si="23"/>
        <v>0</v>
      </c>
      <c r="R31" s="795">
        <f t="shared" si="19"/>
        <v>0</v>
      </c>
      <c r="S31" s="795">
        <f t="shared" si="19"/>
        <v>0</v>
      </c>
      <c r="T31" s="795">
        <f t="shared" si="19"/>
        <v>0</v>
      </c>
      <c r="U31" s="465">
        <f t="shared" si="19"/>
        <v>0</v>
      </c>
      <c r="V31" s="436"/>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S31" s="793"/>
    </row>
    <row r="32" spans="1:45" ht="16.5" thickTop="1" thickBot="1" x14ac:dyDescent="0.3">
      <c r="A32" s="447" t="s">
        <v>765</v>
      </c>
      <c r="B32" s="794"/>
      <c r="C32" s="792"/>
      <c r="D32" s="792"/>
      <c r="E32" s="792"/>
      <c r="F32" s="792"/>
      <c r="G32" s="792"/>
      <c r="H32" s="792"/>
      <c r="I32" s="792"/>
      <c r="J32" s="792"/>
      <c r="K32" s="792"/>
      <c r="L32" s="792"/>
      <c r="M32" s="792"/>
      <c r="N32" s="792"/>
      <c r="O32" s="792"/>
      <c r="P32" s="792"/>
      <c r="Q32" s="792"/>
      <c r="R32" s="792">
        <f t="shared" si="19"/>
        <v>0</v>
      </c>
      <c r="S32" s="792">
        <f t="shared" si="19"/>
        <v>0</v>
      </c>
      <c r="T32" s="792">
        <f t="shared" si="19"/>
        <v>0</v>
      </c>
      <c r="U32" s="213">
        <f t="shared" si="19"/>
        <v>0</v>
      </c>
      <c r="V32" s="436"/>
      <c r="W32" s="798"/>
      <c r="X32" s="798"/>
      <c r="Y32" s="798"/>
      <c r="Z32" s="798"/>
      <c r="AA32" s="798"/>
      <c r="AB32" s="798"/>
      <c r="AC32" s="798"/>
      <c r="AD32" s="798"/>
      <c r="AE32" s="798"/>
      <c r="AF32" s="798"/>
      <c r="AG32" s="798"/>
      <c r="AH32" s="798"/>
      <c r="AI32" s="798"/>
      <c r="AJ32" s="798"/>
      <c r="AK32" s="798"/>
      <c r="AL32" s="798"/>
      <c r="AM32" s="798"/>
      <c r="AN32" s="798"/>
      <c r="AO32" s="798"/>
      <c r="AP32" s="798"/>
      <c r="AQ32" s="798"/>
      <c r="AR32" s="798"/>
      <c r="AS32" s="798"/>
    </row>
    <row r="33" spans="1:45" ht="16.5" thickTop="1" thickBot="1" x14ac:dyDescent="0.3">
      <c r="A33" s="457" t="s">
        <v>766</v>
      </c>
      <c r="B33" s="791">
        <f>+B34</f>
        <v>112300000</v>
      </c>
      <c r="C33" s="799">
        <f>+C34</f>
        <v>0</v>
      </c>
      <c r="D33" s="799">
        <f>+D34</f>
        <v>0</v>
      </c>
      <c r="E33" s="799">
        <f>+E34</f>
        <v>0</v>
      </c>
      <c r="F33" s="799">
        <f t="shared" ref="F33:U33" si="24">+F34</f>
        <v>7000000</v>
      </c>
      <c r="G33" s="799">
        <f t="shared" si="24"/>
        <v>0</v>
      </c>
      <c r="H33" s="799">
        <f t="shared" si="24"/>
        <v>0</v>
      </c>
      <c r="I33" s="799">
        <f t="shared" si="24"/>
        <v>0</v>
      </c>
      <c r="J33" s="799">
        <f t="shared" si="24"/>
        <v>0</v>
      </c>
      <c r="K33" s="799">
        <f t="shared" si="24"/>
        <v>0</v>
      </c>
      <c r="L33" s="799">
        <f t="shared" si="24"/>
        <v>0</v>
      </c>
      <c r="M33" s="799">
        <f t="shared" si="24"/>
        <v>0</v>
      </c>
      <c r="N33" s="799">
        <f t="shared" si="24"/>
        <v>0</v>
      </c>
      <c r="O33" s="799">
        <f t="shared" si="24"/>
        <v>0</v>
      </c>
      <c r="P33" s="799">
        <f t="shared" si="24"/>
        <v>0</v>
      </c>
      <c r="Q33" s="799">
        <f t="shared" si="24"/>
        <v>0</v>
      </c>
      <c r="R33" s="460">
        <f>+R34</f>
        <v>119300000</v>
      </c>
      <c r="S33" s="801">
        <f t="shared" si="24"/>
        <v>0</v>
      </c>
      <c r="T33" s="801">
        <f t="shared" si="24"/>
        <v>0</v>
      </c>
      <c r="U33" s="460">
        <f t="shared" si="24"/>
        <v>0</v>
      </c>
      <c r="V33" s="436"/>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S33" s="793"/>
    </row>
    <row r="34" spans="1:45" ht="16.5" thickTop="1" thickBot="1" x14ac:dyDescent="0.3">
      <c r="A34" s="447" t="s">
        <v>767</v>
      </c>
      <c r="B34" s="794">
        <v>112300000</v>
      </c>
      <c r="C34" s="789">
        <v>0</v>
      </c>
      <c r="D34" s="789">
        <v>0</v>
      </c>
      <c r="E34" s="789">
        <v>0</v>
      </c>
      <c r="F34" s="789">
        <v>7000000</v>
      </c>
      <c r="G34" s="789">
        <v>0</v>
      </c>
      <c r="H34" s="789">
        <v>0</v>
      </c>
      <c r="I34" s="789">
        <v>0</v>
      </c>
      <c r="J34" s="789">
        <v>0</v>
      </c>
      <c r="K34" s="789">
        <v>0</v>
      </c>
      <c r="L34" s="789">
        <v>0</v>
      </c>
      <c r="M34" s="789">
        <v>0</v>
      </c>
      <c r="N34" s="792"/>
      <c r="O34" s="792"/>
      <c r="P34" s="792"/>
      <c r="Q34" s="792"/>
      <c r="R34" s="796">
        <f>+B34+F34+J34+N34</f>
        <v>119300000</v>
      </c>
      <c r="S34" s="796">
        <f t="shared" si="19"/>
        <v>0</v>
      </c>
      <c r="T34" s="796">
        <f t="shared" si="19"/>
        <v>0</v>
      </c>
      <c r="U34" s="463">
        <f t="shared" si="19"/>
        <v>0</v>
      </c>
      <c r="V34" s="436"/>
      <c r="W34" s="798"/>
      <c r="X34" s="798"/>
      <c r="Y34" s="798"/>
      <c r="Z34" s="798"/>
      <c r="AA34" s="798"/>
      <c r="AB34" s="798"/>
      <c r="AC34" s="798"/>
      <c r="AD34" s="798"/>
      <c r="AE34" s="798"/>
      <c r="AF34" s="798"/>
      <c r="AG34" s="798"/>
      <c r="AH34" s="798"/>
      <c r="AI34" s="798"/>
      <c r="AJ34" s="798"/>
      <c r="AK34" s="798"/>
      <c r="AL34" s="798"/>
      <c r="AM34" s="798"/>
      <c r="AN34" s="798"/>
      <c r="AO34" s="798"/>
      <c r="AP34" s="798"/>
      <c r="AQ34" s="798"/>
      <c r="AR34" s="798"/>
      <c r="AS34" s="798"/>
    </row>
    <row r="35" spans="1:45" ht="16.5" thickTop="1" thickBot="1" x14ac:dyDescent="0.3">
      <c r="A35" s="457" t="s">
        <v>768</v>
      </c>
      <c r="B35" s="794">
        <f>+B36+B37+B38</f>
        <v>0</v>
      </c>
      <c r="C35" s="802">
        <f t="shared" ref="C35:Q35" si="25">+C36+C37+C38</f>
        <v>0</v>
      </c>
      <c r="D35" s="802">
        <f t="shared" si="25"/>
        <v>0</v>
      </c>
      <c r="E35" s="802">
        <f t="shared" si="25"/>
        <v>0</v>
      </c>
      <c r="F35" s="802">
        <f t="shared" si="25"/>
        <v>0</v>
      </c>
      <c r="G35" s="802">
        <f t="shared" si="25"/>
        <v>0</v>
      </c>
      <c r="H35" s="802">
        <f t="shared" si="25"/>
        <v>0</v>
      </c>
      <c r="I35" s="802">
        <f t="shared" si="25"/>
        <v>0</v>
      </c>
      <c r="J35" s="802">
        <f t="shared" si="25"/>
        <v>0</v>
      </c>
      <c r="K35" s="802">
        <f t="shared" si="25"/>
        <v>0</v>
      </c>
      <c r="L35" s="802">
        <f t="shared" si="25"/>
        <v>0</v>
      </c>
      <c r="M35" s="802">
        <f t="shared" si="25"/>
        <v>0</v>
      </c>
      <c r="N35" s="802">
        <f t="shared" si="25"/>
        <v>0</v>
      </c>
      <c r="O35" s="802">
        <f t="shared" si="25"/>
        <v>0</v>
      </c>
      <c r="P35" s="802">
        <f t="shared" si="25"/>
        <v>0</v>
      </c>
      <c r="Q35" s="802">
        <f t="shared" si="25"/>
        <v>0</v>
      </c>
      <c r="R35" s="802">
        <f t="shared" si="19"/>
        <v>0</v>
      </c>
      <c r="S35" s="802">
        <f t="shared" si="19"/>
        <v>0</v>
      </c>
      <c r="T35" s="802">
        <f t="shared" si="19"/>
        <v>0</v>
      </c>
      <c r="U35" s="475">
        <f t="shared" si="19"/>
        <v>0</v>
      </c>
      <c r="V35" s="436"/>
      <c r="W35" s="780"/>
      <c r="X35" s="780"/>
      <c r="Y35" s="780"/>
      <c r="Z35" s="780"/>
      <c r="AA35" s="780"/>
      <c r="AB35" s="780"/>
      <c r="AC35" s="780"/>
      <c r="AD35" s="780"/>
      <c r="AE35" s="780"/>
      <c r="AF35" s="780"/>
      <c r="AG35" s="780"/>
      <c r="AH35" s="780"/>
      <c r="AI35" s="780"/>
      <c r="AJ35" s="780"/>
      <c r="AK35" s="780"/>
      <c r="AL35" s="780"/>
      <c r="AM35" s="780"/>
      <c r="AN35" s="780"/>
      <c r="AO35" s="780"/>
      <c r="AP35" s="780"/>
      <c r="AQ35" s="780"/>
      <c r="AR35" s="780"/>
      <c r="AS35" s="780"/>
    </row>
    <row r="36" spans="1:45" ht="16.5" thickTop="1" thickBot="1" x14ac:dyDescent="0.3">
      <c r="A36" s="447" t="s">
        <v>769</v>
      </c>
      <c r="B36" s="794">
        <v>0</v>
      </c>
      <c r="C36" s="792"/>
      <c r="D36" s="792"/>
      <c r="E36" s="792"/>
      <c r="F36" s="792"/>
      <c r="G36" s="792"/>
      <c r="H36" s="792"/>
      <c r="I36" s="792"/>
      <c r="J36" s="792"/>
      <c r="K36" s="792"/>
      <c r="L36" s="792"/>
      <c r="M36" s="792"/>
      <c r="N36" s="792"/>
      <c r="O36" s="792"/>
      <c r="P36" s="792"/>
      <c r="Q36" s="792"/>
      <c r="R36" s="792">
        <f t="shared" si="19"/>
        <v>0</v>
      </c>
      <c r="S36" s="792">
        <f t="shared" si="19"/>
        <v>0</v>
      </c>
      <c r="T36" s="792">
        <f t="shared" si="19"/>
        <v>0</v>
      </c>
      <c r="U36" s="213">
        <f t="shared" si="19"/>
        <v>0</v>
      </c>
      <c r="V36" s="436"/>
      <c r="W36" s="798"/>
      <c r="X36" s="798"/>
      <c r="Y36" s="798"/>
      <c r="Z36" s="798"/>
      <c r="AA36" s="798"/>
      <c r="AB36" s="798"/>
      <c r="AC36" s="798"/>
      <c r="AD36" s="798"/>
      <c r="AE36" s="798"/>
      <c r="AF36" s="798"/>
      <c r="AG36" s="798"/>
      <c r="AH36" s="798"/>
      <c r="AI36" s="798"/>
      <c r="AJ36" s="798"/>
      <c r="AK36" s="798"/>
      <c r="AL36" s="798"/>
      <c r="AM36" s="798"/>
      <c r="AN36" s="798"/>
      <c r="AO36" s="798"/>
      <c r="AP36" s="798"/>
      <c r="AQ36" s="798"/>
      <c r="AR36" s="798"/>
      <c r="AS36" s="798"/>
    </row>
    <row r="37" spans="1:45" ht="16.5" thickTop="1" thickBot="1" x14ac:dyDescent="0.3">
      <c r="A37" s="447" t="s">
        <v>770</v>
      </c>
      <c r="B37" s="794"/>
      <c r="C37" s="792"/>
      <c r="D37" s="792"/>
      <c r="E37" s="792"/>
      <c r="F37" s="792"/>
      <c r="G37" s="792"/>
      <c r="H37" s="792"/>
      <c r="I37" s="792"/>
      <c r="J37" s="792"/>
      <c r="K37" s="792"/>
      <c r="L37" s="792"/>
      <c r="M37" s="792"/>
      <c r="N37" s="792"/>
      <c r="O37" s="792"/>
      <c r="P37" s="792"/>
      <c r="Q37" s="792"/>
      <c r="R37" s="792">
        <f t="shared" si="19"/>
        <v>0</v>
      </c>
      <c r="S37" s="792">
        <f t="shared" si="19"/>
        <v>0</v>
      </c>
      <c r="T37" s="792">
        <f t="shared" si="19"/>
        <v>0</v>
      </c>
      <c r="U37" s="213">
        <f t="shared" si="19"/>
        <v>0</v>
      </c>
      <c r="V37" s="436"/>
      <c r="W37" s="798"/>
      <c r="X37" s="798"/>
      <c r="Y37" s="798"/>
      <c r="Z37" s="798"/>
      <c r="AA37" s="798"/>
      <c r="AB37" s="798"/>
      <c r="AC37" s="798"/>
      <c r="AD37" s="798"/>
      <c r="AE37" s="798"/>
      <c r="AF37" s="798"/>
      <c r="AG37" s="798"/>
      <c r="AH37" s="798"/>
      <c r="AI37" s="798"/>
      <c r="AJ37" s="798"/>
      <c r="AK37" s="798"/>
      <c r="AL37" s="798"/>
      <c r="AM37" s="798"/>
      <c r="AN37" s="798"/>
      <c r="AO37" s="798"/>
      <c r="AP37" s="798"/>
      <c r="AQ37" s="798"/>
      <c r="AR37" s="798"/>
      <c r="AS37" s="798"/>
    </row>
    <row r="38" spans="1:45" ht="16.5" thickTop="1" thickBot="1" x14ac:dyDescent="0.3">
      <c r="A38" s="447" t="s">
        <v>771</v>
      </c>
      <c r="B38" s="794"/>
      <c r="C38" s="792"/>
      <c r="D38" s="792"/>
      <c r="E38" s="792"/>
      <c r="F38" s="792"/>
      <c r="G38" s="792"/>
      <c r="H38" s="792"/>
      <c r="I38" s="792"/>
      <c r="J38" s="792"/>
      <c r="K38" s="792"/>
      <c r="L38" s="792"/>
      <c r="M38" s="792"/>
      <c r="N38" s="792"/>
      <c r="O38" s="792"/>
      <c r="P38" s="792"/>
      <c r="Q38" s="792"/>
      <c r="R38" s="792">
        <f t="shared" si="19"/>
        <v>0</v>
      </c>
      <c r="S38" s="792">
        <f t="shared" si="19"/>
        <v>0</v>
      </c>
      <c r="T38" s="792">
        <f t="shared" si="19"/>
        <v>0</v>
      </c>
      <c r="U38" s="213">
        <f t="shared" si="19"/>
        <v>0</v>
      </c>
      <c r="V38" s="436"/>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6.5" thickTop="1" thickBot="1" x14ac:dyDescent="0.3">
      <c r="A39" s="438" t="s">
        <v>772</v>
      </c>
      <c r="B39" s="803">
        <f>+B40+B44</f>
        <v>0</v>
      </c>
      <c r="C39" s="804">
        <f t="shared" ref="C39:Q39" si="26">+C40+C44</f>
        <v>0</v>
      </c>
      <c r="D39" s="804">
        <f t="shared" si="26"/>
        <v>0</v>
      </c>
      <c r="E39" s="804">
        <f t="shared" si="26"/>
        <v>0</v>
      </c>
      <c r="F39" s="804">
        <v>0</v>
      </c>
      <c r="G39" s="804">
        <f t="shared" si="26"/>
        <v>0</v>
      </c>
      <c r="H39" s="804">
        <f t="shared" si="26"/>
        <v>0</v>
      </c>
      <c r="I39" s="804">
        <f t="shared" si="26"/>
        <v>0</v>
      </c>
      <c r="J39" s="804">
        <f t="shared" si="26"/>
        <v>0</v>
      </c>
      <c r="K39" s="804">
        <f t="shared" si="26"/>
        <v>0</v>
      </c>
      <c r="L39" s="804">
        <f t="shared" si="26"/>
        <v>0</v>
      </c>
      <c r="M39" s="804">
        <f t="shared" si="26"/>
        <v>0</v>
      </c>
      <c r="N39" s="804">
        <f t="shared" si="26"/>
        <v>0</v>
      </c>
      <c r="O39" s="804">
        <f t="shared" si="26"/>
        <v>0</v>
      </c>
      <c r="P39" s="804">
        <f t="shared" si="26"/>
        <v>0</v>
      </c>
      <c r="Q39" s="804">
        <f t="shared" si="26"/>
        <v>0</v>
      </c>
      <c r="R39" s="805">
        <f t="shared" si="19"/>
        <v>0</v>
      </c>
      <c r="S39" s="804">
        <f t="shared" si="19"/>
        <v>0</v>
      </c>
      <c r="T39" s="804">
        <f t="shared" si="19"/>
        <v>0</v>
      </c>
      <c r="U39" s="478">
        <f t="shared" si="19"/>
        <v>0</v>
      </c>
      <c r="V39" s="436"/>
      <c r="W39" s="780"/>
      <c r="X39" s="780"/>
      <c r="Y39" s="780"/>
      <c r="Z39" s="780"/>
      <c r="AA39" s="780"/>
      <c r="AB39" s="780"/>
      <c r="AC39" s="780"/>
      <c r="AD39" s="780"/>
      <c r="AE39" s="780"/>
      <c r="AF39" s="780"/>
      <c r="AG39" s="780"/>
      <c r="AH39" s="780"/>
      <c r="AI39" s="780"/>
      <c r="AJ39" s="780"/>
      <c r="AK39" s="780"/>
      <c r="AL39" s="780"/>
      <c r="AM39" s="780"/>
      <c r="AN39" s="780"/>
      <c r="AO39" s="780"/>
      <c r="AP39" s="780"/>
      <c r="AQ39" s="780"/>
      <c r="AR39" s="780"/>
      <c r="AS39" s="780"/>
    </row>
    <row r="40" spans="1:45" ht="16.5" thickTop="1" thickBot="1" x14ac:dyDescent="0.3">
      <c r="A40" s="457" t="s">
        <v>773</v>
      </c>
      <c r="B40" s="803">
        <f>+B41+B42+B43</f>
        <v>0</v>
      </c>
      <c r="C40" s="806">
        <f t="shared" ref="C40:Q40" si="27">+C41+C42+C43</f>
        <v>0</v>
      </c>
      <c r="D40" s="806">
        <f t="shared" si="27"/>
        <v>0</v>
      </c>
      <c r="E40" s="806">
        <f t="shared" si="27"/>
        <v>0</v>
      </c>
      <c r="F40" s="806">
        <f t="shared" si="27"/>
        <v>0</v>
      </c>
      <c r="G40" s="806">
        <f t="shared" si="27"/>
        <v>0</v>
      </c>
      <c r="H40" s="806">
        <f t="shared" si="27"/>
        <v>0</v>
      </c>
      <c r="I40" s="806">
        <f t="shared" si="27"/>
        <v>0</v>
      </c>
      <c r="J40" s="806">
        <f t="shared" si="27"/>
        <v>0</v>
      </c>
      <c r="K40" s="806">
        <f t="shared" si="27"/>
        <v>0</v>
      </c>
      <c r="L40" s="806">
        <f t="shared" si="27"/>
        <v>0</v>
      </c>
      <c r="M40" s="806">
        <f t="shared" si="27"/>
        <v>0</v>
      </c>
      <c r="N40" s="806">
        <f t="shared" si="27"/>
        <v>0</v>
      </c>
      <c r="O40" s="806">
        <f t="shared" si="27"/>
        <v>0</v>
      </c>
      <c r="P40" s="806">
        <f t="shared" si="27"/>
        <v>0</v>
      </c>
      <c r="Q40" s="806">
        <f t="shared" si="27"/>
        <v>0</v>
      </c>
      <c r="R40" s="806">
        <f t="shared" si="19"/>
        <v>0</v>
      </c>
      <c r="S40" s="806">
        <f t="shared" si="19"/>
        <v>0</v>
      </c>
      <c r="T40" s="806">
        <f t="shared" si="19"/>
        <v>0</v>
      </c>
      <c r="U40" s="480">
        <f t="shared" si="19"/>
        <v>0</v>
      </c>
      <c r="V40" s="436"/>
      <c r="W40" s="780"/>
      <c r="X40" s="780"/>
      <c r="Y40" s="780"/>
      <c r="Z40" s="780"/>
      <c r="AA40" s="780"/>
      <c r="AB40" s="780"/>
      <c r="AC40" s="780"/>
      <c r="AD40" s="780"/>
      <c r="AE40" s="780"/>
      <c r="AF40" s="780"/>
      <c r="AG40" s="780"/>
      <c r="AH40" s="780"/>
      <c r="AI40" s="780"/>
      <c r="AJ40" s="780"/>
      <c r="AK40" s="780"/>
      <c r="AL40" s="780"/>
      <c r="AM40" s="780"/>
      <c r="AN40" s="780"/>
      <c r="AO40" s="780"/>
      <c r="AP40" s="780"/>
      <c r="AQ40" s="780"/>
      <c r="AR40" s="780"/>
      <c r="AS40" s="780"/>
    </row>
    <row r="41" spans="1:45" ht="16.5" thickTop="1" thickBot="1" x14ac:dyDescent="0.3">
      <c r="A41" s="447" t="s">
        <v>773</v>
      </c>
      <c r="B41" s="807"/>
      <c r="C41" s="808"/>
      <c r="D41" s="808"/>
      <c r="E41" s="808"/>
      <c r="F41" s="808"/>
      <c r="G41" s="808"/>
      <c r="H41" s="808"/>
      <c r="I41" s="808"/>
      <c r="J41" s="808"/>
      <c r="K41" s="808"/>
      <c r="L41" s="808"/>
      <c r="M41" s="808"/>
      <c r="N41" s="808"/>
      <c r="O41" s="808"/>
      <c r="P41" s="808"/>
      <c r="Q41" s="808"/>
      <c r="R41" s="808">
        <f t="shared" si="19"/>
        <v>0</v>
      </c>
      <c r="S41" s="808">
        <f t="shared" si="19"/>
        <v>0</v>
      </c>
      <c r="T41" s="808">
        <f t="shared" si="19"/>
        <v>0</v>
      </c>
      <c r="U41" s="809">
        <f t="shared" si="19"/>
        <v>0</v>
      </c>
      <c r="V41" s="436"/>
      <c r="W41" s="780"/>
      <c r="X41" s="780"/>
      <c r="Y41" s="780"/>
      <c r="Z41" s="780"/>
      <c r="AA41" s="780"/>
      <c r="AB41" s="780"/>
      <c r="AC41" s="780"/>
      <c r="AD41" s="780"/>
      <c r="AE41" s="780"/>
      <c r="AF41" s="780"/>
      <c r="AG41" s="780"/>
      <c r="AH41" s="780"/>
      <c r="AI41" s="780"/>
      <c r="AJ41" s="780"/>
      <c r="AK41" s="780"/>
      <c r="AL41" s="780"/>
      <c r="AM41" s="780"/>
      <c r="AN41" s="780"/>
      <c r="AO41" s="780"/>
      <c r="AP41" s="780"/>
      <c r="AQ41" s="780"/>
      <c r="AR41" s="780"/>
      <c r="AS41" s="780"/>
    </row>
    <row r="42" spans="1:45" ht="16.5" thickTop="1" thickBot="1" x14ac:dyDescent="0.3">
      <c r="A42" s="447" t="s">
        <v>774</v>
      </c>
      <c r="B42" s="807"/>
      <c r="C42" s="808"/>
      <c r="D42" s="808"/>
      <c r="E42" s="808"/>
      <c r="F42" s="808"/>
      <c r="G42" s="808"/>
      <c r="H42" s="808"/>
      <c r="I42" s="808"/>
      <c r="J42" s="808"/>
      <c r="K42" s="808"/>
      <c r="L42" s="808"/>
      <c r="M42" s="808"/>
      <c r="N42" s="808"/>
      <c r="O42" s="808"/>
      <c r="P42" s="808"/>
      <c r="Q42" s="808"/>
      <c r="R42" s="808">
        <f t="shared" si="19"/>
        <v>0</v>
      </c>
      <c r="S42" s="808">
        <f t="shared" si="19"/>
        <v>0</v>
      </c>
      <c r="T42" s="808">
        <f t="shared" si="19"/>
        <v>0</v>
      </c>
      <c r="U42" s="809">
        <f t="shared" si="19"/>
        <v>0</v>
      </c>
      <c r="V42" s="436"/>
      <c r="W42" s="780"/>
      <c r="X42" s="780"/>
      <c r="Y42" s="780"/>
      <c r="Z42" s="780"/>
      <c r="AA42" s="780"/>
      <c r="AB42" s="780"/>
      <c r="AC42" s="780"/>
      <c r="AD42" s="780"/>
      <c r="AE42" s="780"/>
      <c r="AF42" s="780"/>
      <c r="AG42" s="780"/>
      <c r="AH42" s="780"/>
      <c r="AI42" s="780"/>
      <c r="AJ42" s="780"/>
      <c r="AK42" s="780"/>
      <c r="AL42" s="780"/>
      <c r="AM42" s="780"/>
      <c r="AN42" s="780"/>
      <c r="AO42" s="780"/>
      <c r="AP42" s="780"/>
      <c r="AQ42" s="780"/>
      <c r="AR42" s="780"/>
      <c r="AS42" s="780"/>
    </row>
    <row r="43" spans="1:45" ht="16.5" thickTop="1" thickBot="1" x14ac:dyDescent="0.3">
      <c r="A43" s="447" t="s">
        <v>756</v>
      </c>
      <c r="B43" s="807"/>
      <c r="C43" s="808"/>
      <c r="D43" s="808"/>
      <c r="E43" s="808"/>
      <c r="F43" s="808"/>
      <c r="G43" s="808"/>
      <c r="H43" s="808"/>
      <c r="I43" s="808"/>
      <c r="J43" s="808"/>
      <c r="K43" s="808"/>
      <c r="L43" s="808"/>
      <c r="M43" s="808"/>
      <c r="N43" s="808"/>
      <c r="O43" s="808"/>
      <c r="P43" s="808"/>
      <c r="Q43" s="808"/>
      <c r="R43" s="808">
        <f t="shared" si="19"/>
        <v>0</v>
      </c>
      <c r="S43" s="808">
        <f t="shared" si="19"/>
        <v>0</v>
      </c>
      <c r="T43" s="808">
        <f t="shared" si="19"/>
        <v>0</v>
      </c>
      <c r="U43" s="809">
        <f t="shared" si="19"/>
        <v>0</v>
      </c>
      <c r="V43" s="436"/>
      <c r="W43" s="780"/>
      <c r="X43" s="780"/>
      <c r="Y43" s="780"/>
      <c r="Z43" s="780"/>
      <c r="AA43" s="780"/>
      <c r="AB43" s="780"/>
      <c r="AC43" s="780"/>
      <c r="AD43" s="780"/>
      <c r="AE43" s="780"/>
      <c r="AF43" s="780"/>
      <c r="AG43" s="780"/>
      <c r="AH43" s="780"/>
      <c r="AI43" s="780"/>
      <c r="AJ43" s="780"/>
      <c r="AK43" s="780"/>
      <c r="AL43" s="780"/>
      <c r="AM43" s="780"/>
      <c r="AN43" s="780"/>
      <c r="AO43" s="780"/>
      <c r="AP43" s="780"/>
      <c r="AQ43" s="780"/>
      <c r="AR43" s="780"/>
      <c r="AS43" s="780"/>
    </row>
    <row r="44" spans="1:45" ht="16.5" thickTop="1" thickBot="1" x14ac:dyDescent="0.3">
      <c r="A44" s="457" t="s">
        <v>775</v>
      </c>
      <c r="B44" s="803">
        <f>+B45+B46+B47+B48</f>
        <v>0</v>
      </c>
      <c r="C44" s="806">
        <f t="shared" ref="C44:Q44" si="28">+C45+C46+C47+C48</f>
        <v>0</v>
      </c>
      <c r="D44" s="806">
        <f t="shared" si="28"/>
        <v>0</v>
      </c>
      <c r="E44" s="806">
        <f t="shared" si="28"/>
        <v>0</v>
      </c>
      <c r="F44" s="806">
        <v>0</v>
      </c>
      <c r="G44" s="806">
        <f t="shared" ref="G44:I44" si="29">+G45+G46+G47+G48</f>
        <v>0</v>
      </c>
      <c r="H44" s="806">
        <f t="shared" si="29"/>
        <v>0</v>
      </c>
      <c r="I44" s="806">
        <f t="shared" si="29"/>
        <v>0</v>
      </c>
      <c r="J44" s="806">
        <f t="shared" si="28"/>
        <v>0</v>
      </c>
      <c r="K44" s="806">
        <f t="shared" si="28"/>
        <v>0</v>
      </c>
      <c r="L44" s="806">
        <f t="shared" si="28"/>
        <v>0</v>
      </c>
      <c r="M44" s="806">
        <f t="shared" si="28"/>
        <v>0</v>
      </c>
      <c r="N44" s="806">
        <f t="shared" si="28"/>
        <v>0</v>
      </c>
      <c r="O44" s="806">
        <f t="shared" si="28"/>
        <v>0</v>
      </c>
      <c r="P44" s="806">
        <f t="shared" si="28"/>
        <v>0</v>
      </c>
      <c r="Q44" s="806">
        <f t="shared" si="28"/>
        <v>0</v>
      </c>
      <c r="R44" s="801">
        <f t="shared" si="19"/>
        <v>0</v>
      </c>
      <c r="S44" s="806">
        <f t="shared" si="19"/>
        <v>0</v>
      </c>
      <c r="T44" s="806">
        <f t="shared" si="19"/>
        <v>0</v>
      </c>
      <c r="U44" s="480">
        <f t="shared" si="19"/>
        <v>0</v>
      </c>
      <c r="V44" s="436"/>
      <c r="W44" s="780"/>
      <c r="X44" s="780"/>
      <c r="Y44" s="780"/>
      <c r="Z44" s="780"/>
      <c r="AA44" s="780"/>
      <c r="AB44" s="780"/>
      <c r="AC44" s="780"/>
      <c r="AD44" s="780"/>
      <c r="AE44" s="780"/>
      <c r="AF44" s="780"/>
      <c r="AG44" s="780"/>
      <c r="AH44" s="780"/>
      <c r="AI44" s="780"/>
      <c r="AJ44" s="780"/>
      <c r="AK44" s="780"/>
      <c r="AL44" s="780"/>
      <c r="AM44" s="780"/>
      <c r="AN44" s="780"/>
      <c r="AO44" s="780"/>
      <c r="AP44" s="780"/>
      <c r="AQ44" s="780"/>
      <c r="AR44" s="780"/>
      <c r="AS44" s="780"/>
    </row>
    <row r="45" spans="1:45" ht="16.5" thickTop="1" thickBot="1" x14ac:dyDescent="0.3">
      <c r="A45" s="447" t="s">
        <v>775</v>
      </c>
      <c r="B45" s="794"/>
      <c r="C45" s="792"/>
      <c r="D45" s="792"/>
      <c r="E45" s="792"/>
      <c r="F45" s="792">
        <v>0</v>
      </c>
      <c r="G45" s="792"/>
      <c r="H45" s="792"/>
      <c r="I45" s="792"/>
      <c r="J45" s="792"/>
      <c r="K45" s="792"/>
      <c r="L45" s="792"/>
      <c r="M45" s="792"/>
      <c r="N45" s="792"/>
      <c r="O45" s="792"/>
      <c r="P45" s="792"/>
      <c r="Q45" s="792"/>
      <c r="R45" s="792">
        <f t="shared" si="19"/>
        <v>0</v>
      </c>
      <c r="S45" s="792">
        <f t="shared" si="19"/>
        <v>0</v>
      </c>
      <c r="T45" s="792">
        <f t="shared" si="19"/>
        <v>0</v>
      </c>
      <c r="U45" s="213">
        <f t="shared" si="19"/>
        <v>0</v>
      </c>
      <c r="V45" s="436"/>
      <c r="W45" s="780"/>
      <c r="X45" s="780"/>
      <c r="Y45" s="780"/>
      <c r="Z45" s="780"/>
      <c r="AA45" s="780"/>
      <c r="AB45" s="780"/>
      <c r="AC45" s="780"/>
      <c r="AD45" s="780"/>
      <c r="AE45" s="780"/>
      <c r="AF45" s="780"/>
      <c r="AG45" s="780"/>
      <c r="AH45" s="780"/>
      <c r="AI45" s="780"/>
      <c r="AJ45" s="780"/>
      <c r="AK45" s="780"/>
      <c r="AL45" s="780"/>
      <c r="AM45" s="780"/>
      <c r="AN45" s="780"/>
      <c r="AO45" s="780"/>
      <c r="AP45" s="780"/>
      <c r="AQ45" s="780"/>
      <c r="AR45" s="780"/>
      <c r="AS45" s="780"/>
    </row>
    <row r="46" spans="1:45" ht="16.5" thickTop="1" thickBot="1" x14ac:dyDescent="0.3">
      <c r="A46" s="447" t="s">
        <v>776</v>
      </c>
      <c r="B46" s="794"/>
      <c r="C46" s="792"/>
      <c r="D46" s="792"/>
      <c r="E46" s="792"/>
      <c r="F46" s="792">
        <v>0</v>
      </c>
      <c r="G46" s="792"/>
      <c r="H46" s="792"/>
      <c r="I46" s="792"/>
      <c r="J46" s="792"/>
      <c r="K46" s="792"/>
      <c r="L46" s="792"/>
      <c r="M46" s="792"/>
      <c r="N46" s="792"/>
      <c r="O46" s="792"/>
      <c r="P46" s="792"/>
      <c r="Q46" s="792"/>
      <c r="R46" s="792">
        <f t="shared" si="19"/>
        <v>0</v>
      </c>
      <c r="S46" s="792">
        <f t="shared" si="19"/>
        <v>0</v>
      </c>
      <c r="T46" s="792">
        <f t="shared" si="19"/>
        <v>0</v>
      </c>
      <c r="U46" s="213">
        <f t="shared" si="19"/>
        <v>0</v>
      </c>
      <c r="V46" s="436"/>
      <c r="W46" s="780"/>
      <c r="X46" s="780"/>
      <c r="Y46" s="780"/>
      <c r="Z46" s="780"/>
      <c r="AA46" s="780"/>
      <c r="AB46" s="780"/>
      <c r="AC46" s="780"/>
      <c r="AD46" s="780"/>
      <c r="AE46" s="780"/>
      <c r="AF46" s="780"/>
      <c r="AG46" s="780"/>
      <c r="AH46" s="780"/>
      <c r="AI46" s="780"/>
      <c r="AJ46" s="780"/>
      <c r="AK46" s="780"/>
      <c r="AL46" s="780"/>
      <c r="AM46" s="780"/>
      <c r="AN46" s="780"/>
      <c r="AO46" s="780"/>
      <c r="AP46" s="780"/>
      <c r="AQ46" s="780"/>
      <c r="AR46" s="780"/>
      <c r="AS46" s="780"/>
    </row>
    <row r="47" spans="1:45" ht="16.5" thickTop="1" thickBot="1" x14ac:dyDescent="0.3">
      <c r="A47" s="447" t="s">
        <v>756</v>
      </c>
      <c r="B47" s="794"/>
      <c r="C47" s="792"/>
      <c r="D47" s="792"/>
      <c r="E47" s="792"/>
      <c r="F47" s="792">
        <v>0</v>
      </c>
      <c r="G47" s="792"/>
      <c r="H47" s="792"/>
      <c r="I47" s="792"/>
      <c r="J47" s="792"/>
      <c r="K47" s="792"/>
      <c r="L47" s="792"/>
      <c r="M47" s="792"/>
      <c r="N47" s="792"/>
      <c r="O47" s="792"/>
      <c r="P47" s="792"/>
      <c r="Q47" s="792"/>
      <c r="R47" s="792">
        <f t="shared" si="19"/>
        <v>0</v>
      </c>
      <c r="S47" s="792">
        <f t="shared" si="19"/>
        <v>0</v>
      </c>
      <c r="T47" s="792">
        <f t="shared" si="19"/>
        <v>0</v>
      </c>
      <c r="U47" s="213">
        <f t="shared" si="19"/>
        <v>0</v>
      </c>
      <c r="V47" s="436"/>
      <c r="W47" s="780"/>
      <c r="X47" s="780"/>
      <c r="Y47" s="780"/>
      <c r="Z47" s="780"/>
      <c r="AA47" s="780"/>
      <c r="AB47" s="780"/>
      <c r="AC47" s="780"/>
      <c r="AD47" s="780"/>
      <c r="AE47" s="780"/>
      <c r="AF47" s="780"/>
      <c r="AG47" s="780"/>
      <c r="AH47" s="780"/>
      <c r="AI47" s="780"/>
      <c r="AJ47" s="780"/>
      <c r="AK47" s="780"/>
      <c r="AL47" s="780"/>
      <c r="AM47" s="780"/>
      <c r="AN47" s="780"/>
      <c r="AO47" s="780"/>
      <c r="AP47" s="780"/>
      <c r="AQ47" s="780"/>
      <c r="AR47" s="780"/>
      <c r="AS47" s="780"/>
    </row>
    <row r="48" spans="1:45" ht="16.5" thickTop="1" thickBot="1" x14ac:dyDescent="0.3">
      <c r="A48" s="447" t="s">
        <v>777</v>
      </c>
      <c r="B48" s="794"/>
      <c r="C48" s="792"/>
      <c r="D48" s="792"/>
      <c r="E48" s="792"/>
      <c r="F48" s="792">
        <v>0</v>
      </c>
      <c r="G48" s="792">
        <v>0</v>
      </c>
      <c r="H48" s="792">
        <v>0</v>
      </c>
      <c r="I48" s="792">
        <v>0</v>
      </c>
      <c r="J48" s="792"/>
      <c r="K48" s="792"/>
      <c r="L48" s="792"/>
      <c r="M48" s="792"/>
      <c r="N48" s="792"/>
      <c r="O48" s="792"/>
      <c r="P48" s="792"/>
      <c r="Q48" s="792"/>
      <c r="R48" s="796">
        <f t="shared" si="19"/>
        <v>0</v>
      </c>
      <c r="S48" s="792">
        <f t="shared" si="19"/>
        <v>0</v>
      </c>
      <c r="T48" s="792">
        <f t="shared" si="19"/>
        <v>0</v>
      </c>
      <c r="U48" s="213">
        <f t="shared" si="19"/>
        <v>0</v>
      </c>
      <c r="V48" s="436"/>
      <c r="W48" s="780"/>
      <c r="X48" s="780"/>
      <c r="Y48" s="780"/>
      <c r="Z48" s="780"/>
      <c r="AA48" s="780"/>
      <c r="AB48" s="780"/>
      <c r="AC48" s="780"/>
      <c r="AD48" s="780"/>
      <c r="AE48" s="780"/>
      <c r="AF48" s="780"/>
      <c r="AG48" s="780"/>
      <c r="AH48" s="780"/>
      <c r="AI48" s="780"/>
      <c r="AJ48" s="780"/>
      <c r="AK48" s="780"/>
      <c r="AL48" s="780"/>
      <c r="AM48" s="780"/>
      <c r="AN48" s="780"/>
      <c r="AO48" s="780"/>
      <c r="AP48" s="780"/>
      <c r="AQ48" s="780"/>
      <c r="AR48" s="780"/>
      <c r="AS48" s="780"/>
    </row>
    <row r="49" spans="1:45" ht="16.5" thickTop="1" thickBot="1" x14ac:dyDescent="0.3">
      <c r="A49" s="432" t="s">
        <v>1459</v>
      </c>
      <c r="B49" s="214">
        <f t="shared" ref="B49:Q49" si="30">B51+B80+B94+B139+B153+B167+B181+B206</f>
        <v>16051400677</v>
      </c>
      <c r="C49" s="214">
        <f t="shared" si="30"/>
        <v>9940965405</v>
      </c>
      <c r="D49" s="214">
        <f>D51+D80+D94+D139+D153+D167+D181+D206</f>
        <v>2123592634</v>
      </c>
      <c r="E49" s="791">
        <f>E51+E80+E94+E139+E153+E167+E181+E206</f>
        <v>1872189364</v>
      </c>
      <c r="F49" s="791">
        <f t="shared" si="30"/>
        <v>0</v>
      </c>
      <c r="G49" s="791">
        <f t="shared" si="30"/>
        <v>0</v>
      </c>
      <c r="H49" s="791">
        <f t="shared" si="30"/>
        <v>0</v>
      </c>
      <c r="I49" s="791">
        <f t="shared" si="30"/>
        <v>0</v>
      </c>
      <c r="J49" s="791">
        <f t="shared" si="30"/>
        <v>0</v>
      </c>
      <c r="K49" s="791">
        <f t="shared" si="30"/>
        <v>0</v>
      </c>
      <c r="L49" s="791">
        <f t="shared" si="30"/>
        <v>0</v>
      </c>
      <c r="M49" s="791">
        <f t="shared" si="30"/>
        <v>0</v>
      </c>
      <c r="N49" s="791">
        <f t="shared" si="30"/>
        <v>28540926653</v>
      </c>
      <c r="O49" s="791">
        <f t="shared" si="30"/>
        <v>5973286993</v>
      </c>
      <c r="P49" s="791">
        <f t="shared" si="30"/>
        <v>187867273</v>
      </c>
      <c r="Q49" s="791">
        <f t="shared" si="30"/>
        <v>121067627</v>
      </c>
      <c r="R49" s="810">
        <f>B49+F49+J49+N49</f>
        <v>44592327330</v>
      </c>
      <c r="S49" s="810">
        <f>C49+G49+K49+O49</f>
        <v>15914252398</v>
      </c>
      <c r="T49" s="810">
        <f t="shared" ref="T49" si="31">D49+H49+L49+P49</f>
        <v>2311459907</v>
      </c>
      <c r="U49" s="810">
        <f>E49+I49+M49+Q49</f>
        <v>1993256991</v>
      </c>
      <c r="V49" s="436"/>
      <c r="W49" s="811"/>
      <c r="X49" s="812">
        <f>'Anexo 1 Matriz Inf Gestión-GD'!AG223-'Anexo 2 Mat Inf Gastos 23'!R49</f>
        <v>0</v>
      </c>
      <c r="Y49" s="812"/>
      <c r="Z49" s="780"/>
      <c r="AA49" s="780"/>
      <c r="AB49" s="780"/>
      <c r="AC49" s="780"/>
      <c r="AD49" s="780"/>
      <c r="AE49" s="780"/>
      <c r="AF49" s="780"/>
      <c r="AG49" s="780"/>
      <c r="AH49" s="780"/>
      <c r="AI49" s="780"/>
      <c r="AJ49" s="780"/>
      <c r="AK49" s="780"/>
      <c r="AL49" s="780"/>
      <c r="AM49" s="780"/>
      <c r="AN49" s="780"/>
      <c r="AO49" s="780"/>
      <c r="AP49" s="780"/>
      <c r="AQ49" s="780"/>
      <c r="AR49" s="780"/>
      <c r="AS49" s="780"/>
    </row>
    <row r="50" spans="1:45" ht="16.5" thickTop="1" thickBot="1" x14ac:dyDescent="0.3">
      <c r="A50" s="485" t="s">
        <v>116</v>
      </c>
      <c r="B50" s="794">
        <f>+B51+B80</f>
        <v>4280400677</v>
      </c>
      <c r="C50" s="810">
        <f>+C51+C80</f>
        <v>3171158553</v>
      </c>
      <c r="D50" s="810">
        <f t="shared" ref="D50:U50" si="32">+D51+D80</f>
        <v>162030672</v>
      </c>
      <c r="E50" s="810">
        <f t="shared" si="32"/>
        <v>139219152</v>
      </c>
      <c r="F50" s="810">
        <f>+F51+F80+F94</f>
        <v>0</v>
      </c>
      <c r="G50" s="810">
        <f t="shared" ref="G50:I50" si="33">+G51+G80+G94</f>
        <v>0</v>
      </c>
      <c r="H50" s="810">
        <f t="shared" si="33"/>
        <v>0</v>
      </c>
      <c r="I50" s="810">
        <f t="shared" si="33"/>
        <v>0</v>
      </c>
      <c r="J50" s="810">
        <f t="shared" si="32"/>
        <v>0</v>
      </c>
      <c r="K50" s="810">
        <f t="shared" si="32"/>
        <v>0</v>
      </c>
      <c r="L50" s="810">
        <f t="shared" si="32"/>
        <v>0</v>
      </c>
      <c r="M50" s="810">
        <f t="shared" si="32"/>
        <v>0</v>
      </c>
      <c r="N50" s="810">
        <f t="shared" si="32"/>
        <v>1709455689</v>
      </c>
      <c r="O50" s="810">
        <f t="shared" si="32"/>
        <v>0</v>
      </c>
      <c r="P50" s="810">
        <f t="shared" si="32"/>
        <v>0</v>
      </c>
      <c r="Q50" s="810">
        <f t="shared" si="32"/>
        <v>0</v>
      </c>
      <c r="R50" s="813">
        <f t="shared" si="32"/>
        <v>4280400677</v>
      </c>
      <c r="S50" s="813">
        <f t="shared" si="32"/>
        <v>3171158553</v>
      </c>
      <c r="T50" s="813">
        <f t="shared" si="32"/>
        <v>162030672</v>
      </c>
      <c r="U50" s="488">
        <f t="shared" si="32"/>
        <v>139219152</v>
      </c>
      <c r="V50" s="436"/>
      <c r="W50" s="780"/>
      <c r="X50" s="780"/>
      <c r="Y50" s="780"/>
      <c r="Z50" s="780"/>
      <c r="AA50" s="780"/>
      <c r="AB50" s="780"/>
      <c r="AC50" s="780"/>
      <c r="AD50" s="780"/>
      <c r="AE50" s="780"/>
      <c r="AF50" s="780"/>
      <c r="AG50" s="780"/>
      <c r="AH50" s="780"/>
      <c r="AI50" s="780"/>
      <c r="AJ50" s="780"/>
      <c r="AK50" s="780"/>
      <c r="AL50" s="780"/>
      <c r="AM50" s="780"/>
      <c r="AN50" s="780"/>
      <c r="AO50" s="780"/>
      <c r="AP50" s="780"/>
      <c r="AQ50" s="780"/>
      <c r="AR50" s="780"/>
      <c r="AS50" s="780"/>
    </row>
    <row r="51" spans="1:45" ht="27" thickTop="1" thickBot="1" x14ac:dyDescent="0.3">
      <c r="A51" s="216" t="s">
        <v>117</v>
      </c>
      <c r="B51" s="794">
        <f>+B52+B56+B60+B64+B68+B72+B76</f>
        <v>3080400677</v>
      </c>
      <c r="C51" s="794">
        <f t="shared" ref="C51:E51" si="34">+C52+C56+C60+C64+C68+C72+C76</f>
        <v>2559669053</v>
      </c>
      <c r="D51" s="794">
        <f t="shared" si="34"/>
        <v>121071826</v>
      </c>
      <c r="E51" s="794">
        <f t="shared" si="34"/>
        <v>101441306</v>
      </c>
      <c r="F51" s="810">
        <f t="shared" ref="F51:Q51" si="35">+F52+F72</f>
        <v>0</v>
      </c>
      <c r="G51" s="810">
        <f t="shared" si="35"/>
        <v>0</v>
      </c>
      <c r="H51" s="810">
        <f t="shared" si="35"/>
        <v>0</v>
      </c>
      <c r="I51" s="810">
        <f t="shared" si="35"/>
        <v>0</v>
      </c>
      <c r="J51" s="810">
        <f t="shared" si="35"/>
        <v>0</v>
      </c>
      <c r="K51" s="810">
        <f t="shared" si="35"/>
        <v>0</v>
      </c>
      <c r="L51" s="810">
        <f t="shared" si="35"/>
        <v>0</v>
      </c>
      <c r="M51" s="810">
        <f t="shared" si="35"/>
        <v>0</v>
      </c>
      <c r="N51" s="810">
        <f>+N52+N56+N60+N64+N68+N72+N76</f>
        <v>1709455689</v>
      </c>
      <c r="O51" s="810">
        <f t="shared" si="35"/>
        <v>0</v>
      </c>
      <c r="P51" s="810">
        <f t="shared" si="35"/>
        <v>0</v>
      </c>
      <c r="Q51" s="810">
        <f t="shared" si="35"/>
        <v>0</v>
      </c>
      <c r="R51" s="813">
        <f>R52+R56+R60+R64+R68+R72</f>
        <v>3080400677</v>
      </c>
      <c r="S51" s="813">
        <f t="shared" ref="S51:U51" si="36">S52+S56+S60+S64+S68+S72</f>
        <v>2559669053</v>
      </c>
      <c r="T51" s="813">
        <f t="shared" si="36"/>
        <v>121071826</v>
      </c>
      <c r="U51" s="813">
        <f t="shared" si="36"/>
        <v>101441306</v>
      </c>
      <c r="V51" s="436"/>
      <c r="W51" s="780"/>
      <c r="X51" s="780"/>
      <c r="Y51" s="780"/>
      <c r="Z51" s="780"/>
      <c r="AA51" s="780"/>
      <c r="AB51" s="780"/>
      <c r="AC51" s="780"/>
      <c r="AD51" s="780"/>
      <c r="AE51" s="780"/>
      <c r="AF51" s="780"/>
      <c r="AG51" s="780"/>
      <c r="AH51" s="780"/>
      <c r="AI51" s="780"/>
      <c r="AJ51" s="780"/>
      <c r="AK51" s="780"/>
      <c r="AL51" s="780"/>
      <c r="AM51" s="780"/>
      <c r="AN51" s="780"/>
      <c r="AO51" s="780"/>
      <c r="AP51" s="780"/>
      <c r="AQ51" s="780"/>
      <c r="AR51" s="780"/>
      <c r="AS51" s="780"/>
    </row>
    <row r="52" spans="1:45" ht="39.75" thickTop="1" thickBot="1" x14ac:dyDescent="0.3">
      <c r="A52" s="491" t="s">
        <v>778</v>
      </c>
      <c r="B52" s="794">
        <f>+B53</f>
        <v>200000000</v>
      </c>
      <c r="C52" s="794">
        <f>+C53</f>
        <v>95101700</v>
      </c>
      <c r="D52" s="794">
        <f>+D53</f>
        <v>13939193</v>
      </c>
      <c r="E52" s="794">
        <f t="shared" ref="E52:Q52" si="37">+E53</f>
        <v>10883353</v>
      </c>
      <c r="F52" s="814">
        <f t="shared" si="37"/>
        <v>0</v>
      </c>
      <c r="G52" s="814">
        <f t="shared" si="37"/>
        <v>0</v>
      </c>
      <c r="H52" s="814">
        <f t="shared" si="37"/>
        <v>0</v>
      </c>
      <c r="I52" s="814">
        <f t="shared" si="37"/>
        <v>0</v>
      </c>
      <c r="J52" s="814">
        <f t="shared" si="37"/>
        <v>0</v>
      </c>
      <c r="K52" s="814">
        <f t="shared" si="37"/>
        <v>0</v>
      </c>
      <c r="L52" s="814">
        <f t="shared" si="37"/>
        <v>0</v>
      </c>
      <c r="M52" s="814">
        <f t="shared" si="37"/>
        <v>0</v>
      </c>
      <c r="N52" s="814">
        <f t="shared" si="37"/>
        <v>0</v>
      </c>
      <c r="O52" s="814">
        <f t="shared" si="37"/>
        <v>0</v>
      </c>
      <c r="P52" s="814">
        <f t="shared" si="37"/>
        <v>0</v>
      </c>
      <c r="Q52" s="814">
        <f t="shared" si="37"/>
        <v>0</v>
      </c>
      <c r="R52" s="815">
        <f>B52+F52+J52+N52</f>
        <v>200000000</v>
      </c>
      <c r="S52" s="815">
        <f t="shared" ref="S52:U52" si="38">C52+G52+K52+O52</f>
        <v>95101700</v>
      </c>
      <c r="T52" s="815">
        <f t="shared" si="38"/>
        <v>13939193</v>
      </c>
      <c r="U52" s="815">
        <f t="shared" si="38"/>
        <v>10883353</v>
      </c>
      <c r="V52" s="436"/>
      <c r="W52" s="816">
        <f>R52+N76</f>
        <v>1909455689</v>
      </c>
      <c r="X52" s="816">
        <f t="shared" ref="X52:Z52" si="39">S52+O76</f>
        <v>95101700</v>
      </c>
      <c r="Y52" s="816">
        <f t="shared" si="39"/>
        <v>13939193</v>
      </c>
      <c r="Z52" s="816">
        <f t="shared" si="39"/>
        <v>10883353</v>
      </c>
      <c r="AA52" s="780"/>
      <c r="AB52" s="780"/>
      <c r="AC52" s="780"/>
      <c r="AD52" s="780"/>
      <c r="AE52" s="780"/>
      <c r="AF52" s="780"/>
      <c r="AG52" s="780"/>
      <c r="AH52" s="780"/>
      <c r="AI52" s="780"/>
      <c r="AJ52" s="780"/>
      <c r="AK52" s="780"/>
      <c r="AL52" s="780"/>
      <c r="AM52" s="780"/>
      <c r="AN52" s="780"/>
      <c r="AO52" s="780"/>
      <c r="AP52" s="780"/>
      <c r="AQ52" s="780"/>
      <c r="AR52" s="780"/>
      <c r="AS52" s="780"/>
    </row>
    <row r="53" spans="1:45" ht="16.5" thickTop="1" thickBot="1" x14ac:dyDescent="0.3">
      <c r="A53" s="495" t="s">
        <v>779</v>
      </c>
      <c r="B53" s="794">
        <f>+B54</f>
        <v>200000000</v>
      </c>
      <c r="C53" s="794">
        <f t="shared" ref="C53:Q54" si="40">+C54</f>
        <v>95101700</v>
      </c>
      <c r="D53" s="794">
        <f t="shared" si="40"/>
        <v>13939193</v>
      </c>
      <c r="E53" s="794">
        <f t="shared" si="40"/>
        <v>10883353</v>
      </c>
      <c r="F53" s="814">
        <f t="shared" si="40"/>
        <v>0</v>
      </c>
      <c r="G53" s="814">
        <f t="shared" si="40"/>
        <v>0</v>
      </c>
      <c r="H53" s="814">
        <f t="shared" si="40"/>
        <v>0</v>
      </c>
      <c r="I53" s="814">
        <f t="shared" si="40"/>
        <v>0</v>
      </c>
      <c r="J53" s="814">
        <f t="shared" si="40"/>
        <v>0</v>
      </c>
      <c r="K53" s="814">
        <f t="shared" si="40"/>
        <v>0</v>
      </c>
      <c r="L53" s="814">
        <f t="shared" si="40"/>
        <v>0</v>
      </c>
      <c r="M53" s="814">
        <f t="shared" si="40"/>
        <v>0</v>
      </c>
      <c r="N53" s="814">
        <f t="shared" si="40"/>
        <v>0</v>
      </c>
      <c r="O53" s="814">
        <f t="shared" si="40"/>
        <v>0</v>
      </c>
      <c r="P53" s="814">
        <f t="shared" si="40"/>
        <v>0</v>
      </c>
      <c r="Q53" s="814">
        <f t="shared" si="40"/>
        <v>0</v>
      </c>
      <c r="R53" s="815">
        <f t="shared" si="19"/>
        <v>200000000</v>
      </c>
      <c r="S53" s="815">
        <f t="shared" si="19"/>
        <v>95101700</v>
      </c>
      <c r="T53" s="815">
        <f t="shared" si="19"/>
        <v>13939193</v>
      </c>
      <c r="U53" s="494">
        <f t="shared" si="19"/>
        <v>10883353</v>
      </c>
      <c r="V53" s="436"/>
      <c r="W53" s="780"/>
      <c r="X53" s="780"/>
      <c r="Y53" s="780"/>
      <c r="Z53" s="780"/>
      <c r="AA53" s="780"/>
      <c r="AB53" s="780"/>
      <c r="AC53" s="780"/>
      <c r="AD53" s="780"/>
      <c r="AE53" s="780"/>
      <c r="AF53" s="780"/>
      <c r="AG53" s="780"/>
      <c r="AH53" s="780"/>
      <c r="AI53" s="780"/>
      <c r="AJ53" s="780"/>
      <c r="AK53" s="780"/>
      <c r="AL53" s="780"/>
      <c r="AM53" s="780"/>
      <c r="AN53" s="780"/>
      <c r="AO53" s="780"/>
      <c r="AP53" s="780"/>
      <c r="AQ53" s="780"/>
      <c r="AR53" s="780"/>
      <c r="AS53" s="780"/>
    </row>
    <row r="54" spans="1:45" ht="16.5" thickTop="1" thickBot="1" x14ac:dyDescent="0.3">
      <c r="A54" s="496" t="s">
        <v>780</v>
      </c>
      <c r="B54" s="794">
        <f>+B55</f>
        <v>200000000</v>
      </c>
      <c r="C54" s="794">
        <f t="shared" si="40"/>
        <v>95101700</v>
      </c>
      <c r="D54" s="794">
        <f t="shared" si="40"/>
        <v>13939193</v>
      </c>
      <c r="E54" s="794">
        <f t="shared" si="40"/>
        <v>10883353</v>
      </c>
      <c r="F54" s="794">
        <f t="shared" si="40"/>
        <v>0</v>
      </c>
      <c r="G54" s="794">
        <f t="shared" si="40"/>
        <v>0</v>
      </c>
      <c r="H54" s="794">
        <f t="shared" si="40"/>
        <v>0</v>
      </c>
      <c r="I54" s="794">
        <f t="shared" si="40"/>
        <v>0</v>
      </c>
      <c r="J54" s="794">
        <f t="shared" si="40"/>
        <v>0</v>
      </c>
      <c r="K54" s="794">
        <f t="shared" si="40"/>
        <v>0</v>
      </c>
      <c r="L54" s="794">
        <f t="shared" si="40"/>
        <v>0</v>
      </c>
      <c r="M54" s="794">
        <f t="shared" si="40"/>
        <v>0</v>
      </c>
      <c r="N54" s="794">
        <f t="shared" si="40"/>
        <v>0</v>
      </c>
      <c r="O54" s="794">
        <f t="shared" si="40"/>
        <v>0</v>
      </c>
      <c r="P54" s="794">
        <f t="shared" si="40"/>
        <v>0</v>
      </c>
      <c r="Q54" s="794">
        <f t="shared" si="40"/>
        <v>0</v>
      </c>
      <c r="R54" s="796">
        <f t="shared" si="19"/>
        <v>200000000</v>
      </c>
      <c r="S54" s="796">
        <f t="shared" si="19"/>
        <v>95101700</v>
      </c>
      <c r="T54" s="796">
        <f t="shared" si="19"/>
        <v>13939193</v>
      </c>
      <c r="U54" s="463">
        <f t="shared" si="19"/>
        <v>10883353</v>
      </c>
      <c r="V54" s="436"/>
      <c r="W54" s="780"/>
      <c r="X54" s="780"/>
      <c r="Y54" s="780"/>
      <c r="Z54" s="780"/>
      <c r="AA54" s="780"/>
      <c r="AB54" s="780"/>
      <c r="AC54" s="780"/>
      <c r="AD54" s="780"/>
      <c r="AE54" s="780"/>
      <c r="AF54" s="780"/>
      <c r="AG54" s="780"/>
      <c r="AH54" s="780"/>
      <c r="AI54" s="780"/>
      <c r="AJ54" s="780"/>
      <c r="AK54" s="780"/>
      <c r="AL54" s="780"/>
      <c r="AM54" s="780"/>
      <c r="AN54" s="780"/>
      <c r="AO54" s="780"/>
      <c r="AP54" s="780"/>
      <c r="AQ54" s="780"/>
      <c r="AR54" s="780"/>
      <c r="AS54" s="780"/>
    </row>
    <row r="55" spans="1:45" ht="16.5" thickTop="1" thickBot="1" x14ac:dyDescent="0.3">
      <c r="A55" s="496" t="s">
        <v>781</v>
      </c>
      <c r="B55" s="794">
        <v>200000000</v>
      </c>
      <c r="C55" s="794">
        <v>95101700</v>
      </c>
      <c r="D55" s="794">
        <v>13939193</v>
      </c>
      <c r="E55" s="794">
        <v>10883353</v>
      </c>
      <c r="F55" s="794"/>
      <c r="G55" s="794"/>
      <c r="H55" s="794"/>
      <c r="I55" s="794"/>
      <c r="J55" s="794"/>
      <c r="K55" s="794"/>
      <c r="L55" s="794"/>
      <c r="M55" s="794"/>
      <c r="N55" s="794">
        <v>0</v>
      </c>
      <c r="O55" s="794"/>
      <c r="P55" s="794"/>
      <c r="Q55" s="794"/>
      <c r="R55" s="796">
        <f t="shared" si="19"/>
        <v>200000000</v>
      </c>
      <c r="S55" s="796">
        <f t="shared" si="19"/>
        <v>95101700</v>
      </c>
      <c r="T55" s="796">
        <f t="shared" si="19"/>
        <v>13939193</v>
      </c>
      <c r="U55" s="463">
        <f t="shared" si="19"/>
        <v>10883353</v>
      </c>
      <c r="V55" s="436"/>
      <c r="W55" s="780"/>
      <c r="X55" s="780"/>
      <c r="Y55" s="780"/>
      <c r="Z55" s="780"/>
      <c r="AA55" s="780"/>
      <c r="AB55" s="780"/>
      <c r="AC55" s="780"/>
      <c r="AD55" s="780"/>
      <c r="AE55" s="780"/>
      <c r="AF55" s="780"/>
      <c r="AG55" s="780"/>
      <c r="AH55" s="780"/>
      <c r="AI55" s="780"/>
      <c r="AJ55" s="780"/>
      <c r="AK55" s="780"/>
      <c r="AL55" s="780"/>
      <c r="AM55" s="780"/>
      <c r="AN55" s="780"/>
      <c r="AO55" s="780"/>
      <c r="AP55" s="780"/>
      <c r="AQ55" s="780"/>
      <c r="AR55" s="780"/>
      <c r="AS55" s="780"/>
    </row>
    <row r="56" spans="1:45" ht="27" thickTop="1" thickBot="1" x14ac:dyDescent="0.3">
      <c r="A56" s="498" t="s">
        <v>140</v>
      </c>
      <c r="B56" s="794">
        <f>B57</f>
        <v>100000000</v>
      </c>
      <c r="C56" s="794">
        <f t="shared" ref="C56:Q56" si="41">C57</f>
        <v>58241200</v>
      </c>
      <c r="D56" s="794">
        <f t="shared" si="41"/>
        <v>10923200</v>
      </c>
      <c r="E56" s="794">
        <f t="shared" si="41"/>
        <v>10923200</v>
      </c>
      <c r="F56" s="794">
        <f t="shared" si="41"/>
        <v>0</v>
      </c>
      <c r="G56" s="794">
        <f t="shared" si="41"/>
        <v>0</v>
      </c>
      <c r="H56" s="794">
        <f t="shared" si="41"/>
        <v>0</v>
      </c>
      <c r="I56" s="794">
        <f t="shared" si="41"/>
        <v>0</v>
      </c>
      <c r="J56" s="794">
        <f t="shared" si="41"/>
        <v>0</v>
      </c>
      <c r="K56" s="794">
        <f t="shared" si="41"/>
        <v>0</v>
      </c>
      <c r="L56" s="794">
        <f t="shared" si="41"/>
        <v>0</v>
      </c>
      <c r="M56" s="794">
        <f t="shared" si="41"/>
        <v>0</v>
      </c>
      <c r="N56" s="794">
        <f t="shared" si="41"/>
        <v>0</v>
      </c>
      <c r="O56" s="794">
        <f t="shared" si="41"/>
        <v>0</v>
      </c>
      <c r="P56" s="794">
        <f t="shared" si="41"/>
        <v>0</v>
      </c>
      <c r="Q56" s="794">
        <f t="shared" si="41"/>
        <v>0</v>
      </c>
      <c r="R56" s="796">
        <f>B56+F56+J56+N56</f>
        <v>100000000</v>
      </c>
      <c r="S56" s="796">
        <f t="shared" ref="S56:V56" si="42">C56+G56+K56+O56</f>
        <v>58241200</v>
      </c>
      <c r="T56" s="796">
        <f t="shared" si="42"/>
        <v>10923200</v>
      </c>
      <c r="U56" s="796">
        <f t="shared" si="42"/>
        <v>10923200</v>
      </c>
      <c r="V56" s="796">
        <f t="shared" si="42"/>
        <v>100000000</v>
      </c>
      <c r="W56" s="780"/>
      <c r="X56" s="780"/>
      <c r="Y56" s="780"/>
      <c r="Z56" s="780"/>
      <c r="AA56" s="780"/>
      <c r="AB56" s="780"/>
      <c r="AC56" s="780"/>
      <c r="AD56" s="780"/>
      <c r="AE56" s="780"/>
      <c r="AF56" s="780"/>
      <c r="AG56" s="780"/>
      <c r="AH56" s="780"/>
      <c r="AI56" s="780"/>
      <c r="AJ56" s="780"/>
      <c r="AK56" s="780"/>
      <c r="AL56" s="780"/>
      <c r="AM56" s="780"/>
      <c r="AN56" s="780"/>
      <c r="AO56" s="780"/>
      <c r="AP56" s="780"/>
      <c r="AQ56" s="780"/>
      <c r="AR56" s="780"/>
      <c r="AS56" s="780"/>
    </row>
    <row r="57" spans="1:45" ht="16.5" thickTop="1" thickBot="1" x14ac:dyDescent="0.3">
      <c r="A57" s="499" t="s">
        <v>779</v>
      </c>
      <c r="B57" s="794">
        <f>+B58</f>
        <v>100000000</v>
      </c>
      <c r="C57" s="794">
        <f t="shared" ref="C57:Q58" si="43">+C58</f>
        <v>58241200</v>
      </c>
      <c r="D57" s="794">
        <f t="shared" si="43"/>
        <v>10923200</v>
      </c>
      <c r="E57" s="794">
        <f t="shared" si="43"/>
        <v>10923200</v>
      </c>
      <c r="F57" s="814">
        <f t="shared" si="43"/>
        <v>0</v>
      </c>
      <c r="G57" s="814">
        <f t="shared" si="43"/>
        <v>0</v>
      </c>
      <c r="H57" s="814">
        <f t="shared" si="43"/>
        <v>0</v>
      </c>
      <c r="I57" s="814">
        <f t="shared" si="43"/>
        <v>0</v>
      </c>
      <c r="J57" s="814">
        <f t="shared" si="43"/>
        <v>0</v>
      </c>
      <c r="K57" s="814">
        <f t="shared" si="43"/>
        <v>0</v>
      </c>
      <c r="L57" s="814">
        <f t="shared" si="43"/>
        <v>0</v>
      </c>
      <c r="M57" s="814">
        <f t="shared" si="43"/>
        <v>0</v>
      </c>
      <c r="N57" s="814">
        <f t="shared" si="43"/>
        <v>0</v>
      </c>
      <c r="O57" s="814">
        <f t="shared" si="43"/>
        <v>0</v>
      </c>
      <c r="P57" s="814">
        <f t="shared" si="43"/>
        <v>0</v>
      </c>
      <c r="Q57" s="814">
        <f t="shared" si="43"/>
        <v>0</v>
      </c>
      <c r="R57" s="815">
        <f t="shared" ref="R57:U59" si="44">+B57+F57+J57+N57</f>
        <v>100000000</v>
      </c>
      <c r="S57" s="815">
        <f t="shared" si="44"/>
        <v>58241200</v>
      </c>
      <c r="T57" s="815">
        <f t="shared" si="44"/>
        <v>10923200</v>
      </c>
      <c r="U57" s="494">
        <f t="shared" si="44"/>
        <v>10923200</v>
      </c>
      <c r="V57" s="436"/>
      <c r="W57" s="786">
        <f>R57</f>
        <v>100000000</v>
      </c>
      <c r="X57" s="780"/>
      <c r="Y57" s="780"/>
      <c r="Z57" s="780"/>
      <c r="AA57" s="780"/>
      <c r="AB57" s="780"/>
      <c r="AC57" s="780"/>
      <c r="AD57" s="780"/>
      <c r="AE57" s="780"/>
      <c r="AF57" s="780"/>
      <c r="AG57" s="780"/>
      <c r="AH57" s="780"/>
      <c r="AI57" s="780"/>
      <c r="AJ57" s="780"/>
      <c r="AK57" s="780"/>
      <c r="AL57" s="780"/>
      <c r="AM57" s="780"/>
      <c r="AN57" s="780"/>
      <c r="AO57" s="780"/>
      <c r="AP57" s="780"/>
      <c r="AQ57" s="780"/>
      <c r="AR57" s="780"/>
      <c r="AS57" s="780"/>
    </row>
    <row r="58" spans="1:45" ht="16.5" thickTop="1" thickBot="1" x14ac:dyDescent="0.3">
      <c r="A58" s="217" t="s">
        <v>780</v>
      </c>
      <c r="B58" s="794">
        <f>+B59</f>
        <v>100000000</v>
      </c>
      <c r="C58" s="794">
        <f t="shared" si="43"/>
        <v>58241200</v>
      </c>
      <c r="D58" s="794">
        <f t="shared" si="43"/>
        <v>10923200</v>
      </c>
      <c r="E58" s="794">
        <f t="shared" si="43"/>
        <v>10923200</v>
      </c>
      <c r="F58" s="794">
        <f t="shared" si="43"/>
        <v>0</v>
      </c>
      <c r="G58" s="794">
        <f t="shared" si="43"/>
        <v>0</v>
      </c>
      <c r="H58" s="794">
        <f t="shared" si="43"/>
        <v>0</v>
      </c>
      <c r="I58" s="794">
        <f t="shared" si="43"/>
        <v>0</v>
      </c>
      <c r="J58" s="794">
        <f t="shared" si="43"/>
        <v>0</v>
      </c>
      <c r="K58" s="794">
        <f t="shared" si="43"/>
        <v>0</v>
      </c>
      <c r="L58" s="794">
        <f t="shared" si="43"/>
        <v>0</v>
      </c>
      <c r="M58" s="794">
        <f t="shared" si="43"/>
        <v>0</v>
      </c>
      <c r="N58" s="794">
        <f t="shared" si="43"/>
        <v>0</v>
      </c>
      <c r="O58" s="794">
        <f t="shared" si="43"/>
        <v>0</v>
      </c>
      <c r="P58" s="794">
        <f t="shared" si="43"/>
        <v>0</v>
      </c>
      <c r="Q58" s="794">
        <f t="shared" si="43"/>
        <v>0</v>
      </c>
      <c r="R58" s="796">
        <f t="shared" si="44"/>
        <v>100000000</v>
      </c>
      <c r="S58" s="796">
        <f t="shared" si="44"/>
        <v>58241200</v>
      </c>
      <c r="T58" s="796">
        <f t="shared" si="44"/>
        <v>10923200</v>
      </c>
      <c r="U58" s="463">
        <f t="shared" si="44"/>
        <v>10923200</v>
      </c>
      <c r="V58" s="436"/>
      <c r="W58" s="780"/>
      <c r="X58" s="780"/>
      <c r="Y58" s="780"/>
      <c r="Z58" s="780"/>
      <c r="AA58" s="780"/>
      <c r="AB58" s="780"/>
      <c r="AC58" s="780"/>
      <c r="AD58" s="780"/>
      <c r="AE58" s="780"/>
      <c r="AF58" s="780"/>
      <c r="AG58" s="780"/>
      <c r="AH58" s="780"/>
      <c r="AI58" s="780"/>
      <c r="AJ58" s="780"/>
      <c r="AK58" s="780"/>
      <c r="AL58" s="780"/>
      <c r="AM58" s="780"/>
      <c r="AN58" s="780"/>
      <c r="AO58" s="780"/>
      <c r="AP58" s="780"/>
      <c r="AQ58" s="780"/>
      <c r="AR58" s="780"/>
      <c r="AS58" s="780"/>
    </row>
    <row r="59" spans="1:45" ht="16.5" thickTop="1" thickBot="1" x14ac:dyDescent="0.3">
      <c r="A59" s="217" t="s">
        <v>781</v>
      </c>
      <c r="B59" s="794">
        <v>100000000</v>
      </c>
      <c r="C59" s="794">
        <v>58241200</v>
      </c>
      <c r="D59" s="794">
        <v>10923200</v>
      </c>
      <c r="E59" s="794">
        <v>10923200</v>
      </c>
      <c r="F59" s="794"/>
      <c r="G59" s="794"/>
      <c r="H59" s="794"/>
      <c r="I59" s="794"/>
      <c r="J59" s="794"/>
      <c r="K59" s="794"/>
      <c r="L59" s="794"/>
      <c r="M59" s="794"/>
      <c r="N59" s="794"/>
      <c r="O59" s="794"/>
      <c r="P59" s="794"/>
      <c r="Q59" s="794"/>
      <c r="R59" s="796">
        <f t="shared" si="44"/>
        <v>100000000</v>
      </c>
      <c r="S59" s="796">
        <f t="shared" si="44"/>
        <v>58241200</v>
      </c>
      <c r="T59" s="796">
        <f t="shared" si="44"/>
        <v>10923200</v>
      </c>
      <c r="U59" s="463">
        <f t="shared" si="44"/>
        <v>10923200</v>
      </c>
      <c r="V59" s="436"/>
      <c r="W59" s="780"/>
      <c r="X59" s="780"/>
      <c r="Y59" s="780"/>
      <c r="Z59" s="780"/>
      <c r="AA59" s="780"/>
      <c r="AB59" s="780"/>
      <c r="AC59" s="780"/>
      <c r="AD59" s="780"/>
      <c r="AE59" s="780"/>
      <c r="AF59" s="780"/>
      <c r="AG59" s="780"/>
      <c r="AH59" s="780"/>
      <c r="AI59" s="780"/>
      <c r="AJ59" s="780"/>
      <c r="AK59" s="780"/>
      <c r="AL59" s="780"/>
      <c r="AM59" s="780"/>
      <c r="AN59" s="780"/>
      <c r="AO59" s="780"/>
      <c r="AP59" s="780"/>
      <c r="AQ59" s="780"/>
      <c r="AR59" s="780"/>
      <c r="AS59" s="780"/>
    </row>
    <row r="60" spans="1:45" ht="27" thickTop="1" thickBot="1" x14ac:dyDescent="0.3">
      <c r="A60" s="498" t="s">
        <v>149</v>
      </c>
      <c r="B60" s="794">
        <f>+B61</f>
        <v>200000000</v>
      </c>
      <c r="C60" s="794">
        <f t="shared" ref="C60:Q62" si="45">+C61</f>
        <v>31264320</v>
      </c>
      <c r="D60" s="794">
        <f t="shared" si="45"/>
        <v>19143320</v>
      </c>
      <c r="E60" s="794">
        <f t="shared" si="45"/>
        <v>14901320</v>
      </c>
      <c r="F60" s="794">
        <f t="shared" si="45"/>
        <v>0</v>
      </c>
      <c r="G60" s="794">
        <f t="shared" si="45"/>
        <v>0</v>
      </c>
      <c r="H60" s="794">
        <f t="shared" si="45"/>
        <v>0</v>
      </c>
      <c r="I60" s="794">
        <f t="shared" si="45"/>
        <v>0</v>
      </c>
      <c r="J60" s="794">
        <f t="shared" si="45"/>
        <v>0</v>
      </c>
      <c r="K60" s="794">
        <f t="shared" si="45"/>
        <v>0</v>
      </c>
      <c r="L60" s="794">
        <f t="shared" si="45"/>
        <v>0</v>
      </c>
      <c r="M60" s="794">
        <f t="shared" si="45"/>
        <v>0</v>
      </c>
      <c r="N60" s="794">
        <f t="shared" si="45"/>
        <v>0</v>
      </c>
      <c r="O60" s="794">
        <f t="shared" si="45"/>
        <v>0</v>
      </c>
      <c r="P60" s="794">
        <f t="shared" si="45"/>
        <v>0</v>
      </c>
      <c r="Q60" s="794">
        <f t="shared" si="45"/>
        <v>0</v>
      </c>
      <c r="R60" s="796">
        <f>B60+F60+J60+N60</f>
        <v>200000000</v>
      </c>
      <c r="S60" s="796">
        <f t="shared" ref="S60:V60" si="46">C60+G60+K60+O60</f>
        <v>31264320</v>
      </c>
      <c r="T60" s="796">
        <f t="shared" si="46"/>
        <v>19143320</v>
      </c>
      <c r="U60" s="796">
        <f t="shared" si="46"/>
        <v>14901320</v>
      </c>
      <c r="V60" s="796">
        <f t="shared" si="46"/>
        <v>200000000</v>
      </c>
      <c r="W60" s="780"/>
      <c r="X60" s="780"/>
      <c r="Y60" s="780"/>
      <c r="Z60" s="780"/>
      <c r="AA60" s="780"/>
      <c r="AB60" s="780"/>
      <c r="AC60" s="780"/>
      <c r="AD60" s="780"/>
      <c r="AE60" s="780"/>
      <c r="AF60" s="780"/>
      <c r="AG60" s="780"/>
      <c r="AH60" s="780"/>
      <c r="AI60" s="780"/>
      <c r="AJ60" s="780"/>
      <c r="AK60" s="780"/>
      <c r="AL60" s="780"/>
      <c r="AM60" s="780"/>
      <c r="AN60" s="780"/>
      <c r="AO60" s="780"/>
      <c r="AP60" s="780"/>
      <c r="AQ60" s="780"/>
      <c r="AR60" s="780"/>
      <c r="AS60" s="780"/>
    </row>
    <row r="61" spans="1:45" ht="16.5" thickTop="1" thickBot="1" x14ac:dyDescent="0.3">
      <c r="A61" s="499" t="s">
        <v>779</v>
      </c>
      <c r="B61" s="794">
        <f>+B62</f>
        <v>200000000</v>
      </c>
      <c r="C61" s="794">
        <f t="shared" si="45"/>
        <v>31264320</v>
      </c>
      <c r="D61" s="794">
        <f t="shared" si="45"/>
        <v>19143320</v>
      </c>
      <c r="E61" s="794">
        <f t="shared" si="45"/>
        <v>14901320</v>
      </c>
      <c r="F61" s="814">
        <f t="shared" si="45"/>
        <v>0</v>
      </c>
      <c r="G61" s="814">
        <f t="shared" si="45"/>
        <v>0</v>
      </c>
      <c r="H61" s="814">
        <f t="shared" si="45"/>
        <v>0</v>
      </c>
      <c r="I61" s="814">
        <f t="shared" si="45"/>
        <v>0</v>
      </c>
      <c r="J61" s="814">
        <f t="shared" si="45"/>
        <v>0</v>
      </c>
      <c r="K61" s="814">
        <f t="shared" si="45"/>
        <v>0</v>
      </c>
      <c r="L61" s="814">
        <f t="shared" si="45"/>
        <v>0</v>
      </c>
      <c r="M61" s="814">
        <f t="shared" si="45"/>
        <v>0</v>
      </c>
      <c r="N61" s="814">
        <f t="shared" si="45"/>
        <v>0</v>
      </c>
      <c r="O61" s="814">
        <f t="shared" si="45"/>
        <v>0</v>
      </c>
      <c r="P61" s="814">
        <f t="shared" si="45"/>
        <v>0</v>
      </c>
      <c r="Q61" s="814">
        <f t="shared" si="45"/>
        <v>0</v>
      </c>
      <c r="R61" s="815">
        <f t="shared" ref="R61:U63" si="47">+B61+F61+J61+N61</f>
        <v>200000000</v>
      </c>
      <c r="S61" s="815">
        <f t="shared" si="47"/>
        <v>31264320</v>
      </c>
      <c r="T61" s="815">
        <f t="shared" si="47"/>
        <v>19143320</v>
      </c>
      <c r="U61" s="494">
        <f t="shared" si="47"/>
        <v>14901320</v>
      </c>
      <c r="V61" s="436"/>
      <c r="W61" s="786">
        <f>R61</f>
        <v>200000000</v>
      </c>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row>
    <row r="62" spans="1:45" ht="16.5" thickTop="1" thickBot="1" x14ac:dyDescent="0.3">
      <c r="A62" s="217" t="s">
        <v>780</v>
      </c>
      <c r="B62" s="794">
        <f>+B63</f>
        <v>200000000</v>
      </c>
      <c r="C62" s="794">
        <f t="shared" si="45"/>
        <v>31264320</v>
      </c>
      <c r="D62" s="794">
        <f t="shared" si="45"/>
        <v>19143320</v>
      </c>
      <c r="E62" s="794">
        <f t="shared" si="45"/>
        <v>14901320</v>
      </c>
      <c r="F62" s="794">
        <f t="shared" si="45"/>
        <v>0</v>
      </c>
      <c r="G62" s="794">
        <f t="shared" si="45"/>
        <v>0</v>
      </c>
      <c r="H62" s="794">
        <f t="shared" si="45"/>
        <v>0</v>
      </c>
      <c r="I62" s="794">
        <f t="shared" si="45"/>
        <v>0</v>
      </c>
      <c r="J62" s="794">
        <f t="shared" si="45"/>
        <v>0</v>
      </c>
      <c r="K62" s="794">
        <f t="shared" si="45"/>
        <v>0</v>
      </c>
      <c r="L62" s="794">
        <f t="shared" si="45"/>
        <v>0</v>
      </c>
      <c r="M62" s="794">
        <f t="shared" si="45"/>
        <v>0</v>
      </c>
      <c r="N62" s="794">
        <f t="shared" si="45"/>
        <v>0</v>
      </c>
      <c r="O62" s="794">
        <f t="shared" si="45"/>
        <v>0</v>
      </c>
      <c r="P62" s="794">
        <f t="shared" si="45"/>
        <v>0</v>
      </c>
      <c r="Q62" s="794">
        <f t="shared" si="45"/>
        <v>0</v>
      </c>
      <c r="R62" s="796">
        <f t="shared" si="47"/>
        <v>200000000</v>
      </c>
      <c r="S62" s="796">
        <f t="shared" si="47"/>
        <v>31264320</v>
      </c>
      <c r="T62" s="796">
        <f t="shared" si="47"/>
        <v>19143320</v>
      </c>
      <c r="U62" s="463">
        <f t="shared" si="47"/>
        <v>14901320</v>
      </c>
      <c r="V62" s="436"/>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row>
    <row r="63" spans="1:45" ht="16.5" thickTop="1" thickBot="1" x14ac:dyDescent="0.3">
      <c r="A63" s="217" t="s">
        <v>781</v>
      </c>
      <c r="B63" s="794">
        <v>200000000</v>
      </c>
      <c r="C63" s="794">
        <v>31264320</v>
      </c>
      <c r="D63" s="794">
        <v>19143320</v>
      </c>
      <c r="E63" s="794">
        <v>14901320</v>
      </c>
      <c r="F63" s="794"/>
      <c r="G63" s="794"/>
      <c r="H63" s="794"/>
      <c r="I63" s="794"/>
      <c r="J63" s="794"/>
      <c r="K63" s="794"/>
      <c r="L63" s="794"/>
      <c r="M63" s="794"/>
      <c r="N63" s="794"/>
      <c r="O63" s="794"/>
      <c r="P63" s="794"/>
      <c r="Q63" s="794"/>
      <c r="R63" s="796">
        <f t="shared" si="47"/>
        <v>200000000</v>
      </c>
      <c r="S63" s="796">
        <f t="shared" si="47"/>
        <v>31264320</v>
      </c>
      <c r="T63" s="796">
        <f t="shared" si="47"/>
        <v>19143320</v>
      </c>
      <c r="U63" s="463">
        <f t="shared" si="47"/>
        <v>14901320</v>
      </c>
      <c r="V63" s="436"/>
      <c r="W63" s="780"/>
      <c r="X63" s="780"/>
      <c r="Y63" s="780"/>
      <c r="Z63" s="780"/>
      <c r="AA63" s="780"/>
      <c r="AB63" s="780"/>
      <c r="AC63" s="780"/>
      <c r="AD63" s="780"/>
      <c r="AE63" s="780"/>
      <c r="AF63" s="780"/>
      <c r="AG63" s="780"/>
      <c r="AH63" s="780"/>
      <c r="AI63" s="780"/>
      <c r="AJ63" s="780"/>
      <c r="AK63" s="780"/>
      <c r="AL63" s="780"/>
      <c r="AM63" s="780"/>
      <c r="AN63" s="780"/>
      <c r="AO63" s="780"/>
      <c r="AP63" s="780"/>
      <c r="AQ63" s="780"/>
      <c r="AR63" s="780"/>
      <c r="AS63" s="780"/>
    </row>
    <row r="64" spans="1:45" ht="27" thickTop="1" thickBot="1" x14ac:dyDescent="0.3">
      <c r="A64" s="498" t="s">
        <v>166</v>
      </c>
      <c r="B64" s="794">
        <f>+B65</f>
        <v>80000000</v>
      </c>
      <c r="C64" s="794">
        <f t="shared" ref="C64:Q66" si="48">+C65</f>
        <v>8000000</v>
      </c>
      <c r="D64" s="794">
        <f t="shared" si="48"/>
        <v>0</v>
      </c>
      <c r="E64" s="794">
        <f t="shared" si="48"/>
        <v>0</v>
      </c>
      <c r="F64" s="794">
        <f t="shared" si="48"/>
        <v>0</v>
      </c>
      <c r="G64" s="794">
        <f t="shared" si="48"/>
        <v>0</v>
      </c>
      <c r="H64" s="794">
        <f t="shared" si="48"/>
        <v>0</v>
      </c>
      <c r="I64" s="794">
        <f t="shared" si="48"/>
        <v>0</v>
      </c>
      <c r="J64" s="794">
        <f t="shared" si="48"/>
        <v>0</v>
      </c>
      <c r="K64" s="794">
        <f t="shared" si="48"/>
        <v>0</v>
      </c>
      <c r="L64" s="794">
        <f t="shared" si="48"/>
        <v>0</v>
      </c>
      <c r="M64" s="794">
        <f t="shared" si="48"/>
        <v>0</v>
      </c>
      <c r="N64" s="794">
        <f t="shared" si="48"/>
        <v>0</v>
      </c>
      <c r="O64" s="794">
        <f t="shared" si="48"/>
        <v>0</v>
      </c>
      <c r="P64" s="794">
        <f t="shared" si="48"/>
        <v>0</v>
      </c>
      <c r="Q64" s="794">
        <f t="shared" si="48"/>
        <v>0</v>
      </c>
      <c r="R64" s="796">
        <f>B64+F64+J64+N64</f>
        <v>80000000</v>
      </c>
      <c r="S64" s="796">
        <f t="shared" ref="S64:V64" si="49">C64+G64+K64+O64</f>
        <v>8000000</v>
      </c>
      <c r="T64" s="796">
        <f t="shared" si="49"/>
        <v>0</v>
      </c>
      <c r="U64" s="796">
        <f t="shared" si="49"/>
        <v>0</v>
      </c>
      <c r="V64" s="796">
        <f t="shared" si="49"/>
        <v>80000000</v>
      </c>
      <c r="W64" s="780"/>
      <c r="X64" s="780"/>
      <c r="Y64" s="780"/>
      <c r="Z64" s="780"/>
      <c r="AA64" s="780"/>
      <c r="AB64" s="780"/>
      <c r="AC64" s="780"/>
      <c r="AD64" s="780"/>
      <c r="AE64" s="780"/>
      <c r="AF64" s="780"/>
      <c r="AG64" s="780"/>
      <c r="AH64" s="780"/>
      <c r="AI64" s="780"/>
      <c r="AJ64" s="780"/>
      <c r="AK64" s="780"/>
      <c r="AL64" s="780"/>
      <c r="AM64" s="780"/>
      <c r="AN64" s="780"/>
      <c r="AO64" s="780"/>
      <c r="AP64" s="780"/>
      <c r="AQ64" s="780"/>
      <c r="AR64" s="780"/>
      <c r="AS64" s="780"/>
    </row>
    <row r="65" spans="1:45" ht="16.5" thickTop="1" thickBot="1" x14ac:dyDescent="0.3">
      <c r="A65" s="499" t="s">
        <v>779</v>
      </c>
      <c r="B65" s="794">
        <f>+B66</f>
        <v>80000000</v>
      </c>
      <c r="C65" s="794">
        <f t="shared" si="48"/>
        <v>8000000</v>
      </c>
      <c r="D65" s="794">
        <f t="shared" si="48"/>
        <v>0</v>
      </c>
      <c r="E65" s="794">
        <f t="shared" si="48"/>
        <v>0</v>
      </c>
      <c r="F65" s="814">
        <f t="shared" si="48"/>
        <v>0</v>
      </c>
      <c r="G65" s="814">
        <f t="shared" si="48"/>
        <v>0</v>
      </c>
      <c r="H65" s="814">
        <f t="shared" si="48"/>
        <v>0</v>
      </c>
      <c r="I65" s="814">
        <f t="shared" si="48"/>
        <v>0</v>
      </c>
      <c r="J65" s="814">
        <f t="shared" si="48"/>
        <v>0</v>
      </c>
      <c r="K65" s="814">
        <f t="shared" si="48"/>
        <v>0</v>
      </c>
      <c r="L65" s="814">
        <f t="shared" si="48"/>
        <v>0</v>
      </c>
      <c r="M65" s="814">
        <f t="shared" si="48"/>
        <v>0</v>
      </c>
      <c r="N65" s="814">
        <f t="shared" si="48"/>
        <v>0</v>
      </c>
      <c r="O65" s="814">
        <f t="shared" si="48"/>
        <v>0</v>
      </c>
      <c r="P65" s="814">
        <f t="shared" si="48"/>
        <v>0</v>
      </c>
      <c r="Q65" s="814">
        <f t="shared" si="48"/>
        <v>0</v>
      </c>
      <c r="R65" s="815">
        <f t="shared" ref="R65:U67" si="50">+B65+F65+J65+N65</f>
        <v>80000000</v>
      </c>
      <c r="S65" s="815">
        <f t="shared" si="50"/>
        <v>8000000</v>
      </c>
      <c r="T65" s="815">
        <f t="shared" si="50"/>
        <v>0</v>
      </c>
      <c r="U65" s="494">
        <f t="shared" si="50"/>
        <v>0</v>
      </c>
      <c r="V65" s="436"/>
      <c r="W65" s="786">
        <f>R65</f>
        <v>80000000</v>
      </c>
      <c r="X65" s="780"/>
      <c r="Y65" s="780"/>
      <c r="Z65" s="780"/>
      <c r="AA65" s="780"/>
      <c r="AB65" s="780"/>
      <c r="AC65" s="780"/>
      <c r="AD65" s="780"/>
      <c r="AE65" s="780"/>
      <c r="AF65" s="780"/>
      <c r="AG65" s="780"/>
      <c r="AH65" s="780"/>
      <c r="AI65" s="780"/>
      <c r="AJ65" s="780"/>
      <c r="AK65" s="780"/>
      <c r="AL65" s="780"/>
      <c r="AM65" s="780"/>
      <c r="AN65" s="780"/>
      <c r="AO65" s="780"/>
      <c r="AP65" s="780"/>
      <c r="AQ65" s="780"/>
      <c r="AR65" s="780"/>
      <c r="AS65" s="780"/>
    </row>
    <row r="66" spans="1:45" ht="16.5" thickTop="1" thickBot="1" x14ac:dyDescent="0.3">
      <c r="A66" s="217" t="s">
        <v>780</v>
      </c>
      <c r="B66" s="794">
        <f>+B67</f>
        <v>80000000</v>
      </c>
      <c r="C66" s="794">
        <f t="shared" si="48"/>
        <v>8000000</v>
      </c>
      <c r="D66" s="794">
        <f t="shared" si="48"/>
        <v>0</v>
      </c>
      <c r="E66" s="794">
        <f t="shared" si="48"/>
        <v>0</v>
      </c>
      <c r="F66" s="794">
        <f t="shared" si="48"/>
        <v>0</v>
      </c>
      <c r="G66" s="794">
        <f t="shared" si="48"/>
        <v>0</v>
      </c>
      <c r="H66" s="794">
        <f t="shared" si="48"/>
        <v>0</v>
      </c>
      <c r="I66" s="794">
        <f t="shared" si="48"/>
        <v>0</v>
      </c>
      <c r="J66" s="794">
        <f t="shared" si="48"/>
        <v>0</v>
      </c>
      <c r="K66" s="794">
        <f t="shared" si="48"/>
        <v>0</v>
      </c>
      <c r="L66" s="794">
        <f t="shared" si="48"/>
        <v>0</v>
      </c>
      <c r="M66" s="794">
        <f t="shared" si="48"/>
        <v>0</v>
      </c>
      <c r="N66" s="794">
        <f t="shared" si="48"/>
        <v>0</v>
      </c>
      <c r="O66" s="794">
        <f t="shared" si="48"/>
        <v>0</v>
      </c>
      <c r="P66" s="794">
        <f t="shared" si="48"/>
        <v>0</v>
      </c>
      <c r="Q66" s="794">
        <f t="shared" si="48"/>
        <v>0</v>
      </c>
      <c r="R66" s="796">
        <f t="shared" si="50"/>
        <v>80000000</v>
      </c>
      <c r="S66" s="796">
        <f t="shared" si="50"/>
        <v>8000000</v>
      </c>
      <c r="T66" s="796">
        <f t="shared" si="50"/>
        <v>0</v>
      </c>
      <c r="U66" s="463">
        <f t="shared" si="50"/>
        <v>0</v>
      </c>
      <c r="V66" s="436"/>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row>
    <row r="67" spans="1:45" ht="16.5" thickTop="1" thickBot="1" x14ac:dyDescent="0.3">
      <c r="A67" s="217" t="s">
        <v>781</v>
      </c>
      <c r="B67" s="794">
        <v>80000000</v>
      </c>
      <c r="C67" s="794">
        <v>8000000</v>
      </c>
      <c r="D67" s="794">
        <v>0</v>
      </c>
      <c r="E67" s="794">
        <v>0</v>
      </c>
      <c r="F67" s="794"/>
      <c r="G67" s="794"/>
      <c r="H67" s="794"/>
      <c r="I67" s="794"/>
      <c r="J67" s="794"/>
      <c r="K67" s="794"/>
      <c r="L67" s="794"/>
      <c r="M67" s="794"/>
      <c r="N67" s="794"/>
      <c r="O67" s="794"/>
      <c r="P67" s="794"/>
      <c r="Q67" s="794"/>
      <c r="R67" s="796">
        <f t="shared" si="50"/>
        <v>80000000</v>
      </c>
      <c r="S67" s="796">
        <f t="shared" si="50"/>
        <v>8000000</v>
      </c>
      <c r="T67" s="796">
        <f t="shared" si="50"/>
        <v>0</v>
      </c>
      <c r="U67" s="463">
        <f t="shared" si="50"/>
        <v>0</v>
      </c>
      <c r="V67" s="436"/>
      <c r="W67" s="780"/>
      <c r="X67" s="780"/>
      <c r="Y67" s="780"/>
      <c r="Z67" s="780"/>
      <c r="AA67" s="780"/>
      <c r="AB67" s="780"/>
      <c r="AC67" s="780"/>
      <c r="AD67" s="780"/>
      <c r="AE67" s="780"/>
      <c r="AF67" s="780"/>
      <c r="AG67" s="780"/>
      <c r="AH67" s="780"/>
      <c r="AI67" s="780"/>
      <c r="AJ67" s="780"/>
      <c r="AK67" s="780"/>
      <c r="AL67" s="780"/>
      <c r="AM67" s="780"/>
      <c r="AN67" s="780"/>
      <c r="AO67" s="780"/>
      <c r="AP67" s="780"/>
      <c r="AQ67" s="780"/>
      <c r="AR67" s="780"/>
      <c r="AS67" s="780"/>
    </row>
    <row r="68" spans="1:45" ht="27" thickTop="1" thickBot="1" x14ac:dyDescent="0.3">
      <c r="A68" s="498" t="s">
        <v>183</v>
      </c>
      <c r="B68" s="794">
        <f>+B69</f>
        <v>300000000</v>
      </c>
      <c r="C68" s="794">
        <f t="shared" ref="C68:Q70" si="51">+C69</f>
        <v>217135646</v>
      </c>
      <c r="D68" s="794">
        <f t="shared" si="51"/>
        <v>62257113</v>
      </c>
      <c r="E68" s="794">
        <f t="shared" si="51"/>
        <v>49924433</v>
      </c>
      <c r="F68" s="794">
        <f t="shared" si="51"/>
        <v>0</v>
      </c>
      <c r="G68" s="794">
        <f t="shared" si="51"/>
        <v>0</v>
      </c>
      <c r="H68" s="794">
        <f t="shared" si="51"/>
        <v>0</v>
      </c>
      <c r="I68" s="794">
        <f t="shared" si="51"/>
        <v>0</v>
      </c>
      <c r="J68" s="794">
        <f t="shared" si="51"/>
        <v>0</v>
      </c>
      <c r="K68" s="794">
        <f t="shared" si="51"/>
        <v>0</v>
      </c>
      <c r="L68" s="794">
        <f t="shared" si="51"/>
        <v>0</v>
      </c>
      <c r="M68" s="794">
        <f t="shared" si="51"/>
        <v>0</v>
      </c>
      <c r="N68" s="794">
        <f t="shared" si="51"/>
        <v>0</v>
      </c>
      <c r="O68" s="794">
        <f t="shared" si="51"/>
        <v>0</v>
      </c>
      <c r="P68" s="794">
        <f t="shared" si="51"/>
        <v>0</v>
      </c>
      <c r="Q68" s="794">
        <f t="shared" si="51"/>
        <v>0</v>
      </c>
      <c r="R68" s="796">
        <f>B68+F68+J68+N68</f>
        <v>300000000</v>
      </c>
      <c r="S68" s="796">
        <f t="shared" ref="S68:V68" si="52">C68+G68+K68+O68</f>
        <v>217135646</v>
      </c>
      <c r="T68" s="796">
        <f t="shared" si="52"/>
        <v>62257113</v>
      </c>
      <c r="U68" s="796">
        <f t="shared" si="52"/>
        <v>49924433</v>
      </c>
      <c r="V68" s="796">
        <f t="shared" si="52"/>
        <v>300000000</v>
      </c>
      <c r="W68" s="780"/>
      <c r="X68" s="780"/>
      <c r="Y68" s="780"/>
      <c r="Z68" s="780"/>
      <c r="AA68" s="780"/>
      <c r="AB68" s="780"/>
      <c r="AC68" s="780"/>
      <c r="AD68" s="780"/>
      <c r="AE68" s="780"/>
      <c r="AF68" s="780"/>
      <c r="AG68" s="780"/>
      <c r="AH68" s="780"/>
      <c r="AI68" s="780"/>
      <c r="AJ68" s="780"/>
      <c r="AK68" s="780"/>
      <c r="AL68" s="780"/>
      <c r="AM68" s="780"/>
      <c r="AN68" s="780"/>
      <c r="AO68" s="780"/>
      <c r="AP68" s="780"/>
      <c r="AQ68" s="780"/>
      <c r="AR68" s="780"/>
      <c r="AS68" s="780"/>
    </row>
    <row r="69" spans="1:45" ht="16.5" thickTop="1" thickBot="1" x14ac:dyDescent="0.3">
      <c r="A69" s="499" t="s">
        <v>779</v>
      </c>
      <c r="B69" s="794">
        <f>+B70</f>
        <v>300000000</v>
      </c>
      <c r="C69" s="794">
        <f t="shared" si="51"/>
        <v>217135646</v>
      </c>
      <c r="D69" s="794">
        <f t="shared" si="51"/>
        <v>62257113</v>
      </c>
      <c r="E69" s="794">
        <f t="shared" si="51"/>
        <v>49924433</v>
      </c>
      <c r="F69" s="814">
        <f t="shared" si="51"/>
        <v>0</v>
      </c>
      <c r="G69" s="814">
        <f t="shared" si="51"/>
        <v>0</v>
      </c>
      <c r="H69" s="814">
        <f t="shared" si="51"/>
        <v>0</v>
      </c>
      <c r="I69" s="814">
        <f t="shared" si="51"/>
        <v>0</v>
      </c>
      <c r="J69" s="814">
        <f t="shared" si="51"/>
        <v>0</v>
      </c>
      <c r="K69" s="814">
        <f t="shared" si="51"/>
        <v>0</v>
      </c>
      <c r="L69" s="814">
        <f t="shared" si="51"/>
        <v>0</v>
      </c>
      <c r="M69" s="814">
        <f t="shared" si="51"/>
        <v>0</v>
      </c>
      <c r="N69" s="814">
        <f t="shared" si="51"/>
        <v>0</v>
      </c>
      <c r="O69" s="814">
        <f t="shared" si="51"/>
        <v>0</v>
      </c>
      <c r="P69" s="814">
        <f t="shared" si="51"/>
        <v>0</v>
      </c>
      <c r="Q69" s="814">
        <f t="shared" si="51"/>
        <v>0</v>
      </c>
      <c r="R69" s="815">
        <f t="shared" ref="R69:U72" si="53">+B69+F69+J69+N69</f>
        <v>300000000</v>
      </c>
      <c r="S69" s="815">
        <f t="shared" si="53"/>
        <v>217135646</v>
      </c>
      <c r="T69" s="815">
        <f t="shared" si="53"/>
        <v>62257113</v>
      </c>
      <c r="U69" s="494">
        <f t="shared" si="53"/>
        <v>49924433</v>
      </c>
      <c r="V69" s="436"/>
      <c r="W69" s="786">
        <f>R69</f>
        <v>300000000</v>
      </c>
      <c r="X69" s="780"/>
      <c r="Y69" s="780"/>
      <c r="Z69" s="780"/>
      <c r="AA69" s="780"/>
      <c r="AB69" s="780"/>
      <c r="AC69" s="780"/>
      <c r="AD69" s="780"/>
      <c r="AE69" s="780"/>
      <c r="AF69" s="780"/>
      <c r="AG69" s="780"/>
      <c r="AH69" s="780"/>
      <c r="AI69" s="780"/>
      <c r="AJ69" s="780"/>
      <c r="AK69" s="780"/>
      <c r="AL69" s="780"/>
      <c r="AM69" s="780"/>
      <c r="AN69" s="780"/>
      <c r="AO69" s="780"/>
      <c r="AP69" s="780"/>
      <c r="AQ69" s="780"/>
      <c r="AR69" s="780"/>
      <c r="AS69" s="780"/>
    </row>
    <row r="70" spans="1:45" ht="16.5" thickTop="1" thickBot="1" x14ac:dyDescent="0.3">
      <c r="A70" s="217" t="s">
        <v>780</v>
      </c>
      <c r="B70" s="794">
        <f>+B71</f>
        <v>300000000</v>
      </c>
      <c r="C70" s="794">
        <f t="shared" si="51"/>
        <v>217135646</v>
      </c>
      <c r="D70" s="794">
        <f t="shared" si="51"/>
        <v>62257113</v>
      </c>
      <c r="E70" s="794">
        <f>+E71</f>
        <v>49924433</v>
      </c>
      <c r="F70" s="794">
        <f t="shared" si="51"/>
        <v>0</v>
      </c>
      <c r="G70" s="794">
        <f t="shared" si="51"/>
        <v>0</v>
      </c>
      <c r="H70" s="794">
        <f t="shared" si="51"/>
        <v>0</v>
      </c>
      <c r="I70" s="794">
        <f t="shared" si="51"/>
        <v>0</v>
      </c>
      <c r="J70" s="794">
        <f t="shared" si="51"/>
        <v>0</v>
      </c>
      <c r="K70" s="794">
        <f t="shared" si="51"/>
        <v>0</v>
      </c>
      <c r="L70" s="794">
        <f t="shared" si="51"/>
        <v>0</v>
      </c>
      <c r="M70" s="794">
        <f t="shared" si="51"/>
        <v>0</v>
      </c>
      <c r="N70" s="794">
        <f t="shared" si="51"/>
        <v>0</v>
      </c>
      <c r="O70" s="794">
        <f t="shared" si="51"/>
        <v>0</v>
      </c>
      <c r="P70" s="794">
        <f t="shared" si="51"/>
        <v>0</v>
      </c>
      <c r="Q70" s="794">
        <f t="shared" si="51"/>
        <v>0</v>
      </c>
      <c r="R70" s="796">
        <f t="shared" si="53"/>
        <v>300000000</v>
      </c>
      <c r="S70" s="796">
        <f t="shared" si="53"/>
        <v>217135646</v>
      </c>
      <c r="T70" s="796">
        <f t="shared" si="53"/>
        <v>62257113</v>
      </c>
      <c r="U70" s="463">
        <f t="shared" si="53"/>
        <v>49924433</v>
      </c>
      <c r="V70" s="436"/>
      <c r="W70" s="780"/>
      <c r="X70" s="780"/>
      <c r="Y70" s="780"/>
      <c r="Z70" s="780"/>
      <c r="AA70" s="780"/>
      <c r="AB70" s="780"/>
      <c r="AC70" s="780"/>
      <c r="AD70" s="780"/>
      <c r="AE70" s="780"/>
      <c r="AF70" s="780"/>
      <c r="AG70" s="780"/>
      <c r="AH70" s="780"/>
      <c r="AI70" s="780"/>
      <c r="AJ70" s="780"/>
      <c r="AK70" s="780"/>
      <c r="AL70" s="780"/>
      <c r="AM70" s="780"/>
      <c r="AN70" s="780"/>
      <c r="AO70" s="780"/>
      <c r="AP70" s="780"/>
      <c r="AQ70" s="780"/>
      <c r="AR70" s="780"/>
      <c r="AS70" s="780"/>
    </row>
    <row r="71" spans="1:45" ht="16.5" thickTop="1" thickBot="1" x14ac:dyDescent="0.3">
      <c r="A71" s="217" t="s">
        <v>781</v>
      </c>
      <c r="B71" s="794">
        <v>300000000</v>
      </c>
      <c r="C71" s="794">
        <v>217135646</v>
      </c>
      <c r="D71" s="794">
        <v>62257113</v>
      </c>
      <c r="E71" s="794">
        <v>49924433</v>
      </c>
      <c r="F71" s="794"/>
      <c r="G71" s="794"/>
      <c r="H71" s="794"/>
      <c r="I71" s="794"/>
      <c r="J71" s="794"/>
      <c r="K71" s="794"/>
      <c r="L71" s="794"/>
      <c r="M71" s="794"/>
      <c r="N71" s="794"/>
      <c r="O71" s="794"/>
      <c r="P71" s="794"/>
      <c r="Q71" s="794"/>
      <c r="R71" s="796">
        <f t="shared" si="53"/>
        <v>300000000</v>
      </c>
      <c r="S71" s="796">
        <f t="shared" si="53"/>
        <v>217135646</v>
      </c>
      <c r="T71" s="796">
        <f t="shared" si="53"/>
        <v>62257113</v>
      </c>
      <c r="U71" s="463">
        <f t="shared" si="53"/>
        <v>49924433</v>
      </c>
      <c r="V71" s="436"/>
      <c r="W71" s="780"/>
      <c r="X71" s="780"/>
      <c r="Y71" s="780"/>
      <c r="Z71" s="780"/>
      <c r="AA71" s="780"/>
      <c r="AB71" s="780"/>
      <c r="AC71" s="780"/>
      <c r="AD71" s="780"/>
      <c r="AE71" s="780"/>
      <c r="AF71" s="780"/>
      <c r="AG71" s="780"/>
      <c r="AH71" s="780"/>
      <c r="AI71" s="780"/>
      <c r="AJ71" s="780"/>
      <c r="AK71" s="780"/>
      <c r="AL71" s="780"/>
      <c r="AM71" s="780"/>
      <c r="AN71" s="780"/>
      <c r="AO71" s="780"/>
      <c r="AP71" s="780"/>
      <c r="AQ71" s="780"/>
      <c r="AR71" s="780"/>
      <c r="AS71" s="780"/>
    </row>
    <row r="72" spans="1:45" ht="27" thickTop="1" thickBot="1" x14ac:dyDescent="0.3">
      <c r="A72" s="498" t="s">
        <v>198</v>
      </c>
      <c r="B72" s="794">
        <f>+B73</f>
        <v>2200400677</v>
      </c>
      <c r="C72" s="794">
        <f t="shared" ref="C72:Q74" si="54">+C73</f>
        <v>2149926187</v>
      </c>
      <c r="D72" s="794">
        <f t="shared" si="54"/>
        <v>14809000</v>
      </c>
      <c r="E72" s="794">
        <f t="shared" si="54"/>
        <v>14809000</v>
      </c>
      <c r="F72" s="814">
        <f t="shared" si="54"/>
        <v>0</v>
      </c>
      <c r="G72" s="814">
        <f t="shared" si="54"/>
        <v>0</v>
      </c>
      <c r="H72" s="814">
        <f t="shared" si="54"/>
        <v>0</v>
      </c>
      <c r="I72" s="814">
        <f t="shared" si="54"/>
        <v>0</v>
      </c>
      <c r="J72" s="814">
        <f t="shared" si="54"/>
        <v>0</v>
      </c>
      <c r="K72" s="814">
        <f t="shared" si="54"/>
        <v>0</v>
      </c>
      <c r="L72" s="814">
        <f t="shared" si="54"/>
        <v>0</v>
      </c>
      <c r="M72" s="814">
        <f t="shared" si="54"/>
        <v>0</v>
      </c>
      <c r="N72" s="814">
        <f t="shared" si="54"/>
        <v>0</v>
      </c>
      <c r="O72" s="814">
        <f t="shared" si="54"/>
        <v>0</v>
      </c>
      <c r="P72" s="814">
        <f t="shared" si="54"/>
        <v>0</v>
      </c>
      <c r="Q72" s="814">
        <f t="shared" si="54"/>
        <v>0</v>
      </c>
      <c r="R72" s="815">
        <f t="shared" si="19"/>
        <v>2200400677</v>
      </c>
      <c r="S72" s="815">
        <f t="shared" si="53"/>
        <v>2149926187</v>
      </c>
      <c r="T72" s="815">
        <f t="shared" si="53"/>
        <v>14809000</v>
      </c>
      <c r="U72" s="815">
        <f t="shared" si="53"/>
        <v>14809000</v>
      </c>
      <c r="V72" s="436"/>
      <c r="W72" s="786">
        <f>R72</f>
        <v>2200400677</v>
      </c>
      <c r="X72" s="780"/>
      <c r="Y72" s="780"/>
      <c r="Z72" s="780"/>
      <c r="AA72" s="780"/>
      <c r="AB72" s="780"/>
      <c r="AC72" s="780"/>
      <c r="AD72" s="780"/>
      <c r="AE72" s="780"/>
      <c r="AF72" s="780"/>
      <c r="AG72" s="780"/>
      <c r="AH72" s="780"/>
      <c r="AI72" s="780"/>
      <c r="AJ72" s="780"/>
      <c r="AK72" s="780"/>
      <c r="AL72" s="780"/>
      <c r="AM72" s="780"/>
      <c r="AN72" s="780"/>
      <c r="AO72" s="780"/>
      <c r="AP72" s="780"/>
      <c r="AQ72" s="780"/>
      <c r="AR72" s="780"/>
      <c r="AS72" s="780"/>
    </row>
    <row r="73" spans="1:45" ht="16.5" thickTop="1" thickBot="1" x14ac:dyDescent="0.3">
      <c r="A73" s="499" t="s">
        <v>779</v>
      </c>
      <c r="B73" s="794">
        <f>+B74</f>
        <v>2200400677</v>
      </c>
      <c r="C73" s="794">
        <f>+C74</f>
        <v>2149926187</v>
      </c>
      <c r="D73" s="794">
        <f>+D74</f>
        <v>14809000</v>
      </c>
      <c r="E73" s="794">
        <f>+E74</f>
        <v>14809000</v>
      </c>
      <c r="F73" s="814">
        <f t="shared" si="54"/>
        <v>0</v>
      </c>
      <c r="G73" s="814">
        <f t="shared" si="54"/>
        <v>0</v>
      </c>
      <c r="H73" s="814">
        <f t="shared" si="54"/>
        <v>0</v>
      </c>
      <c r="I73" s="814">
        <f t="shared" si="54"/>
        <v>0</v>
      </c>
      <c r="J73" s="814">
        <f t="shared" si="54"/>
        <v>0</v>
      </c>
      <c r="K73" s="814">
        <f t="shared" si="54"/>
        <v>0</v>
      </c>
      <c r="L73" s="814">
        <f t="shared" si="54"/>
        <v>0</v>
      </c>
      <c r="M73" s="814">
        <f t="shared" si="54"/>
        <v>0</v>
      </c>
      <c r="N73" s="814">
        <f t="shared" si="54"/>
        <v>0</v>
      </c>
      <c r="O73" s="814">
        <f t="shared" si="54"/>
        <v>0</v>
      </c>
      <c r="P73" s="814">
        <f t="shared" si="54"/>
        <v>0</v>
      </c>
      <c r="Q73" s="814">
        <f t="shared" si="54"/>
        <v>0</v>
      </c>
      <c r="R73" s="815">
        <f t="shared" si="19"/>
        <v>2200400677</v>
      </c>
      <c r="S73" s="815">
        <f t="shared" si="19"/>
        <v>2149926187</v>
      </c>
      <c r="T73" s="815">
        <f t="shared" si="19"/>
        <v>14809000</v>
      </c>
      <c r="U73" s="494">
        <f t="shared" si="19"/>
        <v>14809000</v>
      </c>
      <c r="V73" s="436"/>
      <c r="W73" s="780"/>
      <c r="X73" s="780"/>
      <c r="Y73" s="780"/>
      <c r="Z73" s="780"/>
      <c r="AA73" s="780"/>
      <c r="AB73" s="780"/>
      <c r="AC73" s="780"/>
      <c r="AD73" s="780"/>
      <c r="AE73" s="780"/>
      <c r="AF73" s="780"/>
      <c r="AG73" s="780"/>
      <c r="AH73" s="780"/>
      <c r="AI73" s="780"/>
      <c r="AJ73" s="780"/>
      <c r="AK73" s="780"/>
      <c r="AL73" s="780"/>
      <c r="AM73" s="780"/>
      <c r="AN73" s="780"/>
      <c r="AO73" s="780"/>
      <c r="AP73" s="780"/>
      <c r="AQ73" s="780"/>
      <c r="AR73" s="780"/>
      <c r="AS73" s="780"/>
    </row>
    <row r="74" spans="1:45" ht="16.5" thickTop="1" thickBot="1" x14ac:dyDescent="0.3">
      <c r="A74" s="217" t="s">
        <v>780</v>
      </c>
      <c r="B74" s="794">
        <f>+B75</f>
        <v>2200400677</v>
      </c>
      <c r="C74" s="794">
        <f>+C75</f>
        <v>2149926187</v>
      </c>
      <c r="D74" s="794">
        <f>+D75</f>
        <v>14809000</v>
      </c>
      <c r="E74" s="794">
        <f t="shared" si="54"/>
        <v>14809000</v>
      </c>
      <c r="F74" s="794">
        <f t="shared" si="54"/>
        <v>0</v>
      </c>
      <c r="G74" s="794">
        <f t="shared" si="54"/>
        <v>0</v>
      </c>
      <c r="H74" s="794">
        <f t="shared" si="54"/>
        <v>0</v>
      </c>
      <c r="I74" s="794">
        <f t="shared" si="54"/>
        <v>0</v>
      </c>
      <c r="J74" s="794">
        <f t="shared" si="54"/>
        <v>0</v>
      </c>
      <c r="K74" s="794">
        <f t="shared" si="54"/>
        <v>0</v>
      </c>
      <c r="L74" s="794">
        <f t="shared" si="54"/>
        <v>0</v>
      </c>
      <c r="M74" s="794">
        <f t="shared" si="54"/>
        <v>0</v>
      </c>
      <c r="N74" s="794">
        <f t="shared" si="54"/>
        <v>0</v>
      </c>
      <c r="O74" s="794">
        <f t="shared" si="54"/>
        <v>0</v>
      </c>
      <c r="P74" s="794">
        <f t="shared" si="54"/>
        <v>0</v>
      </c>
      <c r="Q74" s="794">
        <f t="shared" si="54"/>
        <v>0</v>
      </c>
      <c r="R74" s="796">
        <f t="shared" si="19"/>
        <v>2200400677</v>
      </c>
      <c r="S74" s="796">
        <f t="shared" si="19"/>
        <v>2149926187</v>
      </c>
      <c r="T74" s="796">
        <f t="shared" si="19"/>
        <v>14809000</v>
      </c>
      <c r="U74" s="463">
        <f t="shared" si="19"/>
        <v>14809000</v>
      </c>
      <c r="V74" s="436"/>
      <c r="W74" s="780"/>
      <c r="X74" s="780"/>
      <c r="Y74" s="780"/>
      <c r="Z74" s="780"/>
      <c r="AA74" s="780"/>
      <c r="AB74" s="780"/>
      <c r="AC74" s="780"/>
      <c r="AD74" s="780"/>
      <c r="AE74" s="780"/>
      <c r="AF74" s="780"/>
      <c r="AG74" s="780"/>
      <c r="AH74" s="780"/>
      <c r="AI74" s="780"/>
      <c r="AJ74" s="780"/>
      <c r="AK74" s="780"/>
      <c r="AL74" s="780"/>
      <c r="AM74" s="780"/>
      <c r="AN74" s="780"/>
      <c r="AO74" s="780"/>
      <c r="AP74" s="780"/>
      <c r="AQ74" s="780"/>
      <c r="AR74" s="780"/>
      <c r="AS74" s="780"/>
    </row>
    <row r="75" spans="1:45" ht="16.5" thickTop="1" thickBot="1" x14ac:dyDescent="0.3">
      <c r="A75" s="217" t="s">
        <v>781</v>
      </c>
      <c r="B75" s="794">
        <v>2200400677</v>
      </c>
      <c r="C75" s="794">
        <v>2149926187</v>
      </c>
      <c r="D75" s="794">
        <v>14809000</v>
      </c>
      <c r="E75" s="794">
        <v>14809000</v>
      </c>
      <c r="F75" s="794"/>
      <c r="G75" s="794"/>
      <c r="H75" s="794"/>
      <c r="I75" s="794"/>
      <c r="J75" s="794"/>
      <c r="K75" s="794"/>
      <c r="L75" s="794"/>
      <c r="M75" s="794"/>
      <c r="N75" s="794"/>
      <c r="O75" s="794"/>
      <c r="P75" s="794"/>
      <c r="Q75" s="794"/>
      <c r="R75" s="796">
        <f t="shared" si="19"/>
        <v>2200400677</v>
      </c>
      <c r="S75" s="796">
        <f t="shared" si="19"/>
        <v>2149926187</v>
      </c>
      <c r="T75" s="796">
        <f t="shared" si="19"/>
        <v>14809000</v>
      </c>
      <c r="U75" s="463">
        <f t="shared" si="19"/>
        <v>14809000</v>
      </c>
      <c r="V75" s="436"/>
      <c r="W75" s="780"/>
      <c r="X75" s="780"/>
      <c r="Y75" s="780"/>
      <c r="Z75" s="780"/>
      <c r="AA75" s="780"/>
      <c r="AB75" s="780"/>
      <c r="AC75" s="780"/>
      <c r="AD75" s="780"/>
      <c r="AE75" s="780"/>
      <c r="AF75" s="780"/>
      <c r="AG75" s="780"/>
      <c r="AH75" s="780"/>
      <c r="AI75" s="780"/>
      <c r="AJ75" s="780"/>
      <c r="AK75" s="780"/>
      <c r="AL75" s="780"/>
      <c r="AM75" s="780"/>
      <c r="AN75" s="780"/>
      <c r="AO75" s="780"/>
      <c r="AP75" s="780"/>
      <c r="AQ75" s="780"/>
      <c r="AR75" s="780"/>
      <c r="AS75" s="780"/>
    </row>
    <row r="76" spans="1:45" ht="39.75" thickTop="1" thickBot="1" x14ac:dyDescent="0.3">
      <c r="A76" s="498" t="s">
        <v>1721</v>
      </c>
      <c r="B76" s="794">
        <f>+B77</f>
        <v>0</v>
      </c>
      <c r="C76" s="794">
        <f t="shared" ref="C76:Q78" si="55">+C77</f>
        <v>0</v>
      </c>
      <c r="D76" s="794">
        <f t="shared" si="55"/>
        <v>0</v>
      </c>
      <c r="E76" s="794">
        <f t="shared" si="55"/>
        <v>0</v>
      </c>
      <c r="F76" s="794">
        <f t="shared" si="55"/>
        <v>0</v>
      </c>
      <c r="G76" s="794">
        <f t="shared" si="55"/>
        <v>0</v>
      </c>
      <c r="H76" s="794">
        <f t="shared" si="55"/>
        <v>0</v>
      </c>
      <c r="I76" s="794">
        <f t="shared" si="55"/>
        <v>0</v>
      </c>
      <c r="J76" s="794">
        <f t="shared" si="55"/>
        <v>0</v>
      </c>
      <c r="K76" s="794">
        <f t="shared" si="55"/>
        <v>0</v>
      </c>
      <c r="L76" s="794">
        <f t="shared" si="55"/>
        <v>0</v>
      </c>
      <c r="M76" s="794">
        <f t="shared" si="55"/>
        <v>0</v>
      </c>
      <c r="N76" s="794">
        <f t="shared" si="55"/>
        <v>1709455689</v>
      </c>
      <c r="O76" s="794">
        <f t="shared" si="55"/>
        <v>0</v>
      </c>
      <c r="P76" s="794">
        <f t="shared" si="55"/>
        <v>0</v>
      </c>
      <c r="Q76" s="794">
        <f t="shared" si="55"/>
        <v>0</v>
      </c>
      <c r="R76" s="796"/>
      <c r="S76" s="796"/>
      <c r="T76" s="796"/>
      <c r="U76" s="463"/>
      <c r="V76" s="436"/>
      <c r="W76" s="780"/>
      <c r="X76" s="780"/>
      <c r="Y76" s="780"/>
      <c r="Z76" s="780"/>
      <c r="AA76" s="780"/>
      <c r="AB76" s="780"/>
      <c r="AC76" s="780"/>
      <c r="AD76" s="780"/>
      <c r="AE76" s="780"/>
      <c r="AF76" s="780"/>
      <c r="AG76" s="780"/>
      <c r="AH76" s="780"/>
      <c r="AI76" s="780"/>
      <c r="AJ76" s="780"/>
      <c r="AK76" s="780"/>
      <c r="AL76" s="780"/>
      <c r="AM76" s="780"/>
      <c r="AN76" s="780"/>
      <c r="AO76" s="780"/>
      <c r="AP76" s="780"/>
      <c r="AQ76" s="780"/>
      <c r="AR76" s="780"/>
      <c r="AS76" s="780"/>
    </row>
    <row r="77" spans="1:45" ht="16.5" thickTop="1" thickBot="1" x14ac:dyDescent="0.3">
      <c r="A77" s="499" t="s">
        <v>779</v>
      </c>
      <c r="B77" s="794">
        <f>+B78</f>
        <v>0</v>
      </c>
      <c r="C77" s="794">
        <f t="shared" si="55"/>
        <v>0</v>
      </c>
      <c r="D77" s="794">
        <f t="shared" si="55"/>
        <v>0</v>
      </c>
      <c r="E77" s="794">
        <f t="shared" si="55"/>
        <v>0</v>
      </c>
      <c r="F77" s="794">
        <f t="shared" si="55"/>
        <v>0</v>
      </c>
      <c r="G77" s="794">
        <f t="shared" si="55"/>
        <v>0</v>
      </c>
      <c r="H77" s="794">
        <f t="shared" si="55"/>
        <v>0</v>
      </c>
      <c r="I77" s="794">
        <f t="shared" si="55"/>
        <v>0</v>
      </c>
      <c r="J77" s="794">
        <f t="shared" si="55"/>
        <v>0</v>
      </c>
      <c r="K77" s="794">
        <f t="shared" si="55"/>
        <v>0</v>
      </c>
      <c r="L77" s="794">
        <f t="shared" si="55"/>
        <v>0</v>
      </c>
      <c r="M77" s="794">
        <f t="shared" si="55"/>
        <v>0</v>
      </c>
      <c r="N77" s="794">
        <f t="shared" si="55"/>
        <v>1709455689</v>
      </c>
      <c r="O77" s="794">
        <f t="shared" si="55"/>
        <v>0</v>
      </c>
      <c r="P77" s="794">
        <f t="shared" si="55"/>
        <v>0</v>
      </c>
      <c r="Q77" s="794">
        <f t="shared" si="55"/>
        <v>0</v>
      </c>
      <c r="R77" s="796"/>
      <c r="S77" s="796"/>
      <c r="T77" s="796"/>
      <c r="U77" s="463"/>
      <c r="V77" s="436"/>
      <c r="W77" s="780"/>
      <c r="X77" s="780"/>
      <c r="Y77" s="780"/>
      <c r="Z77" s="780"/>
      <c r="AA77" s="780"/>
      <c r="AB77" s="780"/>
      <c r="AC77" s="780"/>
      <c r="AD77" s="780"/>
      <c r="AE77" s="780"/>
      <c r="AF77" s="780"/>
      <c r="AG77" s="780"/>
      <c r="AH77" s="780"/>
      <c r="AI77" s="780"/>
      <c r="AJ77" s="780"/>
      <c r="AK77" s="780"/>
      <c r="AL77" s="780"/>
      <c r="AM77" s="780"/>
      <c r="AN77" s="780"/>
      <c r="AO77" s="780"/>
      <c r="AP77" s="780"/>
      <c r="AQ77" s="780"/>
      <c r="AR77" s="780"/>
      <c r="AS77" s="780"/>
    </row>
    <row r="78" spans="1:45" ht="16.5" thickTop="1" thickBot="1" x14ac:dyDescent="0.3">
      <c r="A78" s="217" t="s">
        <v>780</v>
      </c>
      <c r="B78" s="794">
        <f>+B79</f>
        <v>0</v>
      </c>
      <c r="C78" s="794">
        <f t="shared" si="55"/>
        <v>0</v>
      </c>
      <c r="D78" s="794">
        <f t="shared" si="55"/>
        <v>0</v>
      </c>
      <c r="E78" s="794">
        <f t="shared" si="55"/>
        <v>0</v>
      </c>
      <c r="F78" s="794">
        <f t="shared" si="55"/>
        <v>0</v>
      </c>
      <c r="G78" s="794">
        <f t="shared" si="55"/>
        <v>0</v>
      </c>
      <c r="H78" s="794">
        <f t="shared" si="55"/>
        <v>0</v>
      </c>
      <c r="I78" s="794">
        <f t="shared" si="55"/>
        <v>0</v>
      </c>
      <c r="J78" s="794">
        <f t="shared" si="55"/>
        <v>0</v>
      </c>
      <c r="K78" s="794">
        <f t="shared" si="55"/>
        <v>0</v>
      </c>
      <c r="L78" s="794">
        <f t="shared" si="55"/>
        <v>0</v>
      </c>
      <c r="M78" s="794">
        <f t="shared" si="55"/>
        <v>0</v>
      </c>
      <c r="N78" s="794">
        <f t="shared" si="55"/>
        <v>1709455689</v>
      </c>
      <c r="O78" s="794">
        <f t="shared" si="55"/>
        <v>0</v>
      </c>
      <c r="P78" s="794">
        <f t="shared" si="55"/>
        <v>0</v>
      </c>
      <c r="Q78" s="794">
        <f t="shared" si="55"/>
        <v>0</v>
      </c>
      <c r="R78" s="796"/>
      <c r="S78" s="796"/>
      <c r="T78" s="796"/>
      <c r="U78" s="463"/>
      <c r="V78" s="436"/>
      <c r="W78" s="780"/>
      <c r="X78" s="780"/>
      <c r="Y78" s="780"/>
      <c r="Z78" s="780"/>
      <c r="AA78" s="780"/>
      <c r="AB78" s="780"/>
      <c r="AC78" s="780"/>
      <c r="AD78" s="780"/>
      <c r="AE78" s="780"/>
      <c r="AF78" s="780"/>
      <c r="AG78" s="780"/>
      <c r="AH78" s="780"/>
      <c r="AI78" s="780"/>
      <c r="AJ78" s="780"/>
      <c r="AK78" s="780"/>
      <c r="AL78" s="780"/>
      <c r="AM78" s="780"/>
      <c r="AN78" s="780"/>
      <c r="AO78" s="780"/>
      <c r="AP78" s="780"/>
      <c r="AQ78" s="780"/>
      <c r="AR78" s="780"/>
      <c r="AS78" s="780"/>
    </row>
    <row r="79" spans="1:45" ht="16.5" thickTop="1" thickBot="1" x14ac:dyDescent="0.3">
      <c r="A79" s="217" t="s">
        <v>781</v>
      </c>
      <c r="B79" s="794"/>
      <c r="C79" s="794"/>
      <c r="D79" s="794"/>
      <c r="E79" s="794"/>
      <c r="F79" s="794"/>
      <c r="G79" s="794"/>
      <c r="H79" s="794"/>
      <c r="I79" s="794"/>
      <c r="J79" s="794"/>
      <c r="K79" s="794"/>
      <c r="L79" s="794"/>
      <c r="M79" s="794"/>
      <c r="N79" s="794">
        <v>1709455689</v>
      </c>
      <c r="O79" s="794">
        <v>0</v>
      </c>
      <c r="P79" s="794"/>
      <c r="Q79" s="794">
        <v>0</v>
      </c>
      <c r="R79" s="796"/>
      <c r="S79" s="796"/>
      <c r="T79" s="796"/>
      <c r="U79" s="463"/>
      <c r="V79" s="436"/>
      <c r="W79" s="780"/>
      <c r="X79" s="780"/>
      <c r="Y79" s="780"/>
      <c r="Z79" s="780"/>
      <c r="AA79" s="780"/>
      <c r="AB79" s="780"/>
      <c r="AC79" s="780"/>
      <c r="AD79" s="780"/>
      <c r="AE79" s="780"/>
      <c r="AF79" s="780"/>
      <c r="AG79" s="780"/>
      <c r="AH79" s="780"/>
      <c r="AI79" s="780"/>
      <c r="AJ79" s="780"/>
      <c r="AK79" s="780"/>
      <c r="AL79" s="780"/>
      <c r="AM79" s="780"/>
      <c r="AN79" s="780"/>
      <c r="AO79" s="780"/>
      <c r="AP79" s="780"/>
      <c r="AQ79" s="780"/>
      <c r="AR79" s="780"/>
      <c r="AS79" s="780"/>
    </row>
    <row r="80" spans="1:45" ht="27" thickTop="1" thickBot="1" x14ac:dyDescent="0.3">
      <c r="A80" s="216" t="s">
        <v>221</v>
      </c>
      <c r="B80" s="817">
        <f>+B81+B85+B89</f>
        <v>1200000000</v>
      </c>
      <c r="C80" s="817">
        <f t="shared" ref="C80:U80" si="56">+C81+C85+C89</f>
        <v>611489500</v>
      </c>
      <c r="D80" s="817">
        <f t="shared" si="56"/>
        <v>40958846</v>
      </c>
      <c r="E80" s="817">
        <f t="shared" si="56"/>
        <v>37777846</v>
      </c>
      <c r="F80" s="818">
        <f>+F81+F85+F89</f>
        <v>0</v>
      </c>
      <c r="G80" s="818">
        <f>+G81+G85+G89</f>
        <v>0</v>
      </c>
      <c r="H80" s="818">
        <f>+H81+H85+H89</f>
        <v>0</v>
      </c>
      <c r="I80" s="818">
        <f>+I81+I85+I89</f>
        <v>0</v>
      </c>
      <c r="J80" s="818">
        <f t="shared" si="56"/>
        <v>0</v>
      </c>
      <c r="K80" s="818">
        <f t="shared" si="56"/>
        <v>0</v>
      </c>
      <c r="L80" s="818">
        <f t="shared" si="56"/>
        <v>0</v>
      </c>
      <c r="M80" s="818">
        <f t="shared" si="56"/>
        <v>0</v>
      </c>
      <c r="N80" s="819">
        <f t="shared" si="56"/>
        <v>0</v>
      </c>
      <c r="O80" s="818">
        <f t="shared" si="56"/>
        <v>0</v>
      </c>
      <c r="P80" s="818">
        <f t="shared" si="56"/>
        <v>0</v>
      </c>
      <c r="Q80" s="818">
        <f t="shared" si="56"/>
        <v>0</v>
      </c>
      <c r="R80" s="820">
        <f t="shared" si="56"/>
        <v>1200000000</v>
      </c>
      <c r="S80" s="820">
        <f t="shared" si="56"/>
        <v>611489500</v>
      </c>
      <c r="T80" s="820">
        <f t="shared" si="56"/>
        <v>40958846</v>
      </c>
      <c r="U80" s="820">
        <f t="shared" si="56"/>
        <v>37777846</v>
      </c>
      <c r="V80" s="436"/>
      <c r="W80" s="940"/>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row>
    <row r="81" spans="1:45" ht="27" thickTop="1" thickBot="1" x14ac:dyDescent="0.3">
      <c r="A81" s="498" t="s">
        <v>222</v>
      </c>
      <c r="B81" s="794">
        <f>+B82</f>
        <v>200000000</v>
      </c>
      <c r="C81" s="794">
        <f t="shared" ref="C81:Q83" si="57">+C82</f>
        <v>68760500</v>
      </c>
      <c r="D81" s="794">
        <f t="shared" si="57"/>
        <v>3760500</v>
      </c>
      <c r="E81" s="794">
        <f t="shared" si="57"/>
        <v>3760500</v>
      </c>
      <c r="F81" s="814">
        <f t="shared" si="57"/>
        <v>0</v>
      </c>
      <c r="G81" s="814">
        <f t="shared" si="57"/>
        <v>0</v>
      </c>
      <c r="H81" s="814">
        <f t="shared" si="57"/>
        <v>0</v>
      </c>
      <c r="I81" s="814">
        <f t="shared" si="57"/>
        <v>0</v>
      </c>
      <c r="J81" s="814">
        <f t="shared" si="57"/>
        <v>0</v>
      </c>
      <c r="K81" s="814">
        <f t="shared" si="57"/>
        <v>0</v>
      </c>
      <c r="L81" s="814">
        <f t="shared" si="57"/>
        <v>0</v>
      </c>
      <c r="M81" s="814">
        <f t="shared" si="57"/>
        <v>0</v>
      </c>
      <c r="N81" s="814">
        <f t="shared" si="57"/>
        <v>0</v>
      </c>
      <c r="O81" s="814">
        <f t="shared" si="57"/>
        <v>0</v>
      </c>
      <c r="P81" s="814">
        <f t="shared" si="57"/>
        <v>0</v>
      </c>
      <c r="Q81" s="814">
        <f t="shared" si="57"/>
        <v>0</v>
      </c>
      <c r="R81" s="815">
        <f t="shared" si="19"/>
        <v>200000000</v>
      </c>
      <c r="S81" s="815">
        <f t="shared" si="19"/>
        <v>68760500</v>
      </c>
      <c r="T81" s="815">
        <f t="shared" si="19"/>
        <v>3760500</v>
      </c>
      <c r="U81" s="815">
        <f t="shared" si="19"/>
        <v>3760500</v>
      </c>
      <c r="V81" s="436"/>
      <c r="W81" s="786">
        <f>R81</f>
        <v>200000000</v>
      </c>
      <c r="X81" s="780"/>
      <c r="Y81" s="780"/>
      <c r="Z81" s="780"/>
      <c r="AA81" s="780"/>
      <c r="AB81" s="780"/>
      <c r="AC81" s="780"/>
      <c r="AD81" s="780"/>
      <c r="AE81" s="780"/>
      <c r="AF81" s="780"/>
      <c r="AG81" s="780"/>
      <c r="AH81" s="780"/>
      <c r="AI81" s="780"/>
      <c r="AJ81" s="780"/>
      <c r="AK81" s="780"/>
      <c r="AL81" s="780"/>
      <c r="AM81" s="780"/>
      <c r="AN81" s="780"/>
      <c r="AO81" s="780"/>
      <c r="AP81" s="780"/>
      <c r="AQ81" s="780"/>
      <c r="AR81" s="780"/>
      <c r="AS81" s="780"/>
    </row>
    <row r="82" spans="1:45" ht="16.5" thickTop="1" thickBot="1" x14ac:dyDescent="0.3">
      <c r="A82" s="499" t="s">
        <v>779</v>
      </c>
      <c r="B82" s="794">
        <f>+B83</f>
        <v>200000000</v>
      </c>
      <c r="C82" s="794">
        <f t="shared" si="57"/>
        <v>68760500</v>
      </c>
      <c r="D82" s="794">
        <f t="shared" si="57"/>
        <v>3760500</v>
      </c>
      <c r="E82" s="794">
        <f t="shared" si="57"/>
        <v>3760500</v>
      </c>
      <c r="F82" s="814">
        <f t="shared" si="57"/>
        <v>0</v>
      </c>
      <c r="G82" s="814">
        <f t="shared" si="57"/>
        <v>0</v>
      </c>
      <c r="H82" s="814">
        <f t="shared" si="57"/>
        <v>0</v>
      </c>
      <c r="I82" s="814">
        <f t="shared" si="57"/>
        <v>0</v>
      </c>
      <c r="J82" s="814">
        <f t="shared" si="57"/>
        <v>0</v>
      </c>
      <c r="K82" s="814">
        <f t="shared" si="57"/>
        <v>0</v>
      </c>
      <c r="L82" s="814">
        <f t="shared" si="57"/>
        <v>0</v>
      </c>
      <c r="M82" s="814">
        <f t="shared" si="57"/>
        <v>0</v>
      </c>
      <c r="N82" s="814">
        <f t="shared" si="57"/>
        <v>0</v>
      </c>
      <c r="O82" s="814">
        <f t="shared" si="57"/>
        <v>0</v>
      </c>
      <c r="P82" s="814">
        <f t="shared" si="57"/>
        <v>0</v>
      </c>
      <c r="Q82" s="814">
        <f t="shared" si="57"/>
        <v>0</v>
      </c>
      <c r="R82" s="815">
        <f t="shared" si="19"/>
        <v>200000000</v>
      </c>
      <c r="S82" s="815">
        <f t="shared" si="19"/>
        <v>68760500</v>
      </c>
      <c r="T82" s="815">
        <f t="shared" si="19"/>
        <v>3760500</v>
      </c>
      <c r="U82" s="494">
        <f t="shared" si="19"/>
        <v>3760500</v>
      </c>
      <c r="V82" s="436"/>
      <c r="W82" s="780"/>
      <c r="X82" s="780"/>
      <c r="Y82" s="780"/>
      <c r="Z82" s="780"/>
      <c r="AA82" s="780"/>
      <c r="AB82" s="780"/>
      <c r="AC82" s="780"/>
      <c r="AD82" s="780"/>
      <c r="AE82" s="780"/>
      <c r="AF82" s="780"/>
      <c r="AG82" s="780"/>
      <c r="AH82" s="780"/>
      <c r="AI82" s="780"/>
      <c r="AJ82" s="780"/>
      <c r="AK82" s="780"/>
      <c r="AL82" s="780"/>
      <c r="AM82" s="780"/>
      <c r="AN82" s="780"/>
      <c r="AO82" s="780"/>
      <c r="AP82" s="780"/>
      <c r="AQ82" s="780"/>
      <c r="AR82" s="780"/>
      <c r="AS82" s="780"/>
    </row>
    <row r="83" spans="1:45" ht="16.5" thickTop="1" thickBot="1" x14ac:dyDescent="0.3">
      <c r="A83" s="217" t="s">
        <v>780</v>
      </c>
      <c r="B83" s="794">
        <f>+B84</f>
        <v>200000000</v>
      </c>
      <c r="C83" s="794">
        <f t="shared" si="57"/>
        <v>68760500</v>
      </c>
      <c r="D83" s="794">
        <f t="shared" si="57"/>
        <v>3760500</v>
      </c>
      <c r="E83" s="794">
        <f t="shared" si="57"/>
        <v>3760500</v>
      </c>
      <c r="F83" s="794">
        <f t="shared" si="57"/>
        <v>0</v>
      </c>
      <c r="G83" s="794">
        <f t="shared" si="57"/>
        <v>0</v>
      </c>
      <c r="H83" s="794">
        <f t="shared" si="57"/>
        <v>0</v>
      </c>
      <c r="I83" s="794">
        <f t="shared" si="57"/>
        <v>0</v>
      </c>
      <c r="J83" s="794">
        <f t="shared" si="57"/>
        <v>0</v>
      </c>
      <c r="K83" s="794">
        <f t="shared" si="57"/>
        <v>0</v>
      </c>
      <c r="L83" s="794">
        <f t="shared" si="57"/>
        <v>0</v>
      </c>
      <c r="M83" s="794">
        <f t="shared" si="57"/>
        <v>0</v>
      </c>
      <c r="N83" s="812">
        <v>0</v>
      </c>
      <c r="O83" s="812">
        <v>0</v>
      </c>
      <c r="P83" s="812">
        <v>0</v>
      </c>
      <c r="Q83" s="812">
        <v>0</v>
      </c>
      <c r="R83" s="796">
        <f t="shared" si="19"/>
        <v>200000000</v>
      </c>
      <c r="S83" s="796">
        <f t="shared" si="19"/>
        <v>68760500</v>
      </c>
      <c r="T83" s="796">
        <f t="shared" si="19"/>
        <v>3760500</v>
      </c>
      <c r="U83" s="463">
        <f t="shared" si="19"/>
        <v>3760500</v>
      </c>
      <c r="V83" s="436"/>
      <c r="W83" s="780"/>
      <c r="X83" s="780"/>
      <c r="Y83" s="780"/>
      <c r="Z83" s="780"/>
      <c r="AA83" s="780"/>
      <c r="AB83" s="780"/>
      <c r="AC83" s="780"/>
      <c r="AD83" s="780"/>
      <c r="AE83" s="780"/>
      <c r="AF83" s="780"/>
      <c r="AG83" s="780"/>
      <c r="AH83" s="780"/>
      <c r="AI83" s="780"/>
      <c r="AJ83" s="780"/>
      <c r="AK83" s="780"/>
      <c r="AL83" s="780"/>
      <c r="AM83" s="780"/>
      <c r="AN83" s="780"/>
      <c r="AO83" s="780"/>
      <c r="AP83" s="780"/>
      <c r="AQ83" s="780"/>
      <c r="AR83" s="780"/>
      <c r="AS83" s="780"/>
    </row>
    <row r="84" spans="1:45" ht="16.5" thickTop="1" thickBot="1" x14ac:dyDescent="0.3">
      <c r="A84" s="217" t="s">
        <v>781</v>
      </c>
      <c r="B84" s="794">
        <v>200000000</v>
      </c>
      <c r="C84" s="794">
        <v>68760500</v>
      </c>
      <c r="D84" s="794">
        <v>3760500</v>
      </c>
      <c r="E84" s="794">
        <v>3760500</v>
      </c>
      <c r="F84" s="794"/>
      <c r="G84" s="794"/>
      <c r="H84" s="794"/>
      <c r="I84" s="794"/>
      <c r="J84" s="794"/>
      <c r="K84" s="794"/>
      <c r="L84" s="794"/>
      <c r="M84" s="794"/>
      <c r="N84" s="812">
        <v>0</v>
      </c>
      <c r="O84" s="812">
        <v>0</v>
      </c>
      <c r="P84" s="812">
        <v>0</v>
      </c>
      <c r="Q84" s="812">
        <v>0</v>
      </c>
      <c r="R84" s="796">
        <f t="shared" ref="R84:U84" si="58">+B84+F84+J84+N84</f>
        <v>200000000</v>
      </c>
      <c r="S84" s="796">
        <f t="shared" si="58"/>
        <v>68760500</v>
      </c>
      <c r="T84" s="796">
        <f t="shared" si="58"/>
        <v>3760500</v>
      </c>
      <c r="U84" s="463">
        <f t="shared" si="58"/>
        <v>3760500</v>
      </c>
      <c r="V84" s="436"/>
      <c r="W84" s="780"/>
      <c r="X84" s="780"/>
      <c r="Y84" s="780"/>
      <c r="Z84" s="780"/>
      <c r="AA84" s="780"/>
      <c r="AB84" s="780"/>
      <c r="AC84" s="780"/>
      <c r="AD84" s="780"/>
      <c r="AE84" s="780"/>
      <c r="AF84" s="780"/>
      <c r="AG84" s="780"/>
      <c r="AH84" s="780"/>
      <c r="AI84" s="780"/>
      <c r="AJ84" s="780"/>
      <c r="AK84" s="780"/>
      <c r="AL84" s="780"/>
      <c r="AM84" s="780"/>
      <c r="AN84" s="780"/>
      <c r="AO84" s="780"/>
      <c r="AP84" s="780"/>
      <c r="AQ84" s="780"/>
      <c r="AR84" s="780"/>
      <c r="AS84" s="780"/>
    </row>
    <row r="85" spans="1:45" ht="27" thickTop="1" thickBot="1" x14ac:dyDescent="0.3">
      <c r="A85" s="498" t="s">
        <v>232</v>
      </c>
      <c r="B85" s="794">
        <f>+B86</f>
        <v>100000000</v>
      </c>
      <c r="C85" s="794">
        <f t="shared" ref="C85:Q87" si="59">+C86</f>
        <v>36000000</v>
      </c>
      <c r="D85" s="794">
        <f t="shared" si="59"/>
        <v>0</v>
      </c>
      <c r="E85" s="794">
        <f t="shared" si="59"/>
        <v>0</v>
      </c>
      <c r="F85" s="794">
        <f t="shared" si="59"/>
        <v>0</v>
      </c>
      <c r="G85" s="794">
        <f t="shared" si="59"/>
        <v>0</v>
      </c>
      <c r="H85" s="794">
        <f t="shared" si="59"/>
        <v>0</v>
      </c>
      <c r="I85" s="794">
        <f t="shared" si="59"/>
        <v>0</v>
      </c>
      <c r="J85" s="794">
        <f t="shared" si="59"/>
        <v>0</v>
      </c>
      <c r="K85" s="794">
        <f t="shared" si="59"/>
        <v>0</v>
      </c>
      <c r="L85" s="794">
        <f t="shared" si="59"/>
        <v>0</v>
      </c>
      <c r="M85" s="794">
        <f t="shared" si="59"/>
        <v>0</v>
      </c>
      <c r="N85" s="794">
        <f t="shared" si="59"/>
        <v>0</v>
      </c>
      <c r="O85" s="794">
        <f t="shared" si="59"/>
        <v>0</v>
      </c>
      <c r="P85" s="794">
        <f t="shared" si="59"/>
        <v>0</v>
      </c>
      <c r="Q85" s="794">
        <f t="shared" si="59"/>
        <v>0</v>
      </c>
      <c r="R85" s="796">
        <f>B85+F85+J85+N85</f>
        <v>100000000</v>
      </c>
      <c r="S85" s="796">
        <f t="shared" ref="S85:U85" si="60">C85+G85+K85+O85</f>
        <v>36000000</v>
      </c>
      <c r="T85" s="796">
        <f t="shared" si="60"/>
        <v>0</v>
      </c>
      <c r="U85" s="796">
        <f t="shared" si="60"/>
        <v>0</v>
      </c>
      <c r="V85" s="436"/>
      <c r="W85" s="780"/>
      <c r="X85" s="780"/>
      <c r="Y85" s="780"/>
      <c r="Z85" s="780"/>
      <c r="AA85" s="780"/>
      <c r="AB85" s="780"/>
      <c r="AC85" s="780"/>
      <c r="AD85" s="780"/>
      <c r="AE85" s="780"/>
      <c r="AF85" s="780"/>
      <c r="AG85" s="780"/>
      <c r="AH85" s="780"/>
      <c r="AI85" s="780"/>
      <c r="AJ85" s="780"/>
      <c r="AK85" s="780"/>
      <c r="AL85" s="780"/>
      <c r="AM85" s="780"/>
      <c r="AN85" s="780"/>
      <c r="AO85" s="780"/>
      <c r="AP85" s="780"/>
      <c r="AQ85" s="780"/>
      <c r="AR85" s="780"/>
      <c r="AS85" s="780"/>
    </row>
    <row r="86" spans="1:45" ht="16.5" thickTop="1" thickBot="1" x14ac:dyDescent="0.3">
      <c r="A86" s="499" t="s">
        <v>779</v>
      </c>
      <c r="B86" s="794">
        <f>+B87</f>
        <v>100000000</v>
      </c>
      <c r="C86" s="794">
        <f t="shared" si="59"/>
        <v>36000000</v>
      </c>
      <c r="D86" s="794">
        <f t="shared" si="59"/>
        <v>0</v>
      </c>
      <c r="E86" s="794">
        <f t="shared" si="59"/>
        <v>0</v>
      </c>
      <c r="F86" s="814">
        <f t="shared" si="59"/>
        <v>0</v>
      </c>
      <c r="G86" s="814">
        <f t="shared" si="59"/>
        <v>0</v>
      </c>
      <c r="H86" s="814">
        <f t="shared" si="59"/>
        <v>0</v>
      </c>
      <c r="I86" s="814">
        <f t="shared" si="59"/>
        <v>0</v>
      </c>
      <c r="J86" s="814">
        <f t="shared" si="59"/>
        <v>0</v>
      </c>
      <c r="K86" s="814">
        <f t="shared" si="59"/>
        <v>0</v>
      </c>
      <c r="L86" s="814">
        <f t="shared" si="59"/>
        <v>0</v>
      </c>
      <c r="M86" s="814">
        <f t="shared" si="59"/>
        <v>0</v>
      </c>
      <c r="N86" s="814">
        <f t="shared" si="59"/>
        <v>0</v>
      </c>
      <c r="O86" s="814">
        <f t="shared" si="59"/>
        <v>0</v>
      </c>
      <c r="P86" s="814">
        <f t="shared" si="59"/>
        <v>0</v>
      </c>
      <c r="Q86" s="814">
        <f t="shared" si="59"/>
        <v>0</v>
      </c>
      <c r="R86" s="815">
        <f t="shared" ref="R86:U88" si="61">+B86+F86+J86+N86</f>
        <v>100000000</v>
      </c>
      <c r="S86" s="815">
        <f t="shared" si="61"/>
        <v>36000000</v>
      </c>
      <c r="T86" s="815">
        <f t="shared" si="61"/>
        <v>0</v>
      </c>
      <c r="U86" s="494">
        <f t="shared" si="61"/>
        <v>0</v>
      </c>
      <c r="V86" s="436"/>
      <c r="W86" s="786">
        <f>R86</f>
        <v>100000000</v>
      </c>
      <c r="X86" s="780"/>
      <c r="Y86" s="780"/>
      <c r="Z86" s="780"/>
      <c r="AA86" s="780"/>
      <c r="AB86" s="780"/>
      <c r="AC86" s="780"/>
      <c r="AD86" s="780"/>
      <c r="AE86" s="780"/>
      <c r="AF86" s="780"/>
      <c r="AG86" s="780"/>
      <c r="AH86" s="780"/>
      <c r="AI86" s="780"/>
      <c r="AJ86" s="780"/>
      <c r="AK86" s="780"/>
      <c r="AL86" s="780"/>
      <c r="AM86" s="780"/>
      <c r="AN86" s="780"/>
      <c r="AO86" s="780"/>
      <c r="AP86" s="780"/>
      <c r="AQ86" s="780"/>
      <c r="AR86" s="780"/>
      <c r="AS86" s="780"/>
    </row>
    <row r="87" spans="1:45" ht="16.5" thickTop="1" thickBot="1" x14ac:dyDescent="0.3">
      <c r="A87" s="217" t="s">
        <v>780</v>
      </c>
      <c r="B87" s="794">
        <f>+B88</f>
        <v>100000000</v>
      </c>
      <c r="C87" s="794">
        <f t="shared" si="59"/>
        <v>36000000</v>
      </c>
      <c r="D87" s="794">
        <f t="shared" si="59"/>
        <v>0</v>
      </c>
      <c r="E87" s="794">
        <f t="shared" si="59"/>
        <v>0</v>
      </c>
      <c r="F87" s="794">
        <f t="shared" si="59"/>
        <v>0</v>
      </c>
      <c r="G87" s="794">
        <f t="shared" si="59"/>
        <v>0</v>
      </c>
      <c r="H87" s="794">
        <f t="shared" si="59"/>
        <v>0</v>
      </c>
      <c r="I87" s="794">
        <f t="shared" si="59"/>
        <v>0</v>
      </c>
      <c r="J87" s="794">
        <f t="shared" si="59"/>
        <v>0</v>
      </c>
      <c r="K87" s="794">
        <f t="shared" si="59"/>
        <v>0</v>
      </c>
      <c r="L87" s="794">
        <f t="shared" si="59"/>
        <v>0</v>
      </c>
      <c r="M87" s="794">
        <f t="shared" si="59"/>
        <v>0</v>
      </c>
      <c r="N87" s="794">
        <f t="shared" si="59"/>
        <v>0</v>
      </c>
      <c r="O87" s="794">
        <f t="shared" si="59"/>
        <v>0</v>
      </c>
      <c r="P87" s="794">
        <f t="shared" si="59"/>
        <v>0</v>
      </c>
      <c r="Q87" s="794">
        <f t="shared" si="59"/>
        <v>0</v>
      </c>
      <c r="R87" s="796">
        <f t="shared" si="61"/>
        <v>100000000</v>
      </c>
      <c r="S87" s="796">
        <f t="shared" si="61"/>
        <v>36000000</v>
      </c>
      <c r="T87" s="796">
        <f t="shared" si="61"/>
        <v>0</v>
      </c>
      <c r="U87" s="463">
        <f t="shared" si="61"/>
        <v>0</v>
      </c>
      <c r="V87" s="436"/>
      <c r="W87" s="780"/>
      <c r="X87" s="780"/>
      <c r="Y87" s="780"/>
      <c r="Z87" s="780"/>
      <c r="AA87" s="780"/>
      <c r="AB87" s="780"/>
      <c r="AC87" s="780"/>
      <c r="AD87" s="780"/>
      <c r="AE87" s="780"/>
      <c r="AF87" s="780"/>
      <c r="AG87" s="780"/>
      <c r="AH87" s="780"/>
      <c r="AI87" s="780"/>
      <c r="AJ87" s="780"/>
      <c r="AK87" s="780"/>
      <c r="AL87" s="780"/>
      <c r="AM87" s="780"/>
      <c r="AN87" s="780"/>
      <c r="AO87" s="780"/>
      <c r="AP87" s="780"/>
      <c r="AQ87" s="780"/>
      <c r="AR87" s="780"/>
      <c r="AS87" s="780"/>
    </row>
    <row r="88" spans="1:45" ht="16.5" thickTop="1" thickBot="1" x14ac:dyDescent="0.3">
      <c r="A88" s="217" t="s">
        <v>781</v>
      </c>
      <c r="B88" s="794">
        <v>100000000</v>
      </c>
      <c r="C88" s="794">
        <v>36000000</v>
      </c>
      <c r="D88" s="794">
        <v>0</v>
      </c>
      <c r="E88" s="794">
        <v>0</v>
      </c>
      <c r="F88" s="794"/>
      <c r="G88" s="794"/>
      <c r="H88" s="794"/>
      <c r="I88" s="794"/>
      <c r="J88" s="794"/>
      <c r="K88" s="794"/>
      <c r="L88" s="794"/>
      <c r="M88" s="794"/>
      <c r="N88" s="794"/>
      <c r="O88" s="794"/>
      <c r="P88" s="794"/>
      <c r="Q88" s="794"/>
      <c r="R88" s="796">
        <f t="shared" si="61"/>
        <v>100000000</v>
      </c>
      <c r="S88" s="796">
        <f t="shared" si="61"/>
        <v>36000000</v>
      </c>
      <c r="T88" s="796">
        <f t="shared" si="61"/>
        <v>0</v>
      </c>
      <c r="U88" s="463">
        <f t="shared" si="61"/>
        <v>0</v>
      </c>
      <c r="V88" s="436"/>
      <c r="W88" s="780"/>
      <c r="X88" s="780"/>
      <c r="Y88" s="780"/>
      <c r="Z88" s="780"/>
      <c r="AA88" s="780"/>
      <c r="AB88" s="780"/>
      <c r="AC88" s="780"/>
      <c r="AD88" s="780"/>
      <c r="AE88" s="780"/>
      <c r="AF88" s="780"/>
      <c r="AG88" s="780"/>
      <c r="AH88" s="780"/>
      <c r="AI88" s="780"/>
      <c r="AJ88" s="780"/>
      <c r="AK88" s="780"/>
      <c r="AL88" s="780"/>
      <c r="AM88" s="780"/>
      <c r="AN88" s="780"/>
      <c r="AO88" s="780"/>
      <c r="AP88" s="780"/>
      <c r="AQ88" s="780"/>
      <c r="AR88" s="780"/>
      <c r="AS88" s="780"/>
    </row>
    <row r="89" spans="1:45" ht="27" thickTop="1" thickBot="1" x14ac:dyDescent="0.3">
      <c r="A89" s="498" t="s">
        <v>242</v>
      </c>
      <c r="B89" s="794">
        <f>+B90</f>
        <v>900000000</v>
      </c>
      <c r="C89" s="794">
        <f t="shared" ref="C89:Q91" si="62">+C90</f>
        <v>506729000</v>
      </c>
      <c r="D89" s="794">
        <f t="shared" si="62"/>
        <v>37198346</v>
      </c>
      <c r="E89" s="794">
        <f t="shared" si="62"/>
        <v>34017346</v>
      </c>
      <c r="F89" s="794">
        <f t="shared" si="62"/>
        <v>0</v>
      </c>
      <c r="G89" s="794">
        <f t="shared" si="62"/>
        <v>0</v>
      </c>
      <c r="H89" s="794">
        <f t="shared" si="62"/>
        <v>0</v>
      </c>
      <c r="I89" s="794">
        <f t="shared" si="62"/>
        <v>0</v>
      </c>
      <c r="J89" s="794">
        <f t="shared" si="62"/>
        <v>0</v>
      </c>
      <c r="K89" s="794">
        <f t="shared" si="62"/>
        <v>0</v>
      </c>
      <c r="L89" s="794">
        <f t="shared" si="62"/>
        <v>0</v>
      </c>
      <c r="M89" s="794">
        <f t="shared" si="62"/>
        <v>0</v>
      </c>
      <c r="N89" s="794">
        <f t="shared" si="62"/>
        <v>0</v>
      </c>
      <c r="O89" s="794">
        <f t="shared" si="62"/>
        <v>0</v>
      </c>
      <c r="P89" s="794">
        <f t="shared" si="62"/>
        <v>0</v>
      </c>
      <c r="Q89" s="794">
        <f t="shared" si="62"/>
        <v>0</v>
      </c>
      <c r="R89" s="796">
        <f>B89+F89+J89+N89</f>
        <v>900000000</v>
      </c>
      <c r="S89" s="796">
        <f t="shared" ref="S89:U89" si="63">C89+G89+K89+O89</f>
        <v>506729000</v>
      </c>
      <c r="T89" s="796">
        <f t="shared" si="63"/>
        <v>37198346</v>
      </c>
      <c r="U89" s="796">
        <f t="shared" si="63"/>
        <v>34017346</v>
      </c>
      <c r="V89" s="436"/>
      <c r="W89" s="780"/>
      <c r="X89" s="780"/>
      <c r="Y89" s="780"/>
      <c r="Z89" s="780"/>
      <c r="AA89" s="780"/>
      <c r="AB89" s="780"/>
      <c r="AC89" s="780"/>
      <c r="AD89" s="780"/>
      <c r="AE89" s="780"/>
      <c r="AF89" s="780"/>
      <c r="AG89" s="780"/>
      <c r="AH89" s="780"/>
      <c r="AI89" s="780"/>
      <c r="AJ89" s="780"/>
      <c r="AK89" s="780"/>
      <c r="AL89" s="780"/>
      <c r="AM89" s="780"/>
      <c r="AN89" s="780"/>
      <c r="AO89" s="780"/>
      <c r="AP89" s="780"/>
      <c r="AQ89" s="780"/>
      <c r="AR89" s="780"/>
      <c r="AS89" s="780"/>
    </row>
    <row r="90" spans="1:45" ht="16.5" thickTop="1" thickBot="1" x14ac:dyDescent="0.3">
      <c r="A90" s="499" t="s">
        <v>779</v>
      </c>
      <c r="B90" s="794">
        <f>+B91</f>
        <v>900000000</v>
      </c>
      <c r="C90" s="794">
        <f t="shared" si="62"/>
        <v>506729000</v>
      </c>
      <c r="D90" s="794">
        <f t="shared" si="62"/>
        <v>37198346</v>
      </c>
      <c r="E90" s="794">
        <f t="shared" si="62"/>
        <v>34017346</v>
      </c>
      <c r="F90" s="814">
        <f t="shared" si="62"/>
        <v>0</v>
      </c>
      <c r="G90" s="814">
        <f t="shared" si="62"/>
        <v>0</v>
      </c>
      <c r="H90" s="814">
        <f t="shared" si="62"/>
        <v>0</v>
      </c>
      <c r="I90" s="814">
        <f t="shared" si="62"/>
        <v>0</v>
      </c>
      <c r="J90" s="814">
        <f t="shared" si="62"/>
        <v>0</v>
      </c>
      <c r="K90" s="814">
        <f t="shared" si="62"/>
        <v>0</v>
      </c>
      <c r="L90" s="814">
        <f t="shared" si="62"/>
        <v>0</v>
      </c>
      <c r="M90" s="814">
        <f t="shared" si="62"/>
        <v>0</v>
      </c>
      <c r="N90" s="814">
        <f t="shared" si="62"/>
        <v>0</v>
      </c>
      <c r="O90" s="814">
        <f t="shared" si="62"/>
        <v>0</v>
      </c>
      <c r="P90" s="814">
        <f t="shared" si="62"/>
        <v>0</v>
      </c>
      <c r="Q90" s="814">
        <f t="shared" si="62"/>
        <v>0</v>
      </c>
      <c r="R90" s="815">
        <f t="shared" ref="R90:U92" si="64">+B90+F90+J90+N90</f>
        <v>900000000</v>
      </c>
      <c r="S90" s="815">
        <f t="shared" si="64"/>
        <v>506729000</v>
      </c>
      <c r="T90" s="815">
        <f t="shared" si="64"/>
        <v>37198346</v>
      </c>
      <c r="U90" s="494">
        <f t="shared" si="64"/>
        <v>34017346</v>
      </c>
      <c r="V90" s="436"/>
      <c r="W90" s="786">
        <f>R90</f>
        <v>900000000</v>
      </c>
      <c r="X90" s="780"/>
      <c r="Y90" s="780"/>
      <c r="Z90" s="780"/>
      <c r="AA90" s="780"/>
      <c r="AB90" s="780"/>
      <c r="AC90" s="780"/>
      <c r="AD90" s="780"/>
      <c r="AE90" s="780"/>
      <c r="AF90" s="780"/>
      <c r="AG90" s="780"/>
      <c r="AH90" s="780"/>
      <c r="AI90" s="780"/>
      <c r="AJ90" s="780"/>
      <c r="AK90" s="780"/>
      <c r="AL90" s="780"/>
      <c r="AM90" s="780"/>
      <c r="AN90" s="780"/>
      <c r="AO90" s="780"/>
      <c r="AP90" s="780"/>
      <c r="AQ90" s="780"/>
      <c r="AR90" s="780"/>
      <c r="AS90" s="780"/>
    </row>
    <row r="91" spans="1:45" ht="16.5" thickTop="1" thickBot="1" x14ac:dyDescent="0.3">
      <c r="A91" s="217" t="s">
        <v>780</v>
      </c>
      <c r="B91" s="794">
        <f>+B92</f>
        <v>900000000</v>
      </c>
      <c r="C91" s="794">
        <f t="shared" si="62"/>
        <v>506729000</v>
      </c>
      <c r="D91" s="794">
        <f t="shared" si="62"/>
        <v>37198346</v>
      </c>
      <c r="E91" s="794">
        <f t="shared" si="62"/>
        <v>34017346</v>
      </c>
      <c r="F91" s="794">
        <v>0</v>
      </c>
      <c r="G91" s="794">
        <v>0</v>
      </c>
      <c r="H91" s="794">
        <v>0</v>
      </c>
      <c r="I91" s="794">
        <v>0</v>
      </c>
      <c r="J91" s="794">
        <f t="shared" si="62"/>
        <v>0</v>
      </c>
      <c r="K91" s="794">
        <f t="shared" si="62"/>
        <v>0</v>
      </c>
      <c r="L91" s="794">
        <f t="shared" si="62"/>
        <v>0</v>
      </c>
      <c r="M91" s="794">
        <f t="shared" si="62"/>
        <v>0</v>
      </c>
      <c r="N91" s="794">
        <f t="shared" si="62"/>
        <v>0</v>
      </c>
      <c r="O91" s="794">
        <f t="shared" si="62"/>
        <v>0</v>
      </c>
      <c r="P91" s="794">
        <f t="shared" si="62"/>
        <v>0</v>
      </c>
      <c r="Q91" s="794">
        <f t="shared" si="62"/>
        <v>0</v>
      </c>
      <c r="R91" s="796">
        <f t="shared" si="64"/>
        <v>900000000</v>
      </c>
      <c r="S91" s="796">
        <f t="shared" si="64"/>
        <v>506729000</v>
      </c>
      <c r="T91" s="796">
        <f t="shared" si="64"/>
        <v>37198346</v>
      </c>
      <c r="U91" s="463">
        <f t="shared" si="64"/>
        <v>34017346</v>
      </c>
      <c r="V91" s="436"/>
      <c r="W91" s="780"/>
      <c r="X91" s="780"/>
      <c r="Y91" s="780"/>
      <c r="Z91" s="780"/>
      <c r="AA91" s="780"/>
      <c r="AB91" s="780"/>
      <c r="AC91" s="780"/>
      <c r="AD91" s="780"/>
      <c r="AE91" s="780"/>
      <c r="AF91" s="780"/>
      <c r="AG91" s="780"/>
      <c r="AH91" s="780"/>
      <c r="AI91" s="780"/>
      <c r="AJ91" s="780"/>
      <c r="AK91" s="780"/>
      <c r="AL91" s="780"/>
      <c r="AM91" s="780"/>
      <c r="AN91" s="780"/>
      <c r="AO91" s="780"/>
      <c r="AP91" s="780"/>
      <c r="AQ91" s="780"/>
      <c r="AR91" s="780"/>
      <c r="AS91" s="780"/>
    </row>
    <row r="92" spans="1:45" ht="16.5" thickTop="1" thickBot="1" x14ac:dyDescent="0.3">
      <c r="A92" s="217" t="s">
        <v>781</v>
      </c>
      <c r="B92" s="794">
        <v>900000000</v>
      </c>
      <c r="C92" s="794">
        <v>506729000</v>
      </c>
      <c r="D92" s="794">
        <v>37198346</v>
      </c>
      <c r="E92" s="794">
        <v>34017346</v>
      </c>
      <c r="F92" s="794">
        <v>0</v>
      </c>
      <c r="G92" s="794">
        <v>0</v>
      </c>
      <c r="H92" s="794">
        <v>0</v>
      </c>
      <c r="I92" s="794">
        <v>0</v>
      </c>
      <c r="J92" s="794"/>
      <c r="K92" s="794"/>
      <c r="L92" s="794"/>
      <c r="M92" s="794"/>
      <c r="N92" s="794"/>
      <c r="O92" s="794"/>
      <c r="P92" s="794"/>
      <c r="Q92" s="794"/>
      <c r="R92" s="796">
        <f t="shared" si="64"/>
        <v>900000000</v>
      </c>
      <c r="S92" s="796">
        <f t="shared" si="64"/>
        <v>506729000</v>
      </c>
      <c r="T92" s="796">
        <f t="shared" si="64"/>
        <v>37198346</v>
      </c>
      <c r="U92" s="463">
        <f t="shared" si="64"/>
        <v>34017346</v>
      </c>
      <c r="V92" s="436"/>
      <c r="W92" s="780"/>
      <c r="X92" s="780"/>
      <c r="Y92" s="780"/>
      <c r="Z92" s="780"/>
      <c r="AA92" s="780"/>
      <c r="AB92" s="780"/>
      <c r="AC92" s="780"/>
      <c r="AD92" s="780"/>
      <c r="AE92" s="780"/>
      <c r="AF92" s="780"/>
      <c r="AG92" s="780"/>
      <c r="AH92" s="780"/>
      <c r="AI92" s="780"/>
      <c r="AJ92" s="780"/>
      <c r="AK92" s="780"/>
      <c r="AL92" s="780"/>
      <c r="AM92" s="780"/>
      <c r="AN92" s="780"/>
      <c r="AO92" s="780"/>
      <c r="AP92" s="780"/>
      <c r="AQ92" s="780"/>
      <c r="AR92" s="780"/>
      <c r="AS92" s="780"/>
    </row>
    <row r="93" spans="1:45" ht="16.5" thickTop="1" thickBot="1" x14ac:dyDescent="0.3">
      <c r="A93" s="485" t="s">
        <v>252</v>
      </c>
      <c r="B93" s="794">
        <f>+B94+B139</f>
        <v>6900000000</v>
      </c>
      <c r="C93" s="794">
        <f>+C94+C139</f>
        <v>3472345526</v>
      </c>
      <c r="D93" s="794">
        <f>+D94+D139</f>
        <v>944460079</v>
      </c>
      <c r="E93" s="794">
        <f>+E94+E139</f>
        <v>857413759</v>
      </c>
      <c r="F93" s="810">
        <f t="shared" ref="F93:Q93" si="65">+F95+F115</f>
        <v>0</v>
      </c>
      <c r="G93" s="810">
        <f t="shared" si="65"/>
        <v>0</v>
      </c>
      <c r="H93" s="810">
        <f t="shared" si="65"/>
        <v>0</v>
      </c>
      <c r="I93" s="810">
        <f t="shared" si="65"/>
        <v>0</v>
      </c>
      <c r="J93" s="810">
        <f t="shared" si="65"/>
        <v>0</v>
      </c>
      <c r="K93" s="810">
        <f t="shared" si="65"/>
        <v>0</v>
      </c>
      <c r="L93" s="810">
        <f t="shared" si="65"/>
        <v>0</v>
      </c>
      <c r="M93" s="810">
        <f t="shared" si="65"/>
        <v>0</v>
      </c>
      <c r="N93" s="810">
        <f>N94+N139</f>
        <v>26831470964</v>
      </c>
      <c r="O93" s="810">
        <f t="shared" si="65"/>
        <v>0</v>
      </c>
      <c r="P93" s="810">
        <f t="shared" si="65"/>
        <v>0</v>
      </c>
      <c r="Q93" s="810">
        <f t="shared" si="65"/>
        <v>0</v>
      </c>
      <c r="R93" s="813">
        <f>R94+R139</f>
        <v>21863796105</v>
      </c>
      <c r="S93" s="813">
        <f t="shared" ref="S93:T93" si="66">S94+S139</f>
        <v>3472345526</v>
      </c>
      <c r="T93" s="813">
        <f t="shared" si="66"/>
        <v>944460079</v>
      </c>
      <c r="U93" s="813">
        <f>U94+U139</f>
        <v>857413759</v>
      </c>
      <c r="V93" s="436"/>
      <c r="W93" s="780"/>
      <c r="X93" s="780"/>
      <c r="Y93" s="780"/>
      <c r="Z93" s="780"/>
      <c r="AA93" s="780"/>
      <c r="AB93" s="780"/>
      <c r="AC93" s="780"/>
      <c r="AD93" s="780"/>
      <c r="AE93" s="780"/>
      <c r="AF93" s="780"/>
      <c r="AG93" s="780"/>
      <c r="AH93" s="780"/>
      <c r="AI93" s="780"/>
      <c r="AJ93" s="780"/>
      <c r="AK93" s="780"/>
      <c r="AL93" s="780"/>
      <c r="AM93" s="780"/>
      <c r="AN93" s="780"/>
      <c r="AO93" s="780"/>
      <c r="AP93" s="780"/>
      <c r="AQ93" s="780"/>
      <c r="AR93" s="780"/>
      <c r="AS93" s="780"/>
    </row>
    <row r="94" spans="1:45" ht="27" thickTop="1" thickBot="1" x14ac:dyDescent="0.3">
      <c r="A94" s="216" t="s">
        <v>253</v>
      </c>
      <c r="B94" s="794">
        <f>+B95+B99+B103+B107+B111+B115+B119+B123+B127+B131+B135</f>
        <v>3900000000</v>
      </c>
      <c r="C94" s="794">
        <f t="shared" ref="C94:Q94" si="67">+C95+C99+C103+C107+C111+C115+C119+C123+C127+C131+C135</f>
        <v>2012233440</v>
      </c>
      <c r="D94" s="794">
        <f t="shared" si="67"/>
        <v>127317870</v>
      </c>
      <c r="E94" s="794">
        <f t="shared" si="67"/>
        <v>102456770</v>
      </c>
      <c r="F94" s="794">
        <f t="shared" si="67"/>
        <v>0</v>
      </c>
      <c r="G94" s="794">
        <f t="shared" si="67"/>
        <v>0</v>
      </c>
      <c r="H94" s="794">
        <f t="shared" si="67"/>
        <v>0</v>
      </c>
      <c r="I94" s="794">
        <f t="shared" si="67"/>
        <v>0</v>
      </c>
      <c r="J94" s="794">
        <f t="shared" si="67"/>
        <v>0</v>
      </c>
      <c r="K94" s="794">
        <f t="shared" si="67"/>
        <v>0</v>
      </c>
      <c r="L94" s="794">
        <f t="shared" si="67"/>
        <v>0</v>
      </c>
      <c r="M94" s="794">
        <f t="shared" si="67"/>
        <v>0</v>
      </c>
      <c r="N94" s="794">
        <f t="shared" si="67"/>
        <v>19213174784</v>
      </c>
      <c r="O94" s="794">
        <f t="shared" si="67"/>
        <v>2854990814</v>
      </c>
      <c r="P94" s="794">
        <f t="shared" si="67"/>
        <v>121067627</v>
      </c>
      <c r="Q94" s="794">
        <f t="shared" si="67"/>
        <v>121067627</v>
      </c>
      <c r="R94" s="822">
        <f>R95+R99+R103+R107+R111+R115+R119+R135</f>
        <v>18863796105</v>
      </c>
      <c r="S94" s="822">
        <f>S95+S99+S103+S107+S111+S115+S119+S135</f>
        <v>2012233440</v>
      </c>
      <c r="T94" s="822">
        <f>T95+T99+T103+T107+T111+T115+T119+T135</f>
        <v>127317870</v>
      </c>
      <c r="U94" s="822">
        <f>U95+U99+U103+U107+U111+U115+U119+U135</f>
        <v>102456770</v>
      </c>
      <c r="V94" s="436"/>
      <c r="W94" s="780"/>
      <c r="X94" s="780"/>
      <c r="Y94" s="780"/>
      <c r="Z94" s="780"/>
      <c r="AA94" s="780"/>
      <c r="AB94" s="780"/>
      <c r="AC94" s="780"/>
      <c r="AD94" s="780"/>
      <c r="AE94" s="780"/>
      <c r="AF94" s="780"/>
      <c r="AG94" s="780"/>
      <c r="AH94" s="780"/>
      <c r="AI94" s="780"/>
      <c r="AJ94" s="780"/>
      <c r="AK94" s="780"/>
      <c r="AL94" s="780"/>
      <c r="AM94" s="780"/>
      <c r="AN94" s="780"/>
      <c r="AO94" s="780"/>
      <c r="AP94" s="780"/>
      <c r="AQ94" s="780"/>
      <c r="AR94" s="780"/>
      <c r="AS94" s="780"/>
    </row>
    <row r="95" spans="1:45" ht="27" thickTop="1" thickBot="1" x14ac:dyDescent="0.3">
      <c r="A95" s="823" t="s">
        <v>254</v>
      </c>
      <c r="B95" s="794">
        <f>+B96</f>
        <v>200000000</v>
      </c>
      <c r="C95" s="794">
        <f t="shared" ref="C95:Q97" si="68">+C96</f>
        <v>116597707</v>
      </c>
      <c r="D95" s="794">
        <f t="shared" si="68"/>
        <v>13039840</v>
      </c>
      <c r="E95" s="794">
        <f t="shared" si="68"/>
        <v>13039840</v>
      </c>
      <c r="F95" s="794">
        <f t="shared" si="68"/>
        <v>0</v>
      </c>
      <c r="G95" s="794">
        <f t="shared" si="68"/>
        <v>0</v>
      </c>
      <c r="H95" s="794">
        <f t="shared" si="68"/>
        <v>0</v>
      </c>
      <c r="I95" s="794">
        <f t="shared" si="68"/>
        <v>0</v>
      </c>
      <c r="J95" s="794">
        <f t="shared" si="68"/>
        <v>0</v>
      </c>
      <c r="K95" s="794">
        <f t="shared" si="68"/>
        <v>0</v>
      </c>
      <c r="L95" s="794">
        <f t="shared" si="68"/>
        <v>0</v>
      </c>
      <c r="M95" s="794">
        <f t="shared" si="68"/>
        <v>0</v>
      </c>
      <c r="N95" s="794">
        <f t="shared" si="68"/>
        <v>0</v>
      </c>
      <c r="O95" s="794">
        <f t="shared" si="68"/>
        <v>0</v>
      </c>
      <c r="P95" s="794">
        <f t="shared" si="68"/>
        <v>0</v>
      </c>
      <c r="Q95" s="794">
        <f t="shared" si="68"/>
        <v>0</v>
      </c>
      <c r="R95" s="796">
        <f>B95+F95+J95+N95</f>
        <v>200000000</v>
      </c>
      <c r="S95" s="796">
        <f t="shared" ref="S95:U95" si="69">C95+G95+K95+O95</f>
        <v>116597707</v>
      </c>
      <c r="T95" s="796">
        <f t="shared" si="69"/>
        <v>13039840</v>
      </c>
      <c r="U95" s="796">
        <f t="shared" si="69"/>
        <v>13039840</v>
      </c>
      <c r="V95" s="436"/>
      <c r="W95" s="816">
        <f>R95+N127+N131</f>
        <v>3058061464</v>
      </c>
      <c r="X95" s="816">
        <f>S95+S127+S131</f>
        <v>243786949</v>
      </c>
      <c r="Y95" s="816">
        <f>T95+T127+T131</f>
        <v>134107467</v>
      </c>
      <c r="Z95" s="816">
        <f>U95+U127+U131</f>
        <v>134107467</v>
      </c>
      <c r="AA95" s="780"/>
      <c r="AB95" s="780"/>
      <c r="AC95" s="780"/>
      <c r="AD95" s="780"/>
      <c r="AE95" s="780"/>
      <c r="AF95" s="780"/>
      <c r="AG95" s="780"/>
      <c r="AH95" s="780"/>
      <c r="AI95" s="780"/>
      <c r="AJ95" s="780"/>
      <c r="AK95" s="780"/>
      <c r="AL95" s="780"/>
      <c r="AM95" s="780"/>
      <c r="AN95" s="780"/>
      <c r="AO95" s="780"/>
      <c r="AP95" s="780"/>
      <c r="AQ95" s="780"/>
      <c r="AR95" s="780"/>
      <c r="AS95" s="780"/>
    </row>
    <row r="96" spans="1:45" ht="16.5" thickTop="1" thickBot="1" x14ac:dyDescent="0.3">
      <c r="A96" s="217" t="s">
        <v>779</v>
      </c>
      <c r="B96" s="794">
        <f>+B97</f>
        <v>200000000</v>
      </c>
      <c r="C96" s="794">
        <f t="shared" si="68"/>
        <v>116597707</v>
      </c>
      <c r="D96" s="794">
        <f t="shared" si="68"/>
        <v>13039840</v>
      </c>
      <c r="E96" s="794">
        <f t="shared" si="68"/>
        <v>13039840</v>
      </c>
      <c r="F96" s="794">
        <v>0</v>
      </c>
      <c r="G96" s="794">
        <v>0</v>
      </c>
      <c r="H96" s="794">
        <v>0</v>
      </c>
      <c r="I96" s="794">
        <v>0</v>
      </c>
      <c r="J96" s="794">
        <f t="shared" si="68"/>
        <v>0</v>
      </c>
      <c r="K96" s="794">
        <f t="shared" si="68"/>
        <v>0</v>
      </c>
      <c r="L96" s="794">
        <f t="shared" si="68"/>
        <v>0</v>
      </c>
      <c r="M96" s="794">
        <f t="shared" si="68"/>
        <v>0</v>
      </c>
      <c r="N96" s="794">
        <f t="shared" si="68"/>
        <v>0</v>
      </c>
      <c r="O96" s="794">
        <f t="shared" si="68"/>
        <v>0</v>
      </c>
      <c r="P96" s="794">
        <f t="shared" si="68"/>
        <v>0</v>
      </c>
      <c r="Q96" s="794">
        <f t="shared" si="68"/>
        <v>0</v>
      </c>
      <c r="R96" s="796">
        <f t="shared" ref="R96:U214" si="70">+B96+F96+J96+N96</f>
        <v>200000000</v>
      </c>
      <c r="S96" s="796">
        <f>+C96+G96+K96+O96</f>
        <v>116597707</v>
      </c>
      <c r="T96" s="796">
        <f t="shared" si="70"/>
        <v>13039840</v>
      </c>
      <c r="U96" s="796">
        <f t="shared" si="70"/>
        <v>13039840</v>
      </c>
      <c r="V96" s="436"/>
      <c r="W96" s="780"/>
      <c r="X96" s="780"/>
      <c r="Y96" s="780"/>
      <c r="Z96" s="780"/>
      <c r="AA96" s="780"/>
      <c r="AB96" s="780"/>
      <c r="AC96" s="780"/>
      <c r="AD96" s="780"/>
      <c r="AE96" s="780"/>
      <c r="AF96" s="780"/>
      <c r="AG96" s="780"/>
      <c r="AH96" s="780"/>
      <c r="AI96" s="780"/>
      <c r="AJ96" s="780"/>
      <c r="AK96" s="780"/>
      <c r="AL96" s="780"/>
      <c r="AM96" s="780"/>
      <c r="AN96" s="780"/>
      <c r="AO96" s="780"/>
      <c r="AP96" s="780"/>
      <c r="AQ96" s="780"/>
      <c r="AR96" s="780"/>
      <c r="AS96" s="780"/>
    </row>
    <row r="97" spans="1:45" ht="16.5" thickTop="1" thickBot="1" x14ac:dyDescent="0.3">
      <c r="A97" s="217" t="s">
        <v>780</v>
      </c>
      <c r="B97" s="794">
        <f>+B98</f>
        <v>200000000</v>
      </c>
      <c r="C97" s="794">
        <f t="shared" si="68"/>
        <v>116597707</v>
      </c>
      <c r="D97" s="794">
        <f t="shared" si="68"/>
        <v>13039840</v>
      </c>
      <c r="E97" s="794">
        <f t="shared" si="68"/>
        <v>13039840</v>
      </c>
      <c r="F97" s="794">
        <v>0</v>
      </c>
      <c r="G97" s="794">
        <v>0</v>
      </c>
      <c r="H97" s="794">
        <v>0</v>
      </c>
      <c r="I97" s="794">
        <v>0</v>
      </c>
      <c r="J97" s="794">
        <f t="shared" si="68"/>
        <v>0</v>
      </c>
      <c r="K97" s="794">
        <f t="shared" si="68"/>
        <v>0</v>
      </c>
      <c r="L97" s="794">
        <f t="shared" si="68"/>
        <v>0</v>
      </c>
      <c r="M97" s="794">
        <f t="shared" si="68"/>
        <v>0</v>
      </c>
      <c r="N97" s="794">
        <f t="shared" si="68"/>
        <v>0</v>
      </c>
      <c r="O97" s="794">
        <f t="shared" si="68"/>
        <v>0</v>
      </c>
      <c r="P97" s="794">
        <f t="shared" si="68"/>
        <v>0</v>
      </c>
      <c r="Q97" s="794">
        <f t="shared" si="68"/>
        <v>0</v>
      </c>
      <c r="R97" s="796">
        <f t="shared" si="70"/>
        <v>200000000</v>
      </c>
      <c r="S97" s="796">
        <f>+C97+G97+K97+O97</f>
        <v>116597707</v>
      </c>
      <c r="T97" s="796">
        <f t="shared" si="70"/>
        <v>13039840</v>
      </c>
      <c r="U97" s="796">
        <f t="shared" si="70"/>
        <v>13039840</v>
      </c>
      <c r="V97" s="436"/>
      <c r="W97" s="780"/>
      <c r="X97" s="780"/>
      <c r="Y97" s="780"/>
      <c r="Z97" s="780"/>
      <c r="AA97" s="780"/>
      <c r="AB97" s="780"/>
      <c r="AC97" s="780"/>
      <c r="AD97" s="780"/>
      <c r="AE97" s="780"/>
      <c r="AF97" s="780"/>
      <c r="AG97" s="780"/>
      <c r="AH97" s="780"/>
      <c r="AI97" s="780"/>
      <c r="AJ97" s="780"/>
      <c r="AK97" s="780"/>
      <c r="AL97" s="780"/>
      <c r="AM97" s="780"/>
      <c r="AN97" s="780"/>
      <c r="AO97" s="780"/>
      <c r="AP97" s="780"/>
      <c r="AQ97" s="780"/>
      <c r="AR97" s="780"/>
      <c r="AS97" s="780"/>
    </row>
    <row r="98" spans="1:45" ht="16.5" thickTop="1" thickBot="1" x14ac:dyDescent="0.3">
      <c r="A98" s="217" t="s">
        <v>781</v>
      </c>
      <c r="B98" s="794">
        <v>200000000</v>
      </c>
      <c r="C98" s="794">
        <v>116597707</v>
      </c>
      <c r="D98" s="794">
        <v>13039840</v>
      </c>
      <c r="E98" s="794">
        <v>13039840</v>
      </c>
      <c r="F98" s="794">
        <v>0</v>
      </c>
      <c r="G98" s="794">
        <v>0</v>
      </c>
      <c r="H98" s="794">
        <v>0</v>
      </c>
      <c r="I98" s="794">
        <v>0</v>
      </c>
      <c r="J98" s="794">
        <v>0</v>
      </c>
      <c r="K98" s="794">
        <v>0</v>
      </c>
      <c r="L98" s="794">
        <v>0</v>
      </c>
      <c r="M98" s="794">
        <v>0</v>
      </c>
      <c r="N98" s="794"/>
      <c r="O98" s="794"/>
      <c r="P98" s="794"/>
      <c r="Q98" s="794"/>
      <c r="R98" s="796">
        <f t="shared" si="70"/>
        <v>200000000</v>
      </c>
      <c r="S98" s="796">
        <f>+C98+G98+K98+O98</f>
        <v>116597707</v>
      </c>
      <c r="T98" s="796">
        <f t="shared" si="70"/>
        <v>13039840</v>
      </c>
      <c r="U98" s="796">
        <f t="shared" si="70"/>
        <v>13039840</v>
      </c>
      <c r="V98" s="436"/>
      <c r="W98" s="780"/>
      <c r="X98" s="780"/>
      <c r="Y98" s="780"/>
      <c r="Z98" s="780"/>
      <c r="AA98" s="780"/>
      <c r="AB98" s="780"/>
      <c r="AC98" s="780"/>
      <c r="AD98" s="780"/>
      <c r="AE98" s="780"/>
      <c r="AF98" s="780"/>
      <c r="AG98" s="780"/>
      <c r="AH98" s="780"/>
      <c r="AI98" s="780"/>
      <c r="AJ98" s="780"/>
      <c r="AK98" s="780"/>
      <c r="AL98" s="780"/>
      <c r="AM98" s="780"/>
      <c r="AN98" s="780"/>
      <c r="AO98" s="780"/>
      <c r="AP98" s="780"/>
      <c r="AQ98" s="780"/>
      <c r="AR98" s="780"/>
      <c r="AS98" s="780"/>
    </row>
    <row r="99" spans="1:45" ht="39.75" thickTop="1" thickBot="1" x14ac:dyDescent="0.3">
      <c r="A99" s="824" t="s">
        <v>266</v>
      </c>
      <c r="B99" s="794">
        <f>+B100</f>
        <v>100000000</v>
      </c>
      <c r="C99" s="794">
        <f t="shared" ref="C99:Q101" si="71">+C100</f>
        <v>78385350</v>
      </c>
      <c r="D99" s="794">
        <f t="shared" si="71"/>
        <v>385350</v>
      </c>
      <c r="E99" s="794">
        <f t="shared" si="71"/>
        <v>385350</v>
      </c>
      <c r="F99" s="794">
        <f t="shared" si="71"/>
        <v>0</v>
      </c>
      <c r="G99" s="794">
        <f t="shared" si="71"/>
        <v>0</v>
      </c>
      <c r="H99" s="794">
        <f t="shared" si="71"/>
        <v>0</v>
      </c>
      <c r="I99" s="794">
        <f t="shared" si="71"/>
        <v>0</v>
      </c>
      <c r="J99" s="794">
        <f t="shared" si="71"/>
        <v>0</v>
      </c>
      <c r="K99" s="794">
        <f t="shared" si="71"/>
        <v>0</v>
      </c>
      <c r="L99" s="794">
        <f t="shared" si="71"/>
        <v>0</v>
      </c>
      <c r="M99" s="794">
        <f>+M100</f>
        <v>0</v>
      </c>
      <c r="N99" s="794">
        <f t="shared" si="71"/>
        <v>0</v>
      </c>
      <c r="O99" s="794">
        <f t="shared" si="71"/>
        <v>0</v>
      </c>
      <c r="P99" s="794">
        <f t="shared" si="71"/>
        <v>0</v>
      </c>
      <c r="Q99" s="794">
        <f t="shared" si="71"/>
        <v>0</v>
      </c>
      <c r="R99" s="796">
        <f>B99+F99+J99+N99</f>
        <v>100000000</v>
      </c>
      <c r="S99" s="796">
        <f t="shared" ref="S99:V99" si="72">C99+G99+K99+O99</f>
        <v>78385350</v>
      </c>
      <c r="T99" s="796">
        <f t="shared" si="72"/>
        <v>385350</v>
      </c>
      <c r="U99" s="796">
        <f t="shared" si="72"/>
        <v>385350</v>
      </c>
      <c r="V99" s="796">
        <f t="shared" si="72"/>
        <v>100000000</v>
      </c>
      <c r="W99" s="816">
        <f>R99+N135</f>
        <v>4066687778</v>
      </c>
      <c r="X99" s="816">
        <f>S99+O135</f>
        <v>78385350</v>
      </c>
      <c r="Y99" s="816">
        <f>T99+P135</f>
        <v>385350</v>
      </c>
      <c r="Z99" s="816">
        <f t="shared" ref="Z99" si="73">U99+Q135</f>
        <v>385350</v>
      </c>
      <c r="AA99" s="816"/>
      <c r="AB99" s="780"/>
      <c r="AC99" s="780"/>
      <c r="AD99" s="780"/>
      <c r="AE99" s="780"/>
      <c r="AF99" s="780"/>
      <c r="AG99" s="780"/>
      <c r="AH99" s="780"/>
      <c r="AI99" s="780"/>
      <c r="AJ99" s="780"/>
      <c r="AK99" s="780"/>
      <c r="AL99" s="780"/>
      <c r="AM99" s="780"/>
      <c r="AN99" s="780"/>
      <c r="AO99" s="780"/>
      <c r="AP99" s="780"/>
      <c r="AQ99" s="780"/>
      <c r="AR99" s="780"/>
      <c r="AS99" s="780"/>
    </row>
    <row r="100" spans="1:45" ht="16.5" thickTop="1" thickBot="1" x14ac:dyDescent="0.3">
      <c r="A100" s="825" t="s">
        <v>779</v>
      </c>
      <c r="B100" s="794">
        <f>+B101</f>
        <v>100000000</v>
      </c>
      <c r="C100" s="794">
        <f t="shared" si="71"/>
        <v>78385350</v>
      </c>
      <c r="D100" s="794">
        <f t="shared" si="71"/>
        <v>385350</v>
      </c>
      <c r="E100" s="794">
        <f t="shared" si="71"/>
        <v>385350</v>
      </c>
      <c r="F100" s="814">
        <f t="shared" si="71"/>
        <v>0</v>
      </c>
      <c r="G100" s="814">
        <f t="shared" si="71"/>
        <v>0</v>
      </c>
      <c r="H100" s="814">
        <f t="shared" si="71"/>
        <v>0</v>
      </c>
      <c r="I100" s="814">
        <f t="shared" si="71"/>
        <v>0</v>
      </c>
      <c r="J100" s="814">
        <f t="shared" si="71"/>
        <v>0</v>
      </c>
      <c r="K100" s="814">
        <f t="shared" si="71"/>
        <v>0</v>
      </c>
      <c r="L100" s="814">
        <f t="shared" si="71"/>
        <v>0</v>
      </c>
      <c r="M100" s="814">
        <f t="shared" si="71"/>
        <v>0</v>
      </c>
      <c r="N100" s="814">
        <f t="shared" si="71"/>
        <v>0</v>
      </c>
      <c r="O100" s="814">
        <f t="shared" si="71"/>
        <v>0</v>
      </c>
      <c r="P100" s="814">
        <f t="shared" si="71"/>
        <v>0</v>
      </c>
      <c r="Q100" s="814">
        <f t="shared" si="71"/>
        <v>0</v>
      </c>
      <c r="R100" s="815">
        <f t="shared" ref="R100:U102" si="74">+B100+F100+J100+N100</f>
        <v>100000000</v>
      </c>
      <c r="S100" s="815">
        <f t="shared" si="74"/>
        <v>78385350</v>
      </c>
      <c r="T100" s="815">
        <f t="shared" si="74"/>
        <v>385350</v>
      </c>
      <c r="U100" s="494">
        <f t="shared" si="74"/>
        <v>385350</v>
      </c>
      <c r="V100" s="436"/>
      <c r="W100" s="780"/>
      <c r="X100" s="780"/>
      <c r="Y100" s="780"/>
      <c r="Z100" s="780"/>
      <c r="AA100" s="780"/>
      <c r="AB100" s="780"/>
      <c r="AC100" s="780"/>
      <c r="AD100" s="780"/>
      <c r="AE100" s="780"/>
      <c r="AF100" s="780"/>
      <c r="AG100" s="780"/>
      <c r="AH100" s="780"/>
      <c r="AI100" s="780"/>
      <c r="AJ100" s="780"/>
      <c r="AK100" s="780"/>
      <c r="AL100" s="780"/>
      <c r="AM100" s="780"/>
      <c r="AN100" s="780"/>
      <c r="AO100" s="780"/>
      <c r="AP100" s="780"/>
      <c r="AQ100" s="780"/>
      <c r="AR100" s="780"/>
      <c r="AS100" s="780"/>
    </row>
    <row r="101" spans="1:45" ht="16.5" thickTop="1" thickBot="1" x14ac:dyDescent="0.3">
      <c r="A101" s="825" t="s">
        <v>780</v>
      </c>
      <c r="B101" s="794">
        <f>+B102</f>
        <v>100000000</v>
      </c>
      <c r="C101" s="794">
        <f t="shared" si="71"/>
        <v>78385350</v>
      </c>
      <c r="D101" s="794">
        <f t="shared" si="71"/>
        <v>385350</v>
      </c>
      <c r="E101" s="794">
        <f t="shared" si="71"/>
        <v>385350</v>
      </c>
      <c r="F101" s="794">
        <v>0</v>
      </c>
      <c r="G101" s="794">
        <v>0</v>
      </c>
      <c r="H101" s="794">
        <f t="shared" si="71"/>
        <v>0</v>
      </c>
      <c r="I101" s="794">
        <f t="shared" si="71"/>
        <v>0</v>
      </c>
      <c r="J101" s="794">
        <f t="shared" si="71"/>
        <v>0</v>
      </c>
      <c r="K101" s="794">
        <f t="shared" si="71"/>
        <v>0</v>
      </c>
      <c r="L101" s="794">
        <f t="shared" si="71"/>
        <v>0</v>
      </c>
      <c r="M101" s="794">
        <f t="shared" si="71"/>
        <v>0</v>
      </c>
      <c r="N101" s="794">
        <f t="shared" si="71"/>
        <v>0</v>
      </c>
      <c r="O101" s="794">
        <f t="shared" si="71"/>
        <v>0</v>
      </c>
      <c r="P101" s="794">
        <f t="shared" si="71"/>
        <v>0</v>
      </c>
      <c r="Q101" s="794">
        <f t="shared" si="71"/>
        <v>0</v>
      </c>
      <c r="R101" s="796">
        <f t="shared" si="74"/>
        <v>100000000</v>
      </c>
      <c r="S101" s="796">
        <f t="shared" si="74"/>
        <v>78385350</v>
      </c>
      <c r="T101" s="796">
        <f t="shared" si="74"/>
        <v>385350</v>
      </c>
      <c r="U101" s="463">
        <f t="shared" si="74"/>
        <v>385350</v>
      </c>
      <c r="V101" s="436"/>
      <c r="W101" s="780"/>
      <c r="X101" s="780"/>
      <c r="Y101" s="780"/>
      <c r="Z101" s="780"/>
      <c r="AA101" s="780"/>
      <c r="AB101" s="780"/>
      <c r="AC101" s="780"/>
      <c r="AD101" s="780"/>
      <c r="AE101" s="780"/>
      <c r="AF101" s="780"/>
      <c r="AG101" s="780"/>
      <c r="AH101" s="780"/>
      <c r="AI101" s="780"/>
      <c r="AJ101" s="780"/>
      <c r="AK101" s="780"/>
      <c r="AL101" s="780"/>
      <c r="AM101" s="780"/>
      <c r="AN101" s="780"/>
      <c r="AO101" s="780"/>
      <c r="AP101" s="780"/>
      <c r="AQ101" s="780"/>
      <c r="AR101" s="780"/>
      <c r="AS101" s="780"/>
    </row>
    <row r="102" spans="1:45" ht="16.5" thickTop="1" thickBot="1" x14ac:dyDescent="0.3">
      <c r="A102" s="825" t="s">
        <v>781</v>
      </c>
      <c r="B102" s="794">
        <v>100000000</v>
      </c>
      <c r="C102" s="794">
        <v>78385350</v>
      </c>
      <c r="D102" s="794">
        <v>385350</v>
      </c>
      <c r="E102" s="794">
        <v>385350</v>
      </c>
      <c r="F102" s="794">
        <v>0</v>
      </c>
      <c r="G102" s="794">
        <v>0</v>
      </c>
      <c r="H102" s="794"/>
      <c r="I102" s="794"/>
      <c r="J102" s="794"/>
      <c r="K102" s="794"/>
      <c r="L102" s="794"/>
      <c r="M102" s="794"/>
      <c r="N102" s="794"/>
      <c r="O102" s="794"/>
      <c r="P102" s="794"/>
      <c r="Q102" s="794"/>
      <c r="R102" s="796">
        <f t="shared" si="74"/>
        <v>100000000</v>
      </c>
      <c r="S102" s="796">
        <f t="shared" si="74"/>
        <v>78385350</v>
      </c>
      <c r="T102" s="796">
        <f t="shared" si="74"/>
        <v>385350</v>
      </c>
      <c r="U102" s="463">
        <f t="shared" si="74"/>
        <v>385350</v>
      </c>
      <c r="V102" s="436"/>
      <c r="W102" s="780"/>
      <c r="X102" s="780"/>
      <c r="Y102" s="780"/>
      <c r="Z102" s="780"/>
      <c r="AA102" s="780"/>
      <c r="AB102" s="780"/>
      <c r="AC102" s="780"/>
      <c r="AD102" s="780"/>
      <c r="AE102" s="780"/>
      <c r="AF102" s="780"/>
      <c r="AG102" s="780"/>
      <c r="AH102" s="780"/>
      <c r="AI102" s="780"/>
      <c r="AJ102" s="780"/>
      <c r="AK102" s="780"/>
      <c r="AL102" s="780"/>
      <c r="AM102" s="780"/>
      <c r="AN102" s="780"/>
      <c r="AO102" s="780"/>
      <c r="AP102" s="780"/>
      <c r="AQ102" s="780"/>
      <c r="AR102" s="780"/>
      <c r="AS102" s="780"/>
    </row>
    <row r="103" spans="1:45" ht="27" thickTop="1" thickBot="1" x14ac:dyDescent="0.3">
      <c r="A103" s="498" t="s">
        <v>277</v>
      </c>
      <c r="B103" s="794">
        <f>+B104</f>
        <v>200000000</v>
      </c>
      <c r="C103" s="794">
        <f t="shared" ref="C103:Q105" si="75">+C104</f>
        <v>75237246</v>
      </c>
      <c r="D103" s="794">
        <f t="shared" si="75"/>
        <v>11598580</v>
      </c>
      <c r="E103" s="794">
        <f t="shared" si="75"/>
        <v>7755580</v>
      </c>
      <c r="F103" s="794">
        <f t="shared" si="75"/>
        <v>0</v>
      </c>
      <c r="G103" s="794">
        <f t="shared" si="75"/>
        <v>0</v>
      </c>
      <c r="H103" s="794">
        <f t="shared" si="75"/>
        <v>0</v>
      </c>
      <c r="I103" s="794">
        <f t="shared" si="75"/>
        <v>0</v>
      </c>
      <c r="J103" s="794">
        <f t="shared" si="75"/>
        <v>0</v>
      </c>
      <c r="K103" s="794">
        <f t="shared" si="75"/>
        <v>0</v>
      </c>
      <c r="L103" s="794">
        <f t="shared" si="75"/>
        <v>0</v>
      </c>
      <c r="M103" s="794">
        <f t="shared" si="75"/>
        <v>0</v>
      </c>
      <c r="N103" s="814">
        <f t="shared" si="75"/>
        <v>0</v>
      </c>
      <c r="O103" s="794">
        <f t="shared" si="75"/>
        <v>0</v>
      </c>
      <c r="P103" s="794">
        <f t="shared" si="75"/>
        <v>0</v>
      </c>
      <c r="Q103" s="794">
        <f t="shared" si="75"/>
        <v>0</v>
      </c>
      <c r="R103" s="796">
        <f>B103+F103+J103+N103</f>
        <v>200000000</v>
      </c>
      <c r="S103" s="796">
        <f t="shared" ref="S103:U103" si="76">C103+G103+K103+O103</f>
        <v>75237246</v>
      </c>
      <c r="T103" s="796">
        <f t="shared" si="76"/>
        <v>11598580</v>
      </c>
      <c r="U103" s="796">
        <f t="shared" si="76"/>
        <v>7755580</v>
      </c>
      <c r="V103" s="436"/>
      <c r="W103" s="780"/>
      <c r="X103" s="780"/>
      <c r="Y103" s="780"/>
      <c r="Z103" s="780"/>
      <c r="AA103" s="780"/>
      <c r="AB103" s="780"/>
      <c r="AC103" s="780"/>
      <c r="AD103" s="780"/>
      <c r="AE103" s="780"/>
      <c r="AF103" s="780"/>
      <c r="AG103" s="780"/>
      <c r="AH103" s="780"/>
      <c r="AI103" s="780"/>
      <c r="AJ103" s="780"/>
      <c r="AK103" s="780"/>
      <c r="AL103" s="780"/>
      <c r="AM103" s="780"/>
      <c r="AN103" s="780"/>
      <c r="AO103" s="780"/>
      <c r="AP103" s="780"/>
      <c r="AQ103" s="780"/>
      <c r="AR103" s="780"/>
      <c r="AS103" s="780"/>
    </row>
    <row r="104" spans="1:45" ht="16.5" thickTop="1" thickBot="1" x14ac:dyDescent="0.3">
      <c r="A104" s="499" t="s">
        <v>779</v>
      </c>
      <c r="B104" s="794">
        <f>+B105</f>
        <v>200000000</v>
      </c>
      <c r="C104" s="794">
        <f t="shared" si="75"/>
        <v>75237246</v>
      </c>
      <c r="D104" s="794">
        <f t="shared" si="75"/>
        <v>11598580</v>
      </c>
      <c r="E104" s="794">
        <f t="shared" si="75"/>
        <v>7755580</v>
      </c>
      <c r="F104" s="814">
        <f t="shared" si="75"/>
        <v>0</v>
      </c>
      <c r="G104" s="814">
        <f t="shared" si="75"/>
        <v>0</v>
      </c>
      <c r="H104" s="814">
        <f t="shared" si="75"/>
        <v>0</v>
      </c>
      <c r="I104" s="814">
        <f t="shared" si="75"/>
        <v>0</v>
      </c>
      <c r="J104" s="814">
        <f t="shared" si="75"/>
        <v>0</v>
      </c>
      <c r="K104" s="814">
        <f t="shared" si="75"/>
        <v>0</v>
      </c>
      <c r="L104" s="814">
        <f t="shared" si="75"/>
        <v>0</v>
      </c>
      <c r="M104" s="814">
        <f t="shared" si="75"/>
        <v>0</v>
      </c>
      <c r="N104" s="814">
        <f t="shared" si="75"/>
        <v>0</v>
      </c>
      <c r="O104" s="814">
        <f t="shared" si="75"/>
        <v>0</v>
      </c>
      <c r="P104" s="814">
        <f t="shared" si="75"/>
        <v>0</v>
      </c>
      <c r="Q104" s="814">
        <f t="shared" si="75"/>
        <v>0</v>
      </c>
      <c r="R104" s="815">
        <f t="shared" ref="R104:U106" si="77">+B104+F104+J104+N104</f>
        <v>200000000</v>
      </c>
      <c r="S104" s="815">
        <f t="shared" si="77"/>
        <v>75237246</v>
      </c>
      <c r="T104" s="815">
        <f t="shared" si="77"/>
        <v>11598580</v>
      </c>
      <c r="U104" s="494">
        <f t="shared" si="77"/>
        <v>7755580</v>
      </c>
      <c r="V104" s="436"/>
      <c r="W104" s="786">
        <f>R104</f>
        <v>200000000</v>
      </c>
      <c r="X104" s="780"/>
      <c r="Y104" s="780"/>
      <c r="Z104" s="780"/>
      <c r="AA104" s="780"/>
      <c r="AB104" s="780"/>
      <c r="AC104" s="780"/>
      <c r="AD104" s="780"/>
      <c r="AE104" s="780"/>
      <c r="AF104" s="780"/>
      <c r="AG104" s="780"/>
      <c r="AH104" s="780"/>
      <c r="AI104" s="780"/>
      <c r="AJ104" s="780"/>
      <c r="AK104" s="780"/>
      <c r="AL104" s="780"/>
      <c r="AM104" s="780"/>
      <c r="AN104" s="780"/>
      <c r="AO104" s="780"/>
      <c r="AP104" s="780"/>
      <c r="AQ104" s="780"/>
      <c r="AR104" s="780"/>
      <c r="AS104" s="780"/>
    </row>
    <row r="105" spans="1:45" ht="16.5" thickTop="1" thickBot="1" x14ac:dyDescent="0.3">
      <c r="A105" s="217" t="s">
        <v>780</v>
      </c>
      <c r="B105" s="794">
        <f>+B106</f>
        <v>200000000</v>
      </c>
      <c r="C105" s="794">
        <f t="shared" si="75"/>
        <v>75237246</v>
      </c>
      <c r="D105" s="794">
        <f t="shared" si="75"/>
        <v>11598580</v>
      </c>
      <c r="E105" s="794">
        <f t="shared" si="75"/>
        <v>7755580</v>
      </c>
      <c r="F105" s="794">
        <f t="shared" si="75"/>
        <v>0</v>
      </c>
      <c r="G105" s="794">
        <f t="shared" si="75"/>
        <v>0</v>
      </c>
      <c r="H105" s="794">
        <f t="shared" si="75"/>
        <v>0</v>
      </c>
      <c r="I105" s="794">
        <f t="shared" si="75"/>
        <v>0</v>
      </c>
      <c r="J105" s="794">
        <f t="shared" si="75"/>
        <v>0</v>
      </c>
      <c r="K105" s="794">
        <f t="shared" si="75"/>
        <v>0</v>
      </c>
      <c r="L105" s="794">
        <f t="shared" si="75"/>
        <v>0</v>
      </c>
      <c r="M105" s="794">
        <f t="shared" si="75"/>
        <v>0</v>
      </c>
      <c r="N105" s="794">
        <v>0</v>
      </c>
      <c r="O105" s="794">
        <v>0</v>
      </c>
      <c r="P105" s="794">
        <v>0</v>
      </c>
      <c r="Q105" s="794">
        <v>0</v>
      </c>
      <c r="R105" s="796">
        <f t="shared" si="77"/>
        <v>200000000</v>
      </c>
      <c r="S105" s="796">
        <f t="shared" si="77"/>
        <v>75237246</v>
      </c>
      <c r="T105" s="796">
        <f t="shared" si="77"/>
        <v>11598580</v>
      </c>
      <c r="U105" s="463">
        <f t="shared" si="77"/>
        <v>7755580</v>
      </c>
      <c r="V105" s="436"/>
      <c r="W105" s="780"/>
      <c r="X105" s="780"/>
      <c r="Y105" s="780"/>
      <c r="Z105" s="780"/>
      <c r="AA105" s="780"/>
      <c r="AB105" s="780"/>
      <c r="AC105" s="780"/>
      <c r="AD105" s="780"/>
      <c r="AE105" s="780"/>
      <c r="AF105" s="780"/>
      <c r="AG105" s="780"/>
      <c r="AH105" s="780"/>
      <c r="AI105" s="780"/>
      <c r="AJ105" s="780"/>
      <c r="AK105" s="780"/>
      <c r="AL105" s="780"/>
      <c r="AM105" s="780"/>
      <c r="AN105" s="780"/>
      <c r="AO105" s="780"/>
      <c r="AP105" s="780"/>
      <c r="AQ105" s="780"/>
      <c r="AR105" s="780"/>
      <c r="AS105" s="780"/>
    </row>
    <row r="106" spans="1:45" ht="16.5" thickTop="1" thickBot="1" x14ac:dyDescent="0.3">
      <c r="A106" s="217" t="s">
        <v>781</v>
      </c>
      <c r="B106" s="794">
        <v>200000000</v>
      </c>
      <c r="C106" s="794">
        <v>75237246</v>
      </c>
      <c r="D106" s="794">
        <v>11598580</v>
      </c>
      <c r="E106" s="794">
        <v>7755580</v>
      </c>
      <c r="F106" s="794"/>
      <c r="G106" s="794"/>
      <c r="H106" s="794"/>
      <c r="I106" s="794"/>
      <c r="J106" s="794"/>
      <c r="K106" s="794"/>
      <c r="L106" s="794"/>
      <c r="M106" s="794"/>
      <c r="N106" s="794">
        <v>0</v>
      </c>
      <c r="O106" s="794">
        <v>0</v>
      </c>
      <c r="P106" s="794">
        <v>0</v>
      </c>
      <c r="Q106" s="794">
        <v>0</v>
      </c>
      <c r="R106" s="796">
        <f t="shared" si="77"/>
        <v>200000000</v>
      </c>
      <c r="S106" s="796">
        <f t="shared" si="77"/>
        <v>75237246</v>
      </c>
      <c r="T106" s="796">
        <f t="shared" si="77"/>
        <v>11598580</v>
      </c>
      <c r="U106" s="463">
        <f t="shared" si="77"/>
        <v>7755580</v>
      </c>
      <c r="V106" s="436"/>
      <c r="W106" s="780"/>
      <c r="X106" s="780"/>
      <c r="Y106" s="780"/>
      <c r="Z106" s="780"/>
      <c r="AA106" s="780"/>
      <c r="AB106" s="780"/>
      <c r="AC106" s="780"/>
      <c r="AD106" s="780"/>
      <c r="AE106" s="780"/>
      <c r="AF106" s="780"/>
      <c r="AG106" s="780"/>
      <c r="AH106" s="780"/>
      <c r="AI106" s="780"/>
      <c r="AJ106" s="780"/>
      <c r="AK106" s="780"/>
      <c r="AL106" s="780"/>
      <c r="AM106" s="780"/>
      <c r="AN106" s="780"/>
      <c r="AO106" s="780"/>
      <c r="AP106" s="780"/>
      <c r="AQ106" s="780"/>
      <c r="AR106" s="780"/>
      <c r="AS106" s="780"/>
    </row>
    <row r="107" spans="1:45" ht="16.5" thickTop="1" thickBot="1" x14ac:dyDescent="0.3">
      <c r="A107" s="823" t="s">
        <v>295</v>
      </c>
      <c r="B107" s="794">
        <f>+B108</f>
        <v>200000000</v>
      </c>
      <c r="C107" s="794">
        <f t="shared" ref="C107:Q113" si="78">+C108</f>
        <v>183021170</v>
      </c>
      <c r="D107" s="794">
        <f t="shared" si="78"/>
        <v>53571468</v>
      </c>
      <c r="E107" s="794">
        <f t="shared" si="78"/>
        <v>42010268</v>
      </c>
      <c r="F107" s="794">
        <f t="shared" si="78"/>
        <v>0</v>
      </c>
      <c r="G107" s="794">
        <f t="shared" si="78"/>
        <v>0</v>
      </c>
      <c r="H107" s="794">
        <f t="shared" si="78"/>
        <v>0</v>
      </c>
      <c r="I107" s="794">
        <f t="shared" si="78"/>
        <v>0</v>
      </c>
      <c r="J107" s="794">
        <f t="shared" si="78"/>
        <v>0</v>
      </c>
      <c r="K107" s="794">
        <f t="shared" si="78"/>
        <v>0</v>
      </c>
      <c r="L107" s="794">
        <f t="shared" si="78"/>
        <v>0</v>
      </c>
      <c r="M107" s="794">
        <f t="shared" si="78"/>
        <v>0</v>
      </c>
      <c r="N107" s="794">
        <f t="shared" si="78"/>
        <v>0</v>
      </c>
      <c r="O107" s="794">
        <f t="shared" si="78"/>
        <v>0</v>
      </c>
      <c r="P107" s="794">
        <f t="shared" si="78"/>
        <v>0</v>
      </c>
      <c r="Q107" s="794">
        <f t="shared" si="78"/>
        <v>0</v>
      </c>
      <c r="R107" s="796">
        <f>B107+F107+J107+N107</f>
        <v>200000000</v>
      </c>
      <c r="S107" s="796">
        <f t="shared" ref="S107:U107" si="79">C107+G107+K107+O107</f>
        <v>183021170</v>
      </c>
      <c r="T107" s="796">
        <f t="shared" si="79"/>
        <v>53571468</v>
      </c>
      <c r="U107" s="796">
        <f t="shared" si="79"/>
        <v>42010268</v>
      </c>
      <c r="V107" s="436"/>
      <c r="W107" s="780"/>
      <c r="X107" s="780"/>
      <c r="Y107" s="780"/>
      <c r="Z107" s="780"/>
      <c r="AA107" s="780"/>
      <c r="AB107" s="780"/>
      <c r="AC107" s="780"/>
      <c r="AD107" s="780"/>
      <c r="AE107" s="780"/>
      <c r="AF107" s="780"/>
      <c r="AG107" s="780"/>
      <c r="AH107" s="780"/>
      <c r="AI107" s="780"/>
      <c r="AJ107" s="780"/>
      <c r="AK107" s="780"/>
      <c r="AL107" s="780"/>
      <c r="AM107" s="780"/>
      <c r="AN107" s="780"/>
      <c r="AO107" s="780"/>
      <c r="AP107" s="780"/>
      <c r="AQ107" s="780"/>
      <c r="AR107" s="780"/>
      <c r="AS107" s="780"/>
    </row>
    <row r="108" spans="1:45" ht="16.5" thickTop="1" thickBot="1" x14ac:dyDescent="0.3">
      <c r="A108" s="217" t="s">
        <v>779</v>
      </c>
      <c r="B108" s="794">
        <f>+B109</f>
        <v>200000000</v>
      </c>
      <c r="C108" s="794">
        <f t="shared" si="78"/>
        <v>183021170</v>
      </c>
      <c r="D108" s="794">
        <f t="shared" si="78"/>
        <v>53571468</v>
      </c>
      <c r="E108" s="794">
        <f t="shared" si="78"/>
        <v>42010268</v>
      </c>
      <c r="F108" s="814">
        <f t="shared" si="78"/>
        <v>0</v>
      </c>
      <c r="G108" s="814">
        <f t="shared" si="78"/>
        <v>0</v>
      </c>
      <c r="H108" s="814">
        <f t="shared" si="78"/>
        <v>0</v>
      </c>
      <c r="I108" s="814">
        <f t="shared" si="78"/>
        <v>0</v>
      </c>
      <c r="J108" s="814">
        <f t="shared" si="78"/>
        <v>0</v>
      </c>
      <c r="K108" s="814">
        <f t="shared" si="78"/>
        <v>0</v>
      </c>
      <c r="L108" s="814">
        <f t="shared" si="78"/>
        <v>0</v>
      </c>
      <c r="M108" s="814">
        <f t="shared" si="78"/>
        <v>0</v>
      </c>
      <c r="N108" s="814">
        <f t="shared" si="78"/>
        <v>0</v>
      </c>
      <c r="O108" s="814">
        <f t="shared" si="78"/>
        <v>0</v>
      </c>
      <c r="P108" s="814">
        <f t="shared" si="78"/>
        <v>0</v>
      </c>
      <c r="Q108" s="814">
        <f t="shared" si="78"/>
        <v>0</v>
      </c>
      <c r="R108" s="815">
        <f t="shared" ref="R108:U110" si="80">+B108+F108+J108+N108</f>
        <v>200000000</v>
      </c>
      <c r="S108" s="815">
        <f t="shared" si="80"/>
        <v>183021170</v>
      </c>
      <c r="T108" s="815">
        <f t="shared" si="80"/>
        <v>53571468</v>
      </c>
      <c r="U108" s="815">
        <f t="shared" si="80"/>
        <v>42010268</v>
      </c>
      <c r="V108" s="436"/>
      <c r="W108" s="786">
        <f>R108</f>
        <v>200000000</v>
      </c>
      <c r="X108" s="780"/>
      <c r="Y108" s="780"/>
      <c r="Z108" s="780"/>
      <c r="AA108" s="780"/>
      <c r="AB108" s="780"/>
      <c r="AC108" s="780"/>
      <c r="AD108" s="780"/>
      <c r="AE108" s="780"/>
      <c r="AF108" s="780"/>
      <c r="AG108" s="780"/>
      <c r="AH108" s="780"/>
      <c r="AI108" s="780"/>
      <c r="AJ108" s="780"/>
      <c r="AK108" s="780"/>
      <c r="AL108" s="780"/>
      <c r="AM108" s="780"/>
      <c r="AN108" s="780"/>
      <c r="AO108" s="780"/>
      <c r="AP108" s="780"/>
      <c r="AQ108" s="780"/>
      <c r="AR108" s="780"/>
      <c r="AS108" s="780"/>
    </row>
    <row r="109" spans="1:45" ht="16.5" thickTop="1" thickBot="1" x14ac:dyDescent="0.3">
      <c r="A109" s="217" t="s">
        <v>780</v>
      </c>
      <c r="B109" s="794">
        <f>+B110</f>
        <v>200000000</v>
      </c>
      <c r="C109" s="794">
        <f t="shared" si="78"/>
        <v>183021170</v>
      </c>
      <c r="D109" s="794">
        <f t="shared" si="78"/>
        <v>53571468</v>
      </c>
      <c r="E109" s="794">
        <f t="shared" si="78"/>
        <v>42010268</v>
      </c>
      <c r="F109" s="794">
        <f t="shared" si="78"/>
        <v>0</v>
      </c>
      <c r="G109" s="794">
        <f t="shared" si="78"/>
        <v>0</v>
      </c>
      <c r="H109" s="794">
        <f t="shared" si="78"/>
        <v>0</v>
      </c>
      <c r="I109" s="794">
        <f t="shared" si="78"/>
        <v>0</v>
      </c>
      <c r="J109" s="794">
        <f t="shared" si="78"/>
        <v>0</v>
      </c>
      <c r="K109" s="794">
        <f t="shared" si="78"/>
        <v>0</v>
      </c>
      <c r="L109" s="794">
        <f t="shared" si="78"/>
        <v>0</v>
      </c>
      <c r="M109" s="794">
        <f t="shared" si="78"/>
        <v>0</v>
      </c>
      <c r="N109" s="794">
        <f t="shared" si="78"/>
        <v>0</v>
      </c>
      <c r="O109" s="794">
        <f t="shared" si="78"/>
        <v>0</v>
      </c>
      <c r="P109" s="794">
        <f t="shared" si="78"/>
        <v>0</v>
      </c>
      <c r="Q109" s="794">
        <f t="shared" si="78"/>
        <v>0</v>
      </c>
      <c r="R109" s="796">
        <f t="shared" si="80"/>
        <v>200000000</v>
      </c>
      <c r="S109" s="796">
        <f t="shared" si="80"/>
        <v>183021170</v>
      </c>
      <c r="T109" s="796">
        <f t="shared" si="80"/>
        <v>53571468</v>
      </c>
      <c r="U109" s="463">
        <f t="shared" si="80"/>
        <v>42010268</v>
      </c>
      <c r="V109" s="436"/>
      <c r="W109" s="780"/>
      <c r="X109" s="780"/>
      <c r="Y109" s="780"/>
      <c r="Z109" s="780"/>
      <c r="AA109" s="780"/>
      <c r="AB109" s="780"/>
      <c r="AC109" s="780"/>
      <c r="AD109" s="780"/>
      <c r="AE109" s="780"/>
      <c r="AF109" s="780"/>
      <c r="AG109" s="780"/>
      <c r="AH109" s="780"/>
      <c r="AI109" s="780"/>
      <c r="AJ109" s="780"/>
      <c r="AK109" s="780"/>
      <c r="AL109" s="780"/>
      <c r="AM109" s="780"/>
      <c r="AN109" s="780"/>
      <c r="AO109" s="780"/>
      <c r="AP109" s="780"/>
      <c r="AQ109" s="780"/>
      <c r="AR109" s="780"/>
      <c r="AS109" s="780"/>
    </row>
    <row r="110" spans="1:45" ht="16.5" thickTop="1" thickBot="1" x14ac:dyDescent="0.3">
      <c r="A110" s="217" t="s">
        <v>781</v>
      </c>
      <c r="B110" s="794">
        <v>200000000</v>
      </c>
      <c r="C110" s="794">
        <v>183021170</v>
      </c>
      <c r="D110" s="794">
        <v>53571468</v>
      </c>
      <c r="E110" s="794">
        <v>42010268</v>
      </c>
      <c r="F110" s="794"/>
      <c r="G110" s="794"/>
      <c r="H110" s="794"/>
      <c r="I110" s="794"/>
      <c r="J110" s="794"/>
      <c r="K110" s="794"/>
      <c r="L110" s="794"/>
      <c r="M110" s="794"/>
      <c r="N110" s="794"/>
      <c r="O110" s="794"/>
      <c r="P110" s="794"/>
      <c r="Q110" s="794"/>
      <c r="R110" s="796">
        <f t="shared" si="80"/>
        <v>200000000</v>
      </c>
      <c r="S110" s="796">
        <f t="shared" si="80"/>
        <v>183021170</v>
      </c>
      <c r="T110" s="796">
        <f t="shared" si="80"/>
        <v>53571468</v>
      </c>
      <c r="U110" s="463">
        <f t="shared" si="80"/>
        <v>42010268</v>
      </c>
      <c r="V110" s="436"/>
      <c r="W110" s="780"/>
      <c r="X110" s="780"/>
      <c r="Y110" s="780"/>
      <c r="Z110" s="780"/>
      <c r="AA110" s="780"/>
      <c r="AB110" s="780"/>
      <c r="AC110" s="780"/>
      <c r="AD110" s="780"/>
      <c r="AE110" s="780"/>
      <c r="AF110" s="780"/>
      <c r="AG110" s="780"/>
      <c r="AH110" s="780"/>
      <c r="AI110" s="780"/>
      <c r="AJ110" s="780"/>
      <c r="AK110" s="780"/>
      <c r="AL110" s="780"/>
      <c r="AM110" s="780"/>
      <c r="AN110" s="780"/>
      <c r="AO110" s="780"/>
      <c r="AP110" s="780"/>
      <c r="AQ110" s="780"/>
      <c r="AR110" s="780"/>
      <c r="AS110" s="780"/>
    </row>
    <row r="111" spans="1:45" ht="39.75" thickTop="1" thickBot="1" x14ac:dyDescent="0.3">
      <c r="A111" s="498" t="s">
        <v>303</v>
      </c>
      <c r="B111" s="794">
        <f>+B112</f>
        <v>1800000000</v>
      </c>
      <c r="C111" s="794">
        <f t="shared" ref="C111:Q111" si="81">+C112</f>
        <v>186121667</v>
      </c>
      <c r="D111" s="794">
        <f t="shared" si="81"/>
        <v>32125633</v>
      </c>
      <c r="E111" s="794">
        <f t="shared" si="81"/>
        <v>23631583</v>
      </c>
      <c r="F111" s="794">
        <f t="shared" si="81"/>
        <v>0</v>
      </c>
      <c r="G111" s="794">
        <f t="shared" si="81"/>
        <v>0</v>
      </c>
      <c r="H111" s="794">
        <f t="shared" si="81"/>
        <v>0</v>
      </c>
      <c r="I111" s="794">
        <f t="shared" si="81"/>
        <v>0</v>
      </c>
      <c r="J111" s="794">
        <f t="shared" si="81"/>
        <v>0</v>
      </c>
      <c r="K111" s="794">
        <f t="shared" si="81"/>
        <v>0</v>
      </c>
      <c r="L111" s="794">
        <f t="shared" si="81"/>
        <v>0</v>
      </c>
      <c r="M111" s="794">
        <f t="shared" si="81"/>
        <v>0</v>
      </c>
      <c r="N111" s="814">
        <f t="shared" si="81"/>
        <v>0</v>
      </c>
      <c r="O111" s="794">
        <f t="shared" si="81"/>
        <v>0</v>
      </c>
      <c r="P111" s="794">
        <f t="shared" si="81"/>
        <v>0</v>
      </c>
      <c r="Q111" s="794">
        <f t="shared" si="81"/>
        <v>0</v>
      </c>
      <c r="R111" s="796">
        <f>B111+F111+J111+N111</f>
        <v>1800000000</v>
      </c>
      <c r="S111" s="796">
        <f t="shared" ref="S111:U111" si="82">C111+G111+K111+O111</f>
        <v>186121667</v>
      </c>
      <c r="T111" s="796">
        <f t="shared" si="82"/>
        <v>32125633</v>
      </c>
      <c r="U111" s="796">
        <f t="shared" si="82"/>
        <v>23631583</v>
      </c>
      <c r="V111" s="436"/>
      <c r="W111" s="816">
        <f>R111+R119+R123</f>
        <v>14188425542</v>
      </c>
      <c r="X111" s="816">
        <f>S111+S119+S123</f>
        <v>186121667</v>
      </c>
      <c r="Y111" s="816">
        <f>T111+T119+T123</f>
        <v>32125633</v>
      </c>
      <c r="Z111" s="816">
        <f t="shared" ref="Z111:AA111" si="83">U111+U119+U123</f>
        <v>23631583</v>
      </c>
      <c r="AA111" s="816">
        <f t="shared" si="83"/>
        <v>0</v>
      </c>
      <c r="AB111" s="780"/>
      <c r="AC111" s="780"/>
      <c r="AD111" s="780"/>
      <c r="AE111" s="780"/>
      <c r="AF111" s="780"/>
      <c r="AG111" s="780"/>
      <c r="AH111" s="780"/>
      <c r="AI111" s="780"/>
      <c r="AJ111" s="780"/>
      <c r="AK111" s="780"/>
      <c r="AL111" s="780"/>
      <c r="AM111" s="780"/>
      <c r="AN111" s="780"/>
      <c r="AO111" s="780"/>
      <c r="AP111" s="780"/>
      <c r="AQ111" s="780"/>
      <c r="AR111" s="780"/>
      <c r="AS111" s="780"/>
    </row>
    <row r="112" spans="1:45" ht="16.5" thickTop="1" thickBot="1" x14ac:dyDescent="0.3">
      <c r="A112" s="499" t="s">
        <v>779</v>
      </c>
      <c r="B112" s="794">
        <f>+B113</f>
        <v>1800000000</v>
      </c>
      <c r="C112" s="814">
        <f t="shared" si="78"/>
        <v>186121667</v>
      </c>
      <c r="D112" s="794">
        <f t="shared" si="78"/>
        <v>32125633</v>
      </c>
      <c r="E112" s="794">
        <f>+E113</f>
        <v>23631583</v>
      </c>
      <c r="F112" s="814">
        <f t="shared" si="78"/>
        <v>0</v>
      </c>
      <c r="G112" s="814">
        <f t="shared" si="78"/>
        <v>0</v>
      </c>
      <c r="H112" s="814">
        <f t="shared" si="78"/>
        <v>0</v>
      </c>
      <c r="I112" s="814">
        <f t="shared" si="78"/>
        <v>0</v>
      </c>
      <c r="J112" s="814">
        <f t="shared" si="78"/>
        <v>0</v>
      </c>
      <c r="K112" s="814">
        <f t="shared" si="78"/>
        <v>0</v>
      </c>
      <c r="L112" s="814">
        <f t="shared" si="78"/>
        <v>0</v>
      </c>
      <c r="M112" s="814">
        <f t="shared" si="78"/>
        <v>0</v>
      </c>
      <c r="N112" s="814">
        <f t="shared" si="78"/>
        <v>0</v>
      </c>
      <c r="O112" s="814">
        <f t="shared" si="78"/>
        <v>0</v>
      </c>
      <c r="P112" s="814">
        <f t="shared" si="78"/>
        <v>0</v>
      </c>
      <c r="Q112" s="814">
        <f t="shared" si="78"/>
        <v>0</v>
      </c>
      <c r="R112" s="815">
        <f t="shared" ref="R112:V115" si="84">+B112+F112+J112+N112</f>
        <v>1800000000</v>
      </c>
      <c r="S112" s="815">
        <f t="shared" si="84"/>
        <v>186121667</v>
      </c>
      <c r="T112" s="815">
        <f t="shared" si="84"/>
        <v>32125633</v>
      </c>
      <c r="U112" s="494">
        <f t="shared" si="84"/>
        <v>23631583</v>
      </c>
      <c r="V112" s="436"/>
      <c r="W112" s="780"/>
      <c r="X112" s="780"/>
      <c r="Y112" s="780"/>
      <c r="Z112" s="780"/>
      <c r="AA112" s="780"/>
      <c r="AB112" s="780"/>
      <c r="AC112" s="780"/>
      <c r="AD112" s="780"/>
      <c r="AE112" s="780"/>
      <c r="AF112" s="780"/>
      <c r="AG112" s="780"/>
      <c r="AH112" s="780"/>
      <c r="AI112" s="780"/>
      <c r="AJ112" s="780"/>
      <c r="AK112" s="780"/>
      <c r="AL112" s="780"/>
      <c r="AM112" s="780"/>
      <c r="AN112" s="780"/>
      <c r="AO112" s="780"/>
      <c r="AP112" s="780"/>
      <c r="AQ112" s="780"/>
      <c r="AR112" s="780"/>
      <c r="AS112" s="780"/>
    </row>
    <row r="113" spans="1:45" ht="16.5" thickTop="1" thickBot="1" x14ac:dyDescent="0.3">
      <c r="A113" s="217" t="s">
        <v>780</v>
      </c>
      <c r="B113" s="794">
        <f>+B114</f>
        <v>1800000000</v>
      </c>
      <c r="C113" s="794">
        <f t="shared" si="78"/>
        <v>186121667</v>
      </c>
      <c r="D113" s="794">
        <f t="shared" si="78"/>
        <v>32125633</v>
      </c>
      <c r="E113" s="794">
        <f t="shared" si="78"/>
        <v>23631583</v>
      </c>
      <c r="F113" s="794">
        <f t="shared" si="78"/>
        <v>0</v>
      </c>
      <c r="G113" s="794">
        <f t="shared" si="78"/>
        <v>0</v>
      </c>
      <c r="H113" s="794">
        <f t="shared" si="78"/>
        <v>0</v>
      </c>
      <c r="I113" s="794">
        <f t="shared" si="78"/>
        <v>0</v>
      </c>
      <c r="J113" s="794">
        <f t="shared" si="78"/>
        <v>0</v>
      </c>
      <c r="K113" s="794">
        <f t="shared" si="78"/>
        <v>0</v>
      </c>
      <c r="L113" s="794">
        <f t="shared" si="78"/>
        <v>0</v>
      </c>
      <c r="M113" s="794">
        <f t="shared" si="78"/>
        <v>0</v>
      </c>
      <c r="N113" s="794">
        <v>0</v>
      </c>
      <c r="O113" s="794">
        <v>0</v>
      </c>
      <c r="P113" s="794">
        <v>0</v>
      </c>
      <c r="Q113" s="794">
        <v>0</v>
      </c>
      <c r="R113" s="796">
        <f t="shared" si="84"/>
        <v>1800000000</v>
      </c>
      <c r="S113" s="796">
        <f t="shared" si="84"/>
        <v>186121667</v>
      </c>
      <c r="T113" s="796">
        <f t="shared" si="84"/>
        <v>32125633</v>
      </c>
      <c r="U113" s="463">
        <f t="shared" si="84"/>
        <v>23631583</v>
      </c>
      <c r="V113" s="436"/>
      <c r="W113" s="780"/>
      <c r="X113" s="780"/>
      <c r="Y113" s="780"/>
      <c r="Z113" s="780"/>
      <c r="AA113" s="780"/>
      <c r="AB113" s="780"/>
      <c r="AC113" s="780"/>
      <c r="AD113" s="780"/>
      <c r="AE113" s="780"/>
      <c r="AF113" s="780"/>
      <c r="AG113" s="780"/>
      <c r="AH113" s="780"/>
      <c r="AI113" s="780"/>
      <c r="AJ113" s="780"/>
      <c r="AK113" s="780"/>
      <c r="AL113" s="780"/>
      <c r="AM113" s="780"/>
      <c r="AN113" s="780"/>
      <c r="AO113" s="780"/>
      <c r="AP113" s="780"/>
      <c r="AQ113" s="780"/>
      <c r="AR113" s="780"/>
      <c r="AS113" s="780"/>
    </row>
    <row r="114" spans="1:45" ht="16.5" thickTop="1" thickBot="1" x14ac:dyDescent="0.3">
      <c r="A114" s="217" t="s">
        <v>781</v>
      </c>
      <c r="B114" s="794">
        <v>1800000000</v>
      </c>
      <c r="C114" s="794">
        <v>186121667</v>
      </c>
      <c r="D114" s="794">
        <v>32125633</v>
      </c>
      <c r="E114" s="794">
        <v>23631583</v>
      </c>
      <c r="F114" s="794"/>
      <c r="G114" s="794"/>
      <c r="H114" s="794"/>
      <c r="I114" s="794"/>
      <c r="J114" s="794"/>
      <c r="K114" s="794"/>
      <c r="L114" s="794"/>
      <c r="M114" s="794"/>
      <c r="N114" s="794">
        <v>0</v>
      </c>
      <c r="O114" s="794">
        <v>0</v>
      </c>
      <c r="P114" s="794">
        <v>0</v>
      </c>
      <c r="Q114" s="794">
        <v>0</v>
      </c>
      <c r="R114" s="796">
        <f t="shared" si="84"/>
        <v>1800000000</v>
      </c>
      <c r="S114" s="796">
        <f t="shared" si="84"/>
        <v>186121667</v>
      </c>
      <c r="T114" s="796">
        <f t="shared" si="84"/>
        <v>32125633</v>
      </c>
      <c r="U114" s="463">
        <f t="shared" si="84"/>
        <v>23631583</v>
      </c>
      <c r="V114" s="436"/>
      <c r="W114" s="780"/>
      <c r="X114" s="780"/>
      <c r="Y114" s="780"/>
      <c r="Z114" s="780"/>
      <c r="AA114" s="780"/>
      <c r="AB114" s="780"/>
      <c r="AC114" s="780"/>
      <c r="AD114" s="780"/>
      <c r="AE114" s="780"/>
      <c r="AF114" s="780"/>
      <c r="AG114" s="780"/>
      <c r="AH114" s="780"/>
      <c r="AI114" s="780"/>
      <c r="AJ114" s="780"/>
      <c r="AK114" s="780"/>
      <c r="AL114" s="780"/>
      <c r="AM114" s="780"/>
      <c r="AN114" s="780"/>
      <c r="AO114" s="780"/>
      <c r="AP114" s="780"/>
      <c r="AQ114" s="780"/>
      <c r="AR114" s="780"/>
      <c r="AS114" s="780"/>
    </row>
    <row r="115" spans="1:45" ht="27" thickTop="1" thickBot="1" x14ac:dyDescent="0.3">
      <c r="A115" s="498" t="s">
        <v>331</v>
      </c>
      <c r="B115" s="794">
        <f>+B116</f>
        <v>1400000000</v>
      </c>
      <c r="C115" s="794">
        <f t="shared" ref="C115:Q121" si="85">+C116</f>
        <v>1372870300</v>
      </c>
      <c r="D115" s="794">
        <f t="shared" si="85"/>
        <v>16596999</v>
      </c>
      <c r="E115" s="794">
        <f t="shared" si="85"/>
        <v>15634149</v>
      </c>
      <c r="F115" s="794">
        <f t="shared" si="85"/>
        <v>0</v>
      </c>
      <c r="G115" s="794">
        <f t="shared" si="85"/>
        <v>0</v>
      </c>
      <c r="H115" s="794">
        <f t="shared" si="85"/>
        <v>0</v>
      </c>
      <c r="I115" s="794">
        <f t="shared" si="85"/>
        <v>0</v>
      </c>
      <c r="J115" s="794">
        <f t="shared" si="85"/>
        <v>0</v>
      </c>
      <c r="K115" s="794">
        <f t="shared" si="85"/>
        <v>0</v>
      </c>
      <c r="L115" s="794">
        <f t="shared" si="85"/>
        <v>0</v>
      </c>
      <c r="M115" s="794">
        <f t="shared" si="85"/>
        <v>0</v>
      </c>
      <c r="N115" s="794">
        <f t="shared" si="85"/>
        <v>0</v>
      </c>
      <c r="O115" s="794">
        <f t="shared" si="85"/>
        <v>0</v>
      </c>
      <c r="P115" s="794">
        <f t="shared" si="85"/>
        <v>0</v>
      </c>
      <c r="Q115" s="794">
        <f t="shared" si="85"/>
        <v>0</v>
      </c>
      <c r="R115" s="796">
        <f t="shared" si="70"/>
        <v>1400000000</v>
      </c>
      <c r="S115" s="796">
        <f t="shared" si="84"/>
        <v>1372870300</v>
      </c>
      <c r="T115" s="796">
        <f t="shared" si="84"/>
        <v>16596999</v>
      </c>
      <c r="U115" s="796">
        <f t="shared" si="84"/>
        <v>15634149</v>
      </c>
      <c r="V115" s="796">
        <f t="shared" si="84"/>
        <v>1400000000</v>
      </c>
      <c r="W115" s="780"/>
      <c r="X115" s="780"/>
      <c r="Y115" s="780"/>
      <c r="Z115" s="780"/>
      <c r="AA115" s="780"/>
      <c r="AB115" s="780"/>
      <c r="AC115" s="780"/>
      <c r="AD115" s="780"/>
      <c r="AE115" s="780"/>
      <c r="AF115" s="780"/>
      <c r="AG115" s="780"/>
      <c r="AH115" s="780"/>
      <c r="AI115" s="780"/>
      <c r="AJ115" s="780"/>
      <c r="AK115" s="780"/>
      <c r="AL115" s="780"/>
      <c r="AM115" s="780"/>
      <c r="AN115" s="780"/>
      <c r="AO115" s="780"/>
      <c r="AP115" s="780"/>
      <c r="AQ115" s="780"/>
      <c r="AR115" s="780"/>
      <c r="AS115" s="780"/>
    </row>
    <row r="116" spans="1:45" ht="16.5" thickTop="1" thickBot="1" x14ac:dyDescent="0.3">
      <c r="A116" s="499" t="s">
        <v>779</v>
      </c>
      <c r="B116" s="794">
        <f>+B117</f>
        <v>1400000000</v>
      </c>
      <c r="C116" s="794">
        <f t="shared" si="85"/>
        <v>1372870300</v>
      </c>
      <c r="D116" s="794">
        <f t="shared" si="85"/>
        <v>16596999</v>
      </c>
      <c r="E116" s="794">
        <f t="shared" si="85"/>
        <v>15634149</v>
      </c>
      <c r="F116" s="814">
        <f t="shared" si="85"/>
        <v>0</v>
      </c>
      <c r="G116" s="814">
        <f t="shared" si="85"/>
        <v>0</v>
      </c>
      <c r="H116" s="814">
        <f t="shared" si="85"/>
        <v>0</v>
      </c>
      <c r="I116" s="814">
        <f t="shared" si="85"/>
        <v>0</v>
      </c>
      <c r="J116" s="814">
        <f t="shared" si="85"/>
        <v>0</v>
      </c>
      <c r="K116" s="814">
        <f t="shared" si="85"/>
        <v>0</v>
      </c>
      <c r="L116" s="814">
        <f t="shared" si="85"/>
        <v>0</v>
      </c>
      <c r="M116" s="814">
        <f t="shared" si="85"/>
        <v>0</v>
      </c>
      <c r="N116" s="814">
        <f t="shared" si="85"/>
        <v>0</v>
      </c>
      <c r="O116" s="814">
        <f t="shared" si="85"/>
        <v>0</v>
      </c>
      <c r="P116" s="814">
        <f t="shared" si="85"/>
        <v>0</v>
      </c>
      <c r="Q116" s="814">
        <f t="shared" si="85"/>
        <v>0</v>
      </c>
      <c r="R116" s="815">
        <f t="shared" si="70"/>
        <v>1400000000</v>
      </c>
      <c r="S116" s="815">
        <f t="shared" si="70"/>
        <v>1372870300</v>
      </c>
      <c r="T116" s="815">
        <f t="shared" si="70"/>
        <v>16596999</v>
      </c>
      <c r="U116" s="494">
        <f t="shared" si="70"/>
        <v>15634149</v>
      </c>
      <c r="V116" s="436"/>
      <c r="W116" s="786">
        <f>R116</f>
        <v>1400000000</v>
      </c>
      <c r="X116" s="780"/>
      <c r="Y116" s="780"/>
      <c r="Z116" s="780"/>
      <c r="AA116" s="780"/>
      <c r="AB116" s="780"/>
      <c r="AC116" s="780"/>
      <c r="AD116" s="780"/>
      <c r="AE116" s="780"/>
      <c r="AF116" s="780"/>
      <c r="AG116" s="780"/>
      <c r="AH116" s="780"/>
      <c r="AI116" s="780"/>
      <c r="AJ116" s="780"/>
      <c r="AK116" s="780"/>
      <c r="AL116" s="780"/>
      <c r="AM116" s="780"/>
      <c r="AN116" s="780"/>
      <c r="AO116" s="780"/>
      <c r="AP116" s="780"/>
      <c r="AQ116" s="780"/>
      <c r="AR116" s="780"/>
      <c r="AS116" s="780"/>
    </row>
    <row r="117" spans="1:45" ht="16.5" thickTop="1" thickBot="1" x14ac:dyDescent="0.3">
      <c r="A117" s="217" t="s">
        <v>780</v>
      </c>
      <c r="B117" s="794">
        <f>+B118</f>
        <v>1400000000</v>
      </c>
      <c r="C117" s="794">
        <f t="shared" si="85"/>
        <v>1372870300</v>
      </c>
      <c r="D117" s="794">
        <f t="shared" si="85"/>
        <v>16596999</v>
      </c>
      <c r="E117" s="794">
        <f t="shared" si="85"/>
        <v>15634149</v>
      </c>
      <c r="F117" s="794">
        <f t="shared" si="85"/>
        <v>0</v>
      </c>
      <c r="G117" s="794">
        <f t="shared" si="85"/>
        <v>0</v>
      </c>
      <c r="H117" s="794">
        <f t="shared" si="85"/>
        <v>0</v>
      </c>
      <c r="I117" s="794">
        <f t="shared" si="85"/>
        <v>0</v>
      </c>
      <c r="J117" s="794">
        <f t="shared" si="85"/>
        <v>0</v>
      </c>
      <c r="K117" s="794">
        <f t="shared" si="85"/>
        <v>0</v>
      </c>
      <c r="L117" s="794">
        <f t="shared" si="85"/>
        <v>0</v>
      </c>
      <c r="M117" s="794">
        <f t="shared" si="85"/>
        <v>0</v>
      </c>
      <c r="N117" s="794">
        <f t="shared" si="85"/>
        <v>0</v>
      </c>
      <c r="O117" s="794">
        <f t="shared" si="85"/>
        <v>0</v>
      </c>
      <c r="P117" s="794">
        <f t="shared" si="85"/>
        <v>0</v>
      </c>
      <c r="Q117" s="794">
        <f t="shared" si="85"/>
        <v>0</v>
      </c>
      <c r="R117" s="796">
        <f t="shared" si="70"/>
        <v>1400000000</v>
      </c>
      <c r="S117" s="796">
        <f t="shared" si="70"/>
        <v>1372870300</v>
      </c>
      <c r="T117" s="796">
        <f t="shared" si="70"/>
        <v>16596999</v>
      </c>
      <c r="U117" s="463">
        <f t="shared" si="70"/>
        <v>15634149</v>
      </c>
      <c r="V117" s="436"/>
      <c r="W117" s="780"/>
      <c r="X117" s="780"/>
      <c r="Y117" s="780"/>
      <c r="Z117" s="780"/>
      <c r="AA117" s="780"/>
      <c r="AB117" s="780"/>
      <c r="AC117" s="780"/>
      <c r="AD117" s="780"/>
      <c r="AE117" s="780"/>
      <c r="AF117" s="780"/>
      <c r="AG117" s="780"/>
      <c r="AH117" s="780"/>
      <c r="AI117" s="780"/>
      <c r="AJ117" s="780"/>
      <c r="AK117" s="780"/>
      <c r="AL117" s="780"/>
      <c r="AM117" s="780"/>
      <c r="AN117" s="780"/>
      <c r="AO117" s="780"/>
      <c r="AP117" s="780"/>
      <c r="AQ117" s="780"/>
      <c r="AR117" s="780"/>
      <c r="AS117" s="780"/>
    </row>
    <row r="118" spans="1:45" ht="16.5" thickTop="1" thickBot="1" x14ac:dyDescent="0.3">
      <c r="A118" s="217" t="s">
        <v>781</v>
      </c>
      <c r="B118" s="794">
        <v>1400000000</v>
      </c>
      <c r="C118" s="794">
        <v>1372870300</v>
      </c>
      <c r="D118" s="794">
        <v>16596999</v>
      </c>
      <c r="E118" s="794">
        <v>15634149</v>
      </c>
      <c r="F118" s="794"/>
      <c r="G118" s="794"/>
      <c r="H118" s="794"/>
      <c r="I118" s="794"/>
      <c r="J118" s="794"/>
      <c r="K118" s="794"/>
      <c r="L118" s="794"/>
      <c r="M118" s="794"/>
      <c r="N118" s="794"/>
      <c r="O118" s="794"/>
      <c r="P118" s="794"/>
      <c r="Q118" s="794"/>
      <c r="R118" s="796">
        <f t="shared" si="70"/>
        <v>1400000000</v>
      </c>
      <c r="S118" s="796">
        <f t="shared" si="70"/>
        <v>1372870300</v>
      </c>
      <c r="T118" s="796">
        <f t="shared" si="70"/>
        <v>16596999</v>
      </c>
      <c r="U118" s="463">
        <f t="shared" si="70"/>
        <v>15634149</v>
      </c>
      <c r="V118" s="436"/>
      <c r="W118" s="780"/>
      <c r="X118" s="780"/>
      <c r="Y118" s="780"/>
      <c r="Z118" s="780"/>
      <c r="AA118" s="780"/>
      <c r="AB118" s="780"/>
      <c r="AC118" s="780"/>
      <c r="AD118" s="780"/>
      <c r="AE118" s="780"/>
      <c r="AF118" s="780"/>
      <c r="AG118" s="780"/>
      <c r="AH118" s="780"/>
      <c r="AI118" s="780"/>
      <c r="AJ118" s="780"/>
      <c r="AK118" s="780"/>
      <c r="AL118" s="780"/>
      <c r="AM118" s="780"/>
      <c r="AN118" s="780"/>
      <c r="AO118" s="780"/>
      <c r="AP118" s="780"/>
      <c r="AQ118" s="780"/>
      <c r="AR118" s="780"/>
      <c r="AS118" s="780"/>
    </row>
    <row r="119" spans="1:45" ht="39.75" thickTop="1" thickBot="1" x14ac:dyDescent="0.3">
      <c r="A119" s="498" t="s">
        <v>1722</v>
      </c>
      <c r="B119" s="794">
        <f>+B120</f>
        <v>0</v>
      </c>
      <c r="C119" s="794">
        <f t="shared" ref="C119:E119" si="86">+C120</f>
        <v>0</v>
      </c>
      <c r="D119" s="794">
        <f t="shared" si="86"/>
        <v>0</v>
      </c>
      <c r="E119" s="794">
        <f t="shared" si="86"/>
        <v>0</v>
      </c>
      <c r="F119" s="794"/>
      <c r="G119" s="794"/>
      <c r="H119" s="794"/>
      <c r="I119" s="794"/>
      <c r="J119" s="794">
        <f t="shared" si="85"/>
        <v>0</v>
      </c>
      <c r="K119" s="794">
        <f t="shared" si="85"/>
        <v>0</v>
      </c>
      <c r="L119" s="794">
        <f t="shared" si="85"/>
        <v>0</v>
      </c>
      <c r="M119" s="794">
        <f t="shared" si="85"/>
        <v>0</v>
      </c>
      <c r="N119" s="794">
        <f t="shared" si="85"/>
        <v>10997108327</v>
      </c>
      <c r="O119" s="794">
        <f t="shared" si="85"/>
        <v>0</v>
      </c>
      <c r="P119" s="794">
        <f t="shared" si="85"/>
        <v>0</v>
      </c>
      <c r="Q119" s="794">
        <f t="shared" si="85"/>
        <v>0</v>
      </c>
      <c r="R119" s="826">
        <f>B119+F119+J119+N119</f>
        <v>10997108327</v>
      </c>
      <c r="S119" s="826">
        <f t="shared" ref="S119:U119" si="87">C119+G119+K119+O119</f>
        <v>0</v>
      </c>
      <c r="T119" s="826">
        <f t="shared" si="87"/>
        <v>0</v>
      </c>
      <c r="U119" s="826">
        <f t="shared" si="87"/>
        <v>0</v>
      </c>
      <c r="V119" s="436"/>
      <c r="W119" s="780"/>
      <c r="X119" s="780"/>
      <c r="Y119" s="780"/>
      <c r="Z119" s="780"/>
      <c r="AA119" s="780"/>
      <c r="AB119" s="780"/>
      <c r="AC119" s="780"/>
      <c r="AD119" s="780"/>
      <c r="AE119" s="780"/>
      <c r="AF119" s="780"/>
      <c r="AG119" s="780"/>
      <c r="AH119" s="780"/>
      <c r="AI119" s="780"/>
      <c r="AJ119" s="780"/>
      <c r="AK119" s="780"/>
      <c r="AL119" s="780"/>
      <c r="AM119" s="780"/>
      <c r="AN119" s="780"/>
      <c r="AO119" s="780"/>
      <c r="AP119" s="780"/>
      <c r="AQ119" s="780"/>
      <c r="AR119" s="780"/>
      <c r="AS119" s="780"/>
    </row>
    <row r="120" spans="1:45" ht="16.5" thickTop="1" thickBot="1" x14ac:dyDescent="0.3">
      <c r="A120" s="499" t="s">
        <v>779</v>
      </c>
      <c r="B120" s="794">
        <f>+B121</f>
        <v>0</v>
      </c>
      <c r="C120" s="814">
        <f t="shared" si="85"/>
        <v>0</v>
      </c>
      <c r="D120" s="794">
        <f t="shared" si="85"/>
        <v>0</v>
      </c>
      <c r="E120" s="794">
        <f t="shared" si="85"/>
        <v>0</v>
      </c>
      <c r="F120" s="814"/>
      <c r="G120" s="794"/>
      <c r="H120" s="794"/>
      <c r="I120" s="794"/>
      <c r="J120" s="814">
        <f t="shared" si="85"/>
        <v>0</v>
      </c>
      <c r="K120" s="814">
        <f t="shared" si="85"/>
        <v>0</v>
      </c>
      <c r="L120" s="814">
        <f t="shared" si="85"/>
        <v>0</v>
      </c>
      <c r="M120" s="814">
        <f t="shared" si="85"/>
        <v>0</v>
      </c>
      <c r="N120" s="814">
        <f t="shared" si="85"/>
        <v>10997108327</v>
      </c>
      <c r="O120" s="814">
        <f t="shared" si="85"/>
        <v>0</v>
      </c>
      <c r="P120" s="814">
        <f t="shared" si="85"/>
        <v>0</v>
      </c>
      <c r="Q120" s="814">
        <f t="shared" si="85"/>
        <v>0</v>
      </c>
      <c r="R120" s="815"/>
      <c r="S120" s="815"/>
      <c r="T120" s="815"/>
      <c r="U120" s="494"/>
      <c r="V120" s="436"/>
      <c r="W120" s="780"/>
      <c r="X120" s="780"/>
      <c r="Y120" s="780"/>
      <c r="Z120" s="780"/>
      <c r="AA120" s="780"/>
      <c r="AB120" s="780"/>
      <c r="AC120" s="780"/>
      <c r="AD120" s="780"/>
      <c r="AE120" s="780"/>
      <c r="AF120" s="780"/>
      <c r="AG120" s="780"/>
      <c r="AH120" s="780"/>
      <c r="AI120" s="780"/>
      <c r="AJ120" s="780"/>
      <c r="AK120" s="780"/>
      <c r="AL120" s="780"/>
      <c r="AM120" s="780"/>
      <c r="AN120" s="780"/>
      <c r="AO120" s="780"/>
      <c r="AP120" s="780"/>
      <c r="AQ120" s="780"/>
      <c r="AR120" s="780"/>
      <c r="AS120" s="780"/>
    </row>
    <row r="121" spans="1:45" ht="16.5" thickTop="1" thickBot="1" x14ac:dyDescent="0.3">
      <c r="A121" s="217" t="s">
        <v>780</v>
      </c>
      <c r="B121" s="794">
        <f>+B122</f>
        <v>0</v>
      </c>
      <c r="C121" s="794">
        <f t="shared" si="85"/>
        <v>0</v>
      </c>
      <c r="D121" s="794">
        <f t="shared" si="85"/>
        <v>0</v>
      </c>
      <c r="E121" s="794">
        <f t="shared" si="85"/>
        <v>0</v>
      </c>
      <c r="F121" s="794"/>
      <c r="G121" s="794"/>
      <c r="H121" s="794"/>
      <c r="I121" s="794"/>
      <c r="J121" s="794">
        <f t="shared" si="85"/>
        <v>0</v>
      </c>
      <c r="K121" s="794">
        <f t="shared" si="85"/>
        <v>0</v>
      </c>
      <c r="L121" s="794">
        <f t="shared" si="85"/>
        <v>0</v>
      </c>
      <c r="M121" s="794">
        <f t="shared" si="85"/>
        <v>0</v>
      </c>
      <c r="N121" s="794">
        <f t="shared" si="85"/>
        <v>10997108327</v>
      </c>
      <c r="O121" s="794">
        <f t="shared" si="85"/>
        <v>0</v>
      </c>
      <c r="P121" s="794">
        <f t="shared" si="85"/>
        <v>0</v>
      </c>
      <c r="Q121" s="794">
        <f t="shared" si="85"/>
        <v>0</v>
      </c>
      <c r="R121" s="796"/>
      <c r="S121" s="796"/>
      <c r="T121" s="796"/>
      <c r="U121" s="463"/>
      <c r="V121" s="436"/>
      <c r="W121" s="780"/>
      <c r="X121" s="780"/>
      <c r="Y121" s="780"/>
      <c r="Z121" s="780"/>
      <c r="AA121" s="780"/>
      <c r="AB121" s="780"/>
      <c r="AC121" s="780"/>
      <c r="AD121" s="780"/>
      <c r="AE121" s="780"/>
      <c r="AF121" s="780"/>
      <c r="AG121" s="780"/>
      <c r="AH121" s="780"/>
      <c r="AI121" s="780"/>
      <c r="AJ121" s="780"/>
      <c r="AK121" s="780"/>
      <c r="AL121" s="780"/>
      <c r="AM121" s="780"/>
      <c r="AN121" s="780"/>
      <c r="AO121" s="780"/>
      <c r="AP121" s="780"/>
      <c r="AQ121" s="780"/>
      <c r="AR121" s="780"/>
      <c r="AS121" s="780"/>
    </row>
    <row r="122" spans="1:45" ht="16.5" thickTop="1" thickBot="1" x14ac:dyDescent="0.3">
      <c r="A122" s="217" t="s">
        <v>781</v>
      </c>
      <c r="B122" s="794"/>
      <c r="C122" s="794"/>
      <c r="D122" s="794"/>
      <c r="E122" s="794"/>
      <c r="F122" s="780"/>
      <c r="G122" s="780"/>
      <c r="H122" s="780"/>
      <c r="I122" s="780"/>
      <c r="J122" s="794">
        <v>0</v>
      </c>
      <c r="K122" s="794"/>
      <c r="L122" s="794"/>
      <c r="M122" s="794"/>
      <c r="N122" s="794">
        <v>10997108327</v>
      </c>
      <c r="O122" s="794">
        <v>0</v>
      </c>
      <c r="P122" s="794">
        <v>0</v>
      </c>
      <c r="Q122" s="794">
        <v>0</v>
      </c>
      <c r="R122" s="796"/>
      <c r="S122" s="796"/>
      <c r="T122" s="796"/>
      <c r="U122" s="463"/>
      <c r="V122" s="436"/>
      <c r="W122" s="780"/>
      <c r="X122" s="780"/>
      <c r="Y122" s="780"/>
      <c r="Z122" s="780"/>
      <c r="AA122" s="780"/>
      <c r="AB122" s="780"/>
      <c r="AC122" s="780"/>
      <c r="AD122" s="780"/>
      <c r="AE122" s="780"/>
      <c r="AF122" s="780"/>
      <c r="AG122" s="780"/>
      <c r="AH122" s="780"/>
      <c r="AI122" s="780"/>
      <c r="AJ122" s="780"/>
      <c r="AK122" s="780"/>
      <c r="AL122" s="780"/>
      <c r="AM122" s="780"/>
      <c r="AN122" s="780"/>
      <c r="AO122" s="780"/>
      <c r="AP122" s="780"/>
      <c r="AQ122" s="780"/>
      <c r="AR122" s="780"/>
      <c r="AS122" s="780"/>
    </row>
    <row r="123" spans="1:45" ht="39.75" thickTop="1" thickBot="1" x14ac:dyDescent="0.3">
      <c r="A123" s="498" t="s">
        <v>1723</v>
      </c>
      <c r="B123" s="794"/>
      <c r="C123" s="794"/>
      <c r="D123" s="794"/>
      <c r="E123" s="794"/>
      <c r="F123" s="780"/>
      <c r="G123" s="780"/>
      <c r="H123" s="780"/>
      <c r="I123" s="780"/>
      <c r="J123" s="794"/>
      <c r="K123" s="794"/>
      <c r="L123" s="794"/>
      <c r="M123" s="794"/>
      <c r="N123" s="794">
        <f>+N124</f>
        <v>1391317215</v>
      </c>
      <c r="O123" s="794">
        <f t="shared" ref="O123:Q125" si="88">+O124</f>
        <v>0</v>
      </c>
      <c r="P123" s="794">
        <f t="shared" si="88"/>
        <v>0</v>
      </c>
      <c r="Q123" s="794">
        <f t="shared" si="88"/>
        <v>0</v>
      </c>
      <c r="R123" s="826">
        <f>B123+F123+J123+N123</f>
        <v>1391317215</v>
      </c>
      <c r="S123" s="826">
        <f t="shared" ref="S123:U130" si="89">C123+G123+K123+O123</f>
        <v>0</v>
      </c>
      <c r="T123" s="826">
        <f t="shared" si="89"/>
        <v>0</v>
      </c>
      <c r="U123" s="826">
        <f t="shared" si="89"/>
        <v>0</v>
      </c>
      <c r="V123" s="436"/>
      <c r="W123" s="780"/>
      <c r="X123" s="780"/>
      <c r="Y123" s="780"/>
      <c r="Z123" s="780"/>
      <c r="AA123" s="780"/>
      <c r="AB123" s="780"/>
      <c r="AC123" s="780"/>
      <c r="AD123" s="780"/>
      <c r="AE123" s="780"/>
      <c r="AF123" s="780"/>
      <c r="AG123" s="780"/>
      <c r="AH123" s="780"/>
      <c r="AI123" s="780"/>
      <c r="AJ123" s="780"/>
      <c r="AK123" s="780"/>
      <c r="AL123" s="780"/>
      <c r="AM123" s="780"/>
      <c r="AN123" s="780"/>
      <c r="AO123" s="780"/>
      <c r="AP123" s="780"/>
      <c r="AQ123" s="780"/>
      <c r="AR123" s="780"/>
      <c r="AS123" s="780"/>
    </row>
    <row r="124" spans="1:45" ht="16.5" thickTop="1" thickBot="1" x14ac:dyDescent="0.3">
      <c r="A124" s="499" t="s">
        <v>779</v>
      </c>
      <c r="B124" s="794"/>
      <c r="C124" s="794"/>
      <c r="D124" s="794"/>
      <c r="E124" s="794"/>
      <c r="F124" s="780"/>
      <c r="G124" s="780"/>
      <c r="H124" s="780"/>
      <c r="I124" s="780"/>
      <c r="J124" s="794"/>
      <c r="K124" s="794"/>
      <c r="L124" s="794"/>
      <c r="M124" s="794"/>
      <c r="N124" s="794">
        <f>+N125</f>
        <v>1391317215</v>
      </c>
      <c r="O124" s="794">
        <f t="shared" si="88"/>
        <v>0</v>
      </c>
      <c r="P124" s="794">
        <f t="shared" si="88"/>
        <v>0</v>
      </c>
      <c r="Q124" s="794">
        <f t="shared" si="88"/>
        <v>0</v>
      </c>
      <c r="R124" s="826">
        <f t="shared" ref="R124:R126" si="90">B124+F124+J124+N124</f>
        <v>1391317215</v>
      </c>
      <c r="S124" s="826">
        <f t="shared" si="89"/>
        <v>0</v>
      </c>
      <c r="T124" s="826">
        <f t="shared" si="89"/>
        <v>0</v>
      </c>
      <c r="U124" s="826">
        <f t="shared" si="89"/>
        <v>0</v>
      </c>
      <c r="V124" s="436"/>
      <c r="W124" s="780"/>
      <c r="X124" s="780"/>
      <c r="Y124" s="780"/>
      <c r="Z124" s="780"/>
      <c r="AA124" s="780"/>
      <c r="AB124" s="780"/>
      <c r="AC124" s="780"/>
      <c r="AD124" s="780"/>
      <c r="AE124" s="780"/>
      <c r="AF124" s="780"/>
      <c r="AG124" s="780"/>
      <c r="AH124" s="780"/>
      <c r="AI124" s="780"/>
      <c r="AJ124" s="780"/>
      <c r="AK124" s="780"/>
      <c r="AL124" s="780"/>
      <c r="AM124" s="780"/>
      <c r="AN124" s="780"/>
      <c r="AO124" s="780"/>
      <c r="AP124" s="780"/>
      <c r="AQ124" s="780"/>
      <c r="AR124" s="780"/>
      <c r="AS124" s="780"/>
    </row>
    <row r="125" spans="1:45" ht="16.5" thickTop="1" thickBot="1" x14ac:dyDescent="0.3">
      <c r="A125" s="217" t="s">
        <v>780</v>
      </c>
      <c r="B125" s="794"/>
      <c r="C125" s="794"/>
      <c r="D125" s="794"/>
      <c r="E125" s="794"/>
      <c r="F125" s="780"/>
      <c r="G125" s="780"/>
      <c r="H125" s="780"/>
      <c r="I125" s="780"/>
      <c r="J125" s="794"/>
      <c r="K125" s="794"/>
      <c r="L125" s="794"/>
      <c r="M125" s="794"/>
      <c r="N125" s="794">
        <f>+N126</f>
        <v>1391317215</v>
      </c>
      <c r="O125" s="794">
        <f t="shared" si="88"/>
        <v>0</v>
      </c>
      <c r="P125" s="794">
        <f t="shared" si="88"/>
        <v>0</v>
      </c>
      <c r="Q125" s="794">
        <f t="shared" si="88"/>
        <v>0</v>
      </c>
      <c r="R125" s="826">
        <f t="shared" si="90"/>
        <v>1391317215</v>
      </c>
      <c r="S125" s="826">
        <f t="shared" si="89"/>
        <v>0</v>
      </c>
      <c r="T125" s="826">
        <f t="shared" si="89"/>
        <v>0</v>
      </c>
      <c r="U125" s="826">
        <f t="shared" si="89"/>
        <v>0</v>
      </c>
      <c r="V125" s="436"/>
      <c r="W125" s="780"/>
      <c r="X125" s="780"/>
      <c r="Y125" s="780"/>
      <c r="Z125" s="780"/>
      <c r="AA125" s="780"/>
      <c r="AB125" s="780"/>
      <c r="AC125" s="780"/>
      <c r="AD125" s="780"/>
      <c r="AE125" s="780"/>
      <c r="AF125" s="780"/>
      <c r="AG125" s="780"/>
      <c r="AH125" s="780"/>
      <c r="AI125" s="780"/>
      <c r="AJ125" s="780"/>
      <c r="AK125" s="780"/>
      <c r="AL125" s="780"/>
      <c r="AM125" s="780"/>
      <c r="AN125" s="780"/>
      <c r="AO125" s="780"/>
      <c r="AP125" s="780"/>
      <c r="AQ125" s="780"/>
      <c r="AR125" s="780"/>
      <c r="AS125" s="780"/>
    </row>
    <row r="126" spans="1:45" ht="16.5" thickTop="1" thickBot="1" x14ac:dyDescent="0.3">
      <c r="A126" s="217" t="s">
        <v>781</v>
      </c>
      <c r="B126" s="794"/>
      <c r="C126" s="794"/>
      <c r="D126" s="794"/>
      <c r="E126" s="794"/>
      <c r="F126" s="780"/>
      <c r="G126" s="780"/>
      <c r="H126" s="780"/>
      <c r="I126" s="780"/>
      <c r="J126" s="794"/>
      <c r="K126" s="794"/>
      <c r="L126" s="794"/>
      <c r="M126" s="794"/>
      <c r="N126" s="794">
        <v>1391317215</v>
      </c>
      <c r="O126" s="794">
        <v>0</v>
      </c>
      <c r="P126" s="794">
        <v>0</v>
      </c>
      <c r="Q126" s="794">
        <v>0</v>
      </c>
      <c r="R126" s="826">
        <f t="shared" si="90"/>
        <v>1391317215</v>
      </c>
      <c r="S126" s="826">
        <f t="shared" si="89"/>
        <v>0</v>
      </c>
      <c r="T126" s="826">
        <f t="shared" si="89"/>
        <v>0</v>
      </c>
      <c r="U126" s="826">
        <f t="shared" si="89"/>
        <v>0</v>
      </c>
      <c r="V126" s="436"/>
      <c r="W126" s="780"/>
      <c r="X126" s="780"/>
      <c r="Y126" s="780"/>
      <c r="Z126" s="780"/>
      <c r="AA126" s="780"/>
      <c r="AB126" s="780"/>
      <c r="AC126" s="780"/>
      <c r="AD126" s="780"/>
      <c r="AE126" s="780"/>
      <c r="AF126" s="780"/>
      <c r="AG126" s="780"/>
      <c r="AH126" s="780"/>
      <c r="AI126" s="780"/>
      <c r="AJ126" s="780"/>
      <c r="AK126" s="780"/>
      <c r="AL126" s="780"/>
      <c r="AM126" s="780"/>
      <c r="AN126" s="780"/>
      <c r="AO126" s="780"/>
      <c r="AP126" s="780"/>
      <c r="AQ126" s="780"/>
      <c r="AR126" s="780"/>
      <c r="AS126" s="780"/>
    </row>
    <row r="127" spans="1:45" ht="39.75" thickTop="1" thickBot="1" x14ac:dyDescent="0.3">
      <c r="A127" s="498" t="s">
        <v>1724</v>
      </c>
      <c r="B127" s="794"/>
      <c r="C127" s="794"/>
      <c r="D127" s="794"/>
      <c r="E127" s="794"/>
      <c r="F127" s="780"/>
      <c r="G127" s="780"/>
      <c r="H127" s="780"/>
      <c r="I127" s="780"/>
      <c r="J127" s="794"/>
      <c r="K127" s="794"/>
      <c r="L127" s="794"/>
      <c r="M127" s="794"/>
      <c r="N127" s="794">
        <f>+N128</f>
        <v>128834170</v>
      </c>
      <c r="O127" s="794">
        <f t="shared" ref="O127:Q129" si="91">+O128</f>
        <v>127189242</v>
      </c>
      <c r="P127" s="794">
        <f t="shared" si="91"/>
        <v>121067627</v>
      </c>
      <c r="Q127" s="794">
        <f t="shared" si="91"/>
        <v>121067627</v>
      </c>
      <c r="R127" s="826">
        <f>B127+F127+J127+N127</f>
        <v>128834170</v>
      </c>
      <c r="S127" s="826">
        <f t="shared" si="89"/>
        <v>127189242</v>
      </c>
      <c r="T127" s="826">
        <f t="shared" si="89"/>
        <v>121067627</v>
      </c>
      <c r="U127" s="826">
        <f t="shared" si="89"/>
        <v>121067627</v>
      </c>
      <c r="V127" s="436"/>
      <c r="W127" s="780"/>
      <c r="X127" s="780"/>
      <c r="Y127" s="780"/>
      <c r="Z127" s="780"/>
      <c r="AA127" s="780"/>
      <c r="AB127" s="780"/>
      <c r="AC127" s="780"/>
      <c r="AD127" s="780"/>
      <c r="AE127" s="780"/>
      <c r="AF127" s="780"/>
      <c r="AG127" s="780"/>
      <c r="AH127" s="780"/>
      <c r="AI127" s="780"/>
      <c r="AJ127" s="780"/>
      <c r="AK127" s="780"/>
      <c r="AL127" s="780"/>
      <c r="AM127" s="780"/>
      <c r="AN127" s="780"/>
      <c r="AO127" s="780"/>
      <c r="AP127" s="780"/>
      <c r="AQ127" s="780"/>
      <c r="AR127" s="780"/>
      <c r="AS127" s="780"/>
    </row>
    <row r="128" spans="1:45" ht="16.5" thickTop="1" thickBot="1" x14ac:dyDescent="0.3">
      <c r="A128" s="499" t="s">
        <v>779</v>
      </c>
      <c r="B128" s="794"/>
      <c r="C128" s="794"/>
      <c r="D128" s="794"/>
      <c r="E128" s="794"/>
      <c r="F128" s="780"/>
      <c r="G128" s="780"/>
      <c r="H128" s="780"/>
      <c r="I128" s="780"/>
      <c r="J128" s="794"/>
      <c r="K128" s="794"/>
      <c r="L128" s="794"/>
      <c r="M128" s="794"/>
      <c r="N128" s="794">
        <f>+N129</f>
        <v>128834170</v>
      </c>
      <c r="O128" s="794">
        <f t="shared" si="91"/>
        <v>127189242</v>
      </c>
      <c r="P128" s="794">
        <f t="shared" si="91"/>
        <v>121067627</v>
      </c>
      <c r="Q128" s="794">
        <f t="shared" si="91"/>
        <v>121067627</v>
      </c>
      <c r="R128" s="826">
        <f t="shared" ref="R128:R130" si="92">B128+F128+J128+N128</f>
        <v>128834170</v>
      </c>
      <c r="S128" s="826">
        <f t="shared" si="89"/>
        <v>127189242</v>
      </c>
      <c r="T128" s="826">
        <f t="shared" si="89"/>
        <v>121067627</v>
      </c>
      <c r="U128" s="463"/>
      <c r="V128" s="436"/>
      <c r="W128" s="780"/>
      <c r="X128" s="780"/>
      <c r="Y128" s="780"/>
      <c r="Z128" s="780"/>
      <c r="AA128" s="780"/>
      <c r="AB128" s="780"/>
      <c r="AC128" s="780"/>
      <c r="AD128" s="780"/>
      <c r="AE128" s="780"/>
      <c r="AF128" s="780"/>
      <c r="AG128" s="780"/>
      <c r="AH128" s="780"/>
      <c r="AI128" s="780"/>
      <c r="AJ128" s="780"/>
      <c r="AK128" s="780"/>
      <c r="AL128" s="780"/>
      <c r="AM128" s="780"/>
      <c r="AN128" s="780"/>
      <c r="AO128" s="780"/>
      <c r="AP128" s="780"/>
      <c r="AQ128" s="780"/>
      <c r="AR128" s="780"/>
      <c r="AS128" s="780"/>
    </row>
    <row r="129" spans="1:45" ht="16.5" thickTop="1" thickBot="1" x14ac:dyDescent="0.3">
      <c r="A129" s="217" t="s">
        <v>780</v>
      </c>
      <c r="B129" s="794"/>
      <c r="C129" s="794"/>
      <c r="D129" s="794"/>
      <c r="E129" s="794"/>
      <c r="F129" s="780"/>
      <c r="G129" s="780"/>
      <c r="H129" s="780"/>
      <c r="I129" s="780"/>
      <c r="J129" s="794"/>
      <c r="K129" s="794"/>
      <c r="L129" s="794"/>
      <c r="M129" s="794"/>
      <c r="N129" s="794">
        <f>+N130</f>
        <v>128834170</v>
      </c>
      <c r="O129" s="794">
        <f t="shared" si="91"/>
        <v>127189242</v>
      </c>
      <c r="P129" s="794">
        <f t="shared" si="91"/>
        <v>121067627</v>
      </c>
      <c r="Q129" s="794">
        <f t="shared" si="91"/>
        <v>121067627</v>
      </c>
      <c r="R129" s="826">
        <f t="shared" si="92"/>
        <v>128834170</v>
      </c>
      <c r="S129" s="826">
        <f t="shared" si="89"/>
        <v>127189242</v>
      </c>
      <c r="T129" s="826">
        <f t="shared" si="89"/>
        <v>121067627</v>
      </c>
      <c r="U129" s="463"/>
      <c r="V129" s="436"/>
      <c r="W129" s="780"/>
      <c r="X129" s="780"/>
      <c r="Y129" s="780"/>
      <c r="Z129" s="780"/>
      <c r="AA129" s="780"/>
      <c r="AB129" s="780"/>
      <c r="AC129" s="780"/>
      <c r="AD129" s="780"/>
      <c r="AE129" s="780"/>
      <c r="AF129" s="780"/>
      <c r="AG129" s="780"/>
      <c r="AH129" s="780"/>
      <c r="AI129" s="780"/>
      <c r="AJ129" s="780"/>
      <c r="AK129" s="780"/>
      <c r="AL129" s="780"/>
      <c r="AM129" s="780"/>
      <c r="AN129" s="780"/>
      <c r="AO129" s="780"/>
      <c r="AP129" s="780"/>
      <c r="AQ129" s="780"/>
      <c r="AR129" s="780"/>
      <c r="AS129" s="780"/>
    </row>
    <row r="130" spans="1:45" ht="16.5" thickTop="1" thickBot="1" x14ac:dyDescent="0.3">
      <c r="A130" s="217" t="s">
        <v>781</v>
      </c>
      <c r="B130" s="794"/>
      <c r="C130" s="794"/>
      <c r="D130" s="794"/>
      <c r="E130" s="794"/>
      <c r="F130" s="780"/>
      <c r="G130" s="780"/>
      <c r="H130" s="780"/>
      <c r="I130" s="780"/>
      <c r="J130" s="794"/>
      <c r="K130" s="794"/>
      <c r="L130" s="794"/>
      <c r="M130" s="794"/>
      <c r="N130" s="794">
        <v>128834170</v>
      </c>
      <c r="O130" s="794">
        <v>127189242</v>
      </c>
      <c r="P130" s="794">
        <v>121067627</v>
      </c>
      <c r="Q130" s="794">
        <v>121067627</v>
      </c>
      <c r="R130" s="826">
        <f t="shared" si="92"/>
        <v>128834170</v>
      </c>
      <c r="S130" s="826">
        <f t="shared" si="89"/>
        <v>127189242</v>
      </c>
      <c r="T130" s="826">
        <f t="shared" si="89"/>
        <v>121067627</v>
      </c>
      <c r="U130" s="463"/>
      <c r="V130" s="436"/>
      <c r="W130" s="780"/>
      <c r="X130" s="780"/>
      <c r="Y130" s="780"/>
      <c r="Z130" s="780"/>
      <c r="AA130" s="780"/>
      <c r="AB130" s="780"/>
      <c r="AC130" s="780"/>
      <c r="AD130" s="780"/>
      <c r="AE130" s="780"/>
      <c r="AF130" s="780"/>
      <c r="AG130" s="780"/>
      <c r="AH130" s="780"/>
      <c r="AI130" s="780"/>
      <c r="AJ130" s="780"/>
      <c r="AK130" s="780"/>
      <c r="AL130" s="780"/>
      <c r="AM130" s="780"/>
      <c r="AN130" s="780"/>
      <c r="AO130" s="780"/>
      <c r="AP130" s="780"/>
      <c r="AQ130" s="780"/>
      <c r="AR130" s="780"/>
      <c r="AS130" s="780"/>
    </row>
    <row r="131" spans="1:45" ht="39.75" thickTop="1" thickBot="1" x14ac:dyDescent="0.3">
      <c r="A131" s="498" t="s">
        <v>1725</v>
      </c>
      <c r="B131" s="794"/>
      <c r="C131" s="794"/>
      <c r="D131" s="794"/>
      <c r="E131" s="794"/>
      <c r="F131" s="780"/>
      <c r="G131" s="780"/>
      <c r="H131" s="780"/>
      <c r="I131" s="780"/>
      <c r="J131" s="794"/>
      <c r="K131" s="794"/>
      <c r="L131" s="794"/>
      <c r="M131" s="794"/>
      <c r="N131" s="794">
        <f>+N132</f>
        <v>2729227294</v>
      </c>
      <c r="O131" s="794">
        <f t="shared" ref="O131:Q133" si="93">+O132</f>
        <v>2727801572</v>
      </c>
      <c r="P131" s="794">
        <f t="shared" si="93"/>
        <v>0</v>
      </c>
      <c r="Q131" s="794">
        <f t="shared" si="93"/>
        <v>0</v>
      </c>
      <c r="R131" s="796"/>
      <c r="S131" s="796"/>
      <c r="T131" s="796"/>
      <c r="U131" s="463"/>
      <c r="V131" s="436"/>
      <c r="W131" s="780"/>
      <c r="X131" s="780"/>
      <c r="Y131" s="780"/>
      <c r="Z131" s="780"/>
      <c r="AA131" s="780"/>
      <c r="AB131" s="780"/>
      <c r="AC131" s="780"/>
      <c r="AD131" s="780"/>
      <c r="AE131" s="780"/>
      <c r="AF131" s="780"/>
      <c r="AG131" s="780"/>
      <c r="AH131" s="780"/>
      <c r="AI131" s="780"/>
      <c r="AJ131" s="780"/>
      <c r="AK131" s="780"/>
      <c r="AL131" s="780"/>
      <c r="AM131" s="780"/>
      <c r="AN131" s="780"/>
      <c r="AO131" s="780"/>
      <c r="AP131" s="780"/>
      <c r="AQ131" s="780"/>
      <c r="AR131" s="780"/>
      <c r="AS131" s="780"/>
    </row>
    <row r="132" spans="1:45" ht="16.5" thickTop="1" thickBot="1" x14ac:dyDescent="0.3">
      <c r="A132" s="499" t="s">
        <v>779</v>
      </c>
      <c r="B132" s="794"/>
      <c r="C132" s="794"/>
      <c r="D132" s="794"/>
      <c r="E132" s="794"/>
      <c r="F132" s="780"/>
      <c r="G132" s="780"/>
      <c r="H132" s="780"/>
      <c r="I132" s="780"/>
      <c r="J132" s="794"/>
      <c r="K132" s="794"/>
      <c r="L132" s="794"/>
      <c r="M132" s="794"/>
      <c r="N132" s="794">
        <f>+N133</f>
        <v>2729227294</v>
      </c>
      <c r="O132" s="794">
        <f t="shared" si="93"/>
        <v>2727801572</v>
      </c>
      <c r="P132" s="794">
        <f t="shared" si="93"/>
        <v>0</v>
      </c>
      <c r="Q132" s="794">
        <f t="shared" si="93"/>
        <v>0</v>
      </c>
      <c r="R132" s="796"/>
      <c r="S132" s="796"/>
      <c r="T132" s="796"/>
      <c r="U132" s="463"/>
      <c r="V132" s="436"/>
      <c r="W132" s="780"/>
      <c r="X132" s="780"/>
      <c r="Y132" s="780"/>
      <c r="Z132" s="780"/>
      <c r="AA132" s="780"/>
      <c r="AB132" s="780"/>
      <c r="AC132" s="780"/>
      <c r="AD132" s="780"/>
      <c r="AE132" s="780"/>
      <c r="AF132" s="780"/>
      <c r="AG132" s="780"/>
      <c r="AH132" s="780"/>
      <c r="AI132" s="780"/>
      <c r="AJ132" s="780"/>
      <c r="AK132" s="780"/>
      <c r="AL132" s="780"/>
      <c r="AM132" s="780"/>
      <c r="AN132" s="780"/>
      <c r="AO132" s="780"/>
      <c r="AP132" s="780"/>
      <c r="AQ132" s="780"/>
      <c r="AR132" s="780"/>
      <c r="AS132" s="780"/>
    </row>
    <row r="133" spans="1:45" ht="16.5" thickTop="1" thickBot="1" x14ac:dyDescent="0.3">
      <c r="A133" s="217" t="s">
        <v>780</v>
      </c>
      <c r="B133" s="794"/>
      <c r="C133" s="794"/>
      <c r="D133" s="794"/>
      <c r="E133" s="794"/>
      <c r="F133" s="780"/>
      <c r="G133" s="780"/>
      <c r="H133" s="780"/>
      <c r="I133" s="780"/>
      <c r="J133" s="794"/>
      <c r="K133" s="794"/>
      <c r="L133" s="794"/>
      <c r="M133" s="794"/>
      <c r="N133" s="794">
        <f>+N134</f>
        <v>2729227294</v>
      </c>
      <c r="O133" s="794">
        <f t="shared" si="93"/>
        <v>2727801572</v>
      </c>
      <c r="P133" s="794">
        <f t="shared" si="93"/>
        <v>0</v>
      </c>
      <c r="Q133" s="794">
        <f t="shared" si="93"/>
        <v>0</v>
      </c>
      <c r="R133" s="796"/>
      <c r="S133" s="796"/>
      <c r="T133" s="796"/>
      <c r="U133" s="463"/>
      <c r="V133" s="436"/>
      <c r="W133" s="780"/>
      <c r="X133" s="780"/>
      <c r="Y133" s="780"/>
      <c r="Z133" s="780"/>
      <c r="AA133" s="780"/>
      <c r="AB133" s="780"/>
      <c r="AC133" s="780"/>
      <c r="AD133" s="780"/>
      <c r="AE133" s="780"/>
      <c r="AF133" s="780"/>
      <c r="AG133" s="780"/>
      <c r="AH133" s="780"/>
      <c r="AI133" s="780"/>
      <c r="AJ133" s="780"/>
      <c r="AK133" s="780"/>
      <c r="AL133" s="780"/>
      <c r="AM133" s="780"/>
      <c r="AN133" s="780"/>
      <c r="AO133" s="780"/>
      <c r="AP133" s="780"/>
      <c r="AQ133" s="780"/>
      <c r="AR133" s="780"/>
      <c r="AS133" s="780"/>
    </row>
    <row r="134" spans="1:45" ht="16.5" thickTop="1" thickBot="1" x14ac:dyDescent="0.3">
      <c r="A134" s="217" t="s">
        <v>781</v>
      </c>
      <c r="B134" s="794"/>
      <c r="C134" s="794"/>
      <c r="D134" s="794"/>
      <c r="E134" s="794"/>
      <c r="F134" s="780"/>
      <c r="G134" s="780"/>
      <c r="H134" s="780"/>
      <c r="I134" s="780"/>
      <c r="J134" s="794"/>
      <c r="K134" s="794"/>
      <c r="L134" s="794"/>
      <c r="M134" s="794"/>
      <c r="N134" s="794">
        <v>2729227294</v>
      </c>
      <c r="O134" s="794">
        <v>2727801572</v>
      </c>
      <c r="P134" s="794">
        <v>0</v>
      </c>
      <c r="Q134" s="794">
        <v>0</v>
      </c>
      <c r="R134" s="796"/>
      <c r="S134" s="796"/>
      <c r="T134" s="796"/>
      <c r="U134" s="463"/>
      <c r="V134" s="436"/>
      <c r="W134" s="780"/>
      <c r="X134" s="780"/>
      <c r="Y134" s="780"/>
      <c r="Z134" s="780"/>
      <c r="AA134" s="780"/>
      <c r="AB134" s="780"/>
      <c r="AC134" s="780"/>
      <c r="AD134" s="780"/>
      <c r="AE134" s="780"/>
      <c r="AF134" s="780"/>
      <c r="AG134" s="780"/>
      <c r="AH134" s="780"/>
      <c r="AI134" s="780"/>
      <c r="AJ134" s="780"/>
      <c r="AK134" s="780"/>
      <c r="AL134" s="780"/>
      <c r="AM134" s="780"/>
      <c r="AN134" s="780"/>
      <c r="AO134" s="780"/>
      <c r="AP134" s="780"/>
      <c r="AQ134" s="780"/>
      <c r="AR134" s="780"/>
      <c r="AS134" s="780"/>
    </row>
    <row r="135" spans="1:45" ht="39.75" thickTop="1" thickBot="1" x14ac:dyDescent="0.3">
      <c r="A135" s="498" t="s">
        <v>1726</v>
      </c>
      <c r="B135" s="794"/>
      <c r="C135" s="794"/>
      <c r="D135" s="794"/>
      <c r="E135" s="794"/>
      <c r="F135" s="794"/>
      <c r="G135" s="794"/>
      <c r="H135" s="794">
        <f t="shared" ref="H135:I137" si="94">+H136</f>
        <v>0</v>
      </c>
      <c r="I135" s="794">
        <f t="shared" si="94"/>
        <v>0</v>
      </c>
      <c r="J135" s="794"/>
      <c r="K135" s="794"/>
      <c r="L135" s="794"/>
      <c r="M135" s="794"/>
      <c r="N135" s="794">
        <f>+N136</f>
        <v>3966687778</v>
      </c>
      <c r="O135" s="794">
        <f t="shared" ref="O135:Q137" si="95">+O136</f>
        <v>0</v>
      </c>
      <c r="P135" s="794">
        <f t="shared" si="95"/>
        <v>0</v>
      </c>
      <c r="Q135" s="794">
        <f t="shared" si="95"/>
        <v>0</v>
      </c>
      <c r="R135" s="826">
        <f>B135+F135+J135+N135</f>
        <v>3966687778</v>
      </c>
      <c r="S135" s="826">
        <f t="shared" ref="S135:U135" si="96">C135+G135+K135+O135</f>
        <v>0</v>
      </c>
      <c r="T135" s="826">
        <f t="shared" si="96"/>
        <v>0</v>
      </c>
      <c r="U135" s="826">
        <f t="shared" si="96"/>
        <v>0</v>
      </c>
      <c r="V135" s="436"/>
      <c r="W135" s="780"/>
      <c r="X135" s="780"/>
      <c r="Y135" s="780"/>
      <c r="Z135" s="780"/>
      <c r="AA135" s="780"/>
      <c r="AB135" s="780"/>
      <c r="AC135" s="780"/>
      <c r="AD135" s="780"/>
      <c r="AE135" s="780"/>
      <c r="AF135" s="780"/>
      <c r="AG135" s="780"/>
      <c r="AH135" s="780"/>
      <c r="AI135" s="780"/>
      <c r="AJ135" s="780"/>
      <c r="AK135" s="780"/>
      <c r="AL135" s="780"/>
      <c r="AM135" s="780"/>
      <c r="AN135" s="780"/>
      <c r="AO135" s="780"/>
      <c r="AP135" s="780"/>
      <c r="AQ135" s="780"/>
      <c r="AR135" s="780"/>
      <c r="AS135" s="780"/>
    </row>
    <row r="136" spans="1:45" ht="16.5" thickTop="1" thickBot="1" x14ac:dyDescent="0.3">
      <c r="A136" s="499" t="s">
        <v>779</v>
      </c>
      <c r="B136" s="794"/>
      <c r="C136" s="794"/>
      <c r="D136" s="794"/>
      <c r="E136" s="794"/>
      <c r="F136" s="794"/>
      <c r="G136" s="794"/>
      <c r="H136" s="794">
        <f t="shared" si="94"/>
        <v>0</v>
      </c>
      <c r="I136" s="794">
        <f t="shared" si="94"/>
        <v>0</v>
      </c>
      <c r="J136" s="794"/>
      <c r="K136" s="794"/>
      <c r="L136" s="794"/>
      <c r="M136" s="794"/>
      <c r="N136" s="794">
        <f>+N137</f>
        <v>3966687778</v>
      </c>
      <c r="O136" s="794">
        <f t="shared" si="95"/>
        <v>0</v>
      </c>
      <c r="P136" s="794">
        <f t="shared" si="95"/>
        <v>0</v>
      </c>
      <c r="Q136" s="794">
        <f t="shared" si="95"/>
        <v>0</v>
      </c>
      <c r="R136" s="796"/>
      <c r="S136" s="796"/>
      <c r="T136" s="796"/>
      <c r="U136" s="463"/>
      <c r="V136" s="436"/>
      <c r="W136" s="780"/>
      <c r="X136" s="780"/>
      <c r="Y136" s="780"/>
      <c r="Z136" s="780"/>
      <c r="AA136" s="780"/>
      <c r="AB136" s="780"/>
      <c r="AC136" s="780"/>
      <c r="AD136" s="780"/>
      <c r="AE136" s="780"/>
      <c r="AF136" s="780"/>
      <c r="AG136" s="780"/>
      <c r="AH136" s="780"/>
      <c r="AI136" s="780"/>
      <c r="AJ136" s="780"/>
      <c r="AK136" s="780"/>
      <c r="AL136" s="780"/>
      <c r="AM136" s="780"/>
      <c r="AN136" s="780"/>
      <c r="AO136" s="780"/>
      <c r="AP136" s="780"/>
      <c r="AQ136" s="780"/>
      <c r="AR136" s="780"/>
      <c r="AS136" s="780"/>
    </row>
    <row r="137" spans="1:45" ht="16.5" thickTop="1" thickBot="1" x14ac:dyDescent="0.3">
      <c r="A137" s="217" t="s">
        <v>780</v>
      </c>
      <c r="B137" s="794"/>
      <c r="C137" s="794"/>
      <c r="D137" s="794"/>
      <c r="E137" s="794"/>
      <c r="F137" s="794"/>
      <c r="G137" s="794"/>
      <c r="H137" s="794">
        <f t="shared" si="94"/>
        <v>0</v>
      </c>
      <c r="I137" s="794">
        <f t="shared" si="94"/>
        <v>0</v>
      </c>
      <c r="J137" s="794"/>
      <c r="K137" s="794"/>
      <c r="L137" s="794"/>
      <c r="M137" s="794"/>
      <c r="N137" s="794">
        <f>+N138</f>
        <v>3966687778</v>
      </c>
      <c r="O137" s="794">
        <f t="shared" si="95"/>
        <v>0</v>
      </c>
      <c r="P137" s="794">
        <f t="shared" si="95"/>
        <v>0</v>
      </c>
      <c r="Q137" s="794">
        <f t="shared" si="95"/>
        <v>0</v>
      </c>
      <c r="R137" s="796"/>
      <c r="S137" s="796"/>
      <c r="T137" s="796"/>
      <c r="U137" s="463"/>
      <c r="V137" s="436"/>
      <c r="W137" s="780"/>
      <c r="X137" s="780"/>
      <c r="Y137" s="780"/>
      <c r="Z137" s="780"/>
      <c r="AA137" s="780"/>
      <c r="AB137" s="780"/>
      <c r="AC137" s="780"/>
      <c r="AD137" s="780"/>
      <c r="AE137" s="780"/>
      <c r="AF137" s="780"/>
      <c r="AG137" s="780"/>
      <c r="AH137" s="780"/>
      <c r="AI137" s="780"/>
      <c r="AJ137" s="780"/>
      <c r="AK137" s="780"/>
      <c r="AL137" s="780"/>
      <c r="AM137" s="780"/>
      <c r="AN137" s="780"/>
      <c r="AO137" s="780"/>
      <c r="AP137" s="780"/>
      <c r="AQ137" s="780"/>
      <c r="AR137" s="780"/>
      <c r="AS137" s="780"/>
    </row>
    <row r="138" spans="1:45" ht="16.5" thickTop="1" thickBot="1" x14ac:dyDescent="0.3">
      <c r="A138" s="217" t="s">
        <v>781</v>
      </c>
      <c r="B138" s="794"/>
      <c r="C138" s="794"/>
      <c r="D138" s="794"/>
      <c r="E138" s="794"/>
      <c r="F138" s="780"/>
      <c r="G138" s="780"/>
      <c r="H138" s="794">
        <v>0</v>
      </c>
      <c r="I138" s="794">
        <v>0</v>
      </c>
      <c r="J138" s="794"/>
      <c r="K138" s="794"/>
      <c r="L138" s="794"/>
      <c r="M138" s="794"/>
      <c r="N138" s="794">
        <v>3966687778</v>
      </c>
      <c r="O138" s="794">
        <v>0</v>
      </c>
      <c r="P138" s="794">
        <v>0</v>
      </c>
      <c r="Q138" s="794">
        <v>0</v>
      </c>
      <c r="R138" s="796"/>
      <c r="S138" s="796"/>
      <c r="T138" s="796"/>
      <c r="U138" s="463"/>
      <c r="V138" s="436"/>
      <c r="W138" s="780"/>
      <c r="X138" s="780"/>
      <c r="Y138" s="780"/>
      <c r="Z138" s="780"/>
      <c r="AA138" s="780"/>
      <c r="AB138" s="780"/>
      <c r="AC138" s="780"/>
      <c r="AD138" s="780"/>
      <c r="AE138" s="780"/>
      <c r="AF138" s="780"/>
      <c r="AG138" s="780"/>
      <c r="AH138" s="780"/>
      <c r="AI138" s="780"/>
      <c r="AJ138" s="780"/>
      <c r="AK138" s="780"/>
      <c r="AL138" s="780"/>
      <c r="AM138" s="780"/>
      <c r="AN138" s="780"/>
      <c r="AO138" s="780"/>
      <c r="AP138" s="780"/>
      <c r="AQ138" s="780"/>
      <c r="AR138" s="780"/>
      <c r="AS138" s="780"/>
    </row>
    <row r="139" spans="1:45" ht="16.5" thickTop="1" thickBot="1" x14ac:dyDescent="0.3">
      <c r="A139" s="216" t="s">
        <v>341</v>
      </c>
      <c r="B139" s="827">
        <f>+B140</f>
        <v>3000000000</v>
      </c>
      <c r="C139" s="827">
        <f t="shared" ref="C139:Q142" si="97">+C140</f>
        <v>1460112086</v>
      </c>
      <c r="D139" s="827">
        <f t="shared" si="97"/>
        <v>817142209</v>
      </c>
      <c r="E139" s="827">
        <f t="shared" si="97"/>
        <v>754956989</v>
      </c>
      <c r="F139" s="828">
        <f t="shared" ref="F139:M139" si="98">+F140+F211</f>
        <v>0</v>
      </c>
      <c r="G139" s="828">
        <f t="shared" si="98"/>
        <v>0</v>
      </c>
      <c r="H139" s="828">
        <f t="shared" si="98"/>
        <v>0</v>
      </c>
      <c r="I139" s="828">
        <f t="shared" si="98"/>
        <v>0</v>
      </c>
      <c r="J139" s="828">
        <f t="shared" si="98"/>
        <v>0</v>
      </c>
      <c r="K139" s="828">
        <f t="shared" si="98"/>
        <v>0</v>
      </c>
      <c r="L139" s="828">
        <f t="shared" si="98"/>
        <v>0</v>
      </c>
      <c r="M139" s="828">
        <f t="shared" si="98"/>
        <v>0</v>
      </c>
      <c r="N139" s="814">
        <f>+N140+N144+N148</f>
        <v>7618296180</v>
      </c>
      <c r="O139" s="814">
        <f t="shared" ref="O139:Q139" si="99">+O140+O144+O148</f>
        <v>3118296179</v>
      </c>
      <c r="P139" s="814">
        <f t="shared" si="99"/>
        <v>66799646</v>
      </c>
      <c r="Q139" s="814">
        <f t="shared" si="99"/>
        <v>0</v>
      </c>
      <c r="R139" s="796">
        <f>R140</f>
        <v>3000000000</v>
      </c>
      <c r="S139" s="796">
        <f t="shared" ref="S139:U139" si="100">S140</f>
        <v>1460112086</v>
      </c>
      <c r="T139" s="796">
        <f t="shared" si="100"/>
        <v>817142209</v>
      </c>
      <c r="U139" s="796">
        <f t="shared" si="100"/>
        <v>754956989</v>
      </c>
      <c r="V139" s="436"/>
      <c r="W139" s="780"/>
      <c r="X139" s="780"/>
      <c r="Y139" s="780"/>
      <c r="Z139" s="780"/>
      <c r="AA139" s="780"/>
      <c r="AB139" s="780"/>
      <c r="AC139" s="780"/>
      <c r="AD139" s="780"/>
      <c r="AE139" s="780"/>
      <c r="AF139" s="780"/>
      <c r="AG139" s="780"/>
      <c r="AH139" s="780"/>
      <c r="AI139" s="780"/>
      <c r="AJ139" s="780"/>
      <c r="AK139" s="780"/>
      <c r="AL139" s="780"/>
      <c r="AM139" s="780"/>
      <c r="AN139" s="780"/>
      <c r="AO139" s="780"/>
      <c r="AP139" s="780"/>
      <c r="AQ139" s="780"/>
      <c r="AR139" s="780"/>
      <c r="AS139" s="780"/>
    </row>
    <row r="140" spans="1:45" ht="27" thickTop="1" thickBot="1" x14ac:dyDescent="0.3">
      <c r="A140" s="498" t="s">
        <v>342</v>
      </c>
      <c r="B140" s="794">
        <f>+B141</f>
        <v>3000000000</v>
      </c>
      <c r="C140" s="794">
        <f t="shared" si="97"/>
        <v>1460112086</v>
      </c>
      <c r="D140" s="794">
        <f t="shared" si="97"/>
        <v>817142209</v>
      </c>
      <c r="E140" s="794">
        <f t="shared" si="97"/>
        <v>754956989</v>
      </c>
      <c r="F140" s="794">
        <f t="shared" si="97"/>
        <v>0</v>
      </c>
      <c r="G140" s="794">
        <f t="shared" si="97"/>
        <v>0</v>
      </c>
      <c r="H140" s="794">
        <f t="shared" si="97"/>
        <v>0</v>
      </c>
      <c r="I140" s="794">
        <f t="shared" si="97"/>
        <v>0</v>
      </c>
      <c r="J140" s="794">
        <f t="shared" si="97"/>
        <v>0</v>
      </c>
      <c r="K140" s="794">
        <f t="shared" si="97"/>
        <v>0</v>
      </c>
      <c r="L140" s="794">
        <f t="shared" si="97"/>
        <v>0</v>
      </c>
      <c r="M140" s="794">
        <f t="shared" si="97"/>
        <v>0</v>
      </c>
      <c r="N140" s="794">
        <f t="shared" si="97"/>
        <v>0</v>
      </c>
      <c r="O140" s="794">
        <f t="shared" si="97"/>
        <v>0</v>
      </c>
      <c r="P140" s="794">
        <f t="shared" si="97"/>
        <v>0</v>
      </c>
      <c r="Q140" s="794">
        <f t="shared" si="97"/>
        <v>0</v>
      </c>
      <c r="R140" s="796">
        <f t="shared" si="70"/>
        <v>3000000000</v>
      </c>
      <c r="S140" s="796">
        <f>+C140+G140+K140+O140</f>
        <v>1460112086</v>
      </c>
      <c r="T140" s="796">
        <f t="shared" ref="T140:U140" si="101">+D140+H140+L140+P140</f>
        <v>817142209</v>
      </c>
      <c r="U140" s="796">
        <f t="shared" si="101"/>
        <v>754956989</v>
      </c>
      <c r="V140" s="436"/>
      <c r="W140" s="829">
        <f>R140+R144+R148</f>
        <v>10618296180</v>
      </c>
      <c r="X140" s="829">
        <f t="shared" ref="X140:Z140" si="102">S140+S144+S148</f>
        <v>4578408265</v>
      </c>
      <c r="Y140" s="829">
        <f t="shared" si="102"/>
        <v>883941855</v>
      </c>
      <c r="Z140" s="829">
        <f t="shared" si="102"/>
        <v>754956989</v>
      </c>
      <c r="AA140" s="780"/>
      <c r="AB140" s="780"/>
      <c r="AC140" s="780"/>
      <c r="AD140" s="780"/>
      <c r="AE140" s="780"/>
      <c r="AF140" s="780"/>
      <c r="AG140" s="780"/>
      <c r="AH140" s="780"/>
      <c r="AI140" s="780"/>
      <c r="AJ140" s="780"/>
      <c r="AK140" s="780"/>
      <c r="AL140" s="780"/>
      <c r="AM140" s="780"/>
      <c r="AN140" s="780"/>
      <c r="AO140" s="780"/>
      <c r="AP140" s="780"/>
      <c r="AQ140" s="780"/>
      <c r="AR140" s="780"/>
      <c r="AS140" s="780"/>
    </row>
    <row r="141" spans="1:45" ht="16.5" thickTop="1" thickBot="1" x14ac:dyDescent="0.3">
      <c r="A141" s="499" t="s">
        <v>779</v>
      </c>
      <c r="B141" s="794">
        <f>+B142</f>
        <v>3000000000</v>
      </c>
      <c r="C141" s="794">
        <f t="shared" si="97"/>
        <v>1460112086</v>
      </c>
      <c r="D141" s="794">
        <f t="shared" si="97"/>
        <v>817142209</v>
      </c>
      <c r="E141" s="794">
        <f t="shared" si="97"/>
        <v>754956989</v>
      </c>
      <c r="F141" s="814">
        <f t="shared" si="97"/>
        <v>0</v>
      </c>
      <c r="G141" s="814">
        <f t="shared" si="97"/>
        <v>0</v>
      </c>
      <c r="H141" s="814">
        <f t="shared" si="97"/>
        <v>0</v>
      </c>
      <c r="I141" s="814">
        <f t="shared" si="97"/>
        <v>0</v>
      </c>
      <c r="J141" s="814">
        <f t="shared" si="97"/>
        <v>0</v>
      </c>
      <c r="K141" s="814">
        <f t="shared" si="97"/>
        <v>0</v>
      </c>
      <c r="L141" s="814">
        <f t="shared" si="97"/>
        <v>0</v>
      </c>
      <c r="M141" s="814">
        <f t="shared" si="97"/>
        <v>0</v>
      </c>
      <c r="N141" s="814">
        <f t="shared" si="97"/>
        <v>0</v>
      </c>
      <c r="O141" s="814">
        <f t="shared" si="97"/>
        <v>0</v>
      </c>
      <c r="P141" s="814">
        <f t="shared" si="97"/>
        <v>0</v>
      </c>
      <c r="Q141" s="814">
        <f t="shared" si="97"/>
        <v>0</v>
      </c>
      <c r="R141" s="815">
        <f t="shared" si="70"/>
        <v>3000000000</v>
      </c>
      <c r="S141" s="815">
        <f t="shared" si="70"/>
        <v>1460112086</v>
      </c>
      <c r="T141" s="815">
        <f t="shared" si="70"/>
        <v>817142209</v>
      </c>
      <c r="U141" s="494">
        <f t="shared" si="70"/>
        <v>754956989</v>
      </c>
      <c r="V141" s="436"/>
      <c r="W141" s="780"/>
      <c r="X141" s="780"/>
      <c r="Y141" s="780"/>
      <c r="Z141" s="780"/>
      <c r="AA141" s="780"/>
      <c r="AB141" s="780"/>
      <c r="AC141" s="780"/>
      <c r="AD141" s="780"/>
      <c r="AE141" s="780"/>
      <c r="AF141" s="780"/>
      <c r="AG141" s="780"/>
      <c r="AH141" s="780"/>
      <c r="AI141" s="780"/>
      <c r="AJ141" s="780"/>
      <c r="AK141" s="780"/>
      <c r="AL141" s="780"/>
      <c r="AM141" s="780"/>
      <c r="AN141" s="780"/>
      <c r="AO141" s="780"/>
      <c r="AP141" s="780"/>
      <c r="AQ141" s="780"/>
      <c r="AR141" s="780"/>
      <c r="AS141" s="780"/>
    </row>
    <row r="142" spans="1:45" ht="16.5" thickTop="1" thickBot="1" x14ac:dyDescent="0.3">
      <c r="A142" s="217" t="s">
        <v>780</v>
      </c>
      <c r="B142" s="794">
        <f>+B143</f>
        <v>3000000000</v>
      </c>
      <c r="C142" s="794">
        <f t="shared" si="97"/>
        <v>1460112086</v>
      </c>
      <c r="D142" s="794">
        <f t="shared" si="97"/>
        <v>817142209</v>
      </c>
      <c r="E142" s="794">
        <f t="shared" si="97"/>
        <v>754956989</v>
      </c>
      <c r="F142" s="794">
        <f t="shared" si="97"/>
        <v>0</v>
      </c>
      <c r="G142" s="794">
        <f t="shared" si="97"/>
        <v>0</v>
      </c>
      <c r="H142" s="794">
        <f t="shared" si="97"/>
        <v>0</v>
      </c>
      <c r="I142" s="794">
        <f t="shared" si="97"/>
        <v>0</v>
      </c>
      <c r="J142" s="794">
        <f t="shared" si="97"/>
        <v>0</v>
      </c>
      <c r="K142" s="794">
        <f t="shared" si="97"/>
        <v>0</v>
      </c>
      <c r="L142" s="794">
        <f t="shared" si="97"/>
        <v>0</v>
      </c>
      <c r="M142" s="794">
        <f t="shared" si="97"/>
        <v>0</v>
      </c>
      <c r="N142" s="794">
        <v>0</v>
      </c>
      <c r="O142" s="794">
        <v>0</v>
      </c>
      <c r="P142" s="794">
        <v>0</v>
      </c>
      <c r="Q142" s="794">
        <v>0</v>
      </c>
      <c r="R142" s="796">
        <f t="shared" si="70"/>
        <v>3000000000</v>
      </c>
      <c r="S142" s="796">
        <f t="shared" si="70"/>
        <v>1460112086</v>
      </c>
      <c r="T142" s="796">
        <f t="shared" si="70"/>
        <v>817142209</v>
      </c>
      <c r="U142" s="463">
        <f t="shared" si="70"/>
        <v>754956989</v>
      </c>
      <c r="V142" s="436"/>
      <c r="W142" s="780"/>
      <c r="X142" s="780"/>
      <c r="Y142" s="780"/>
      <c r="Z142" s="780"/>
      <c r="AA142" s="780"/>
      <c r="AB142" s="780"/>
      <c r="AC142" s="780"/>
      <c r="AD142" s="780"/>
      <c r="AE142" s="780"/>
      <c r="AF142" s="780"/>
      <c r="AG142" s="780"/>
      <c r="AH142" s="780"/>
      <c r="AI142" s="780"/>
      <c r="AJ142" s="780"/>
      <c r="AK142" s="780"/>
      <c r="AL142" s="780"/>
      <c r="AM142" s="780"/>
      <c r="AN142" s="780"/>
      <c r="AO142" s="780"/>
      <c r="AP142" s="780"/>
      <c r="AQ142" s="780"/>
      <c r="AR142" s="780"/>
      <c r="AS142" s="780"/>
    </row>
    <row r="143" spans="1:45" ht="16.5" thickTop="1" thickBot="1" x14ac:dyDescent="0.3">
      <c r="A143" s="217" t="s">
        <v>781</v>
      </c>
      <c r="B143" s="794">
        <v>3000000000</v>
      </c>
      <c r="C143" s="794">
        <v>1460112086</v>
      </c>
      <c r="D143" s="794">
        <v>817142209</v>
      </c>
      <c r="E143" s="794">
        <v>754956989</v>
      </c>
      <c r="F143" s="794"/>
      <c r="G143" s="794"/>
      <c r="H143" s="794"/>
      <c r="I143" s="794"/>
      <c r="J143" s="794"/>
      <c r="K143" s="794"/>
      <c r="L143" s="794"/>
      <c r="M143" s="794"/>
      <c r="N143" s="794">
        <v>0</v>
      </c>
      <c r="O143" s="794">
        <v>0</v>
      </c>
      <c r="P143" s="794">
        <v>0</v>
      </c>
      <c r="Q143" s="794">
        <v>0</v>
      </c>
      <c r="R143" s="796">
        <f t="shared" si="70"/>
        <v>3000000000</v>
      </c>
      <c r="S143" s="796">
        <f t="shared" si="70"/>
        <v>1460112086</v>
      </c>
      <c r="T143" s="796">
        <f t="shared" si="70"/>
        <v>817142209</v>
      </c>
      <c r="U143" s="463">
        <f t="shared" si="70"/>
        <v>754956989</v>
      </c>
      <c r="V143" s="436"/>
      <c r="W143" s="780"/>
      <c r="X143" s="780"/>
      <c r="Y143" s="780"/>
      <c r="Z143" s="780"/>
      <c r="AA143" s="780"/>
      <c r="AB143" s="780"/>
      <c r="AC143" s="780"/>
      <c r="AD143" s="780"/>
      <c r="AE143" s="780"/>
      <c r="AF143" s="780"/>
      <c r="AG143" s="780"/>
      <c r="AH143" s="780"/>
      <c r="AI143" s="780"/>
      <c r="AJ143" s="780"/>
      <c r="AK143" s="780"/>
      <c r="AL143" s="780"/>
      <c r="AM143" s="780"/>
      <c r="AN143" s="780"/>
      <c r="AO143" s="780"/>
      <c r="AP143" s="780"/>
      <c r="AQ143" s="780"/>
      <c r="AR143" s="780"/>
      <c r="AS143" s="780"/>
    </row>
    <row r="144" spans="1:45" ht="39.75" thickTop="1" thickBot="1" x14ac:dyDescent="0.3">
      <c r="A144" s="498" t="s">
        <v>1727</v>
      </c>
      <c r="B144" s="794">
        <f>+B145</f>
        <v>0</v>
      </c>
      <c r="C144" s="794">
        <f t="shared" ref="C144:Q146" si="103">+C145</f>
        <v>0</v>
      </c>
      <c r="D144" s="794">
        <f t="shared" si="103"/>
        <v>0</v>
      </c>
      <c r="E144" s="794">
        <f t="shared" si="103"/>
        <v>0</v>
      </c>
      <c r="F144" s="794">
        <f t="shared" si="103"/>
        <v>0</v>
      </c>
      <c r="G144" s="794">
        <f t="shared" si="103"/>
        <v>0</v>
      </c>
      <c r="H144" s="794">
        <f t="shared" si="103"/>
        <v>0</v>
      </c>
      <c r="I144" s="794">
        <f t="shared" si="103"/>
        <v>0</v>
      </c>
      <c r="J144" s="794">
        <f t="shared" si="103"/>
        <v>0</v>
      </c>
      <c r="K144" s="794">
        <f t="shared" si="103"/>
        <v>0</v>
      </c>
      <c r="L144" s="794">
        <f t="shared" si="103"/>
        <v>0</v>
      </c>
      <c r="M144" s="794">
        <f t="shared" si="103"/>
        <v>0</v>
      </c>
      <c r="N144" s="794">
        <f t="shared" si="103"/>
        <v>4500000000</v>
      </c>
      <c r="O144" s="794">
        <f t="shared" si="103"/>
        <v>0</v>
      </c>
      <c r="P144" s="794">
        <f t="shared" si="103"/>
        <v>0</v>
      </c>
      <c r="Q144" s="794">
        <f t="shared" si="103"/>
        <v>0</v>
      </c>
      <c r="R144" s="796">
        <f>+B144+F144+J144+N144</f>
        <v>4500000000</v>
      </c>
      <c r="S144" s="796">
        <f>+C144+G144+K144+O144</f>
        <v>0</v>
      </c>
      <c r="T144" s="796">
        <f t="shared" si="70"/>
        <v>0</v>
      </c>
      <c r="U144" s="796">
        <f t="shared" si="70"/>
        <v>0</v>
      </c>
      <c r="V144" s="436"/>
      <c r="W144" s="780"/>
      <c r="X144" s="780">
        <v>4508296179</v>
      </c>
      <c r="Y144" s="780"/>
      <c r="Z144" s="780"/>
      <c r="AA144" s="780"/>
      <c r="AB144" s="780"/>
      <c r="AC144" s="780"/>
      <c r="AD144" s="780"/>
      <c r="AE144" s="780"/>
      <c r="AF144" s="780"/>
      <c r="AG144" s="780"/>
      <c r="AH144" s="780"/>
      <c r="AI144" s="780"/>
      <c r="AJ144" s="780"/>
      <c r="AK144" s="780"/>
      <c r="AL144" s="780"/>
      <c r="AM144" s="780"/>
      <c r="AN144" s="780"/>
      <c r="AO144" s="780"/>
      <c r="AP144" s="780"/>
      <c r="AQ144" s="780"/>
      <c r="AR144" s="780"/>
      <c r="AS144" s="780"/>
    </row>
    <row r="145" spans="1:45" ht="16.5" thickTop="1" thickBot="1" x14ac:dyDescent="0.3">
      <c r="A145" s="499" t="s">
        <v>779</v>
      </c>
      <c r="B145" s="794">
        <f>+B146</f>
        <v>0</v>
      </c>
      <c r="C145" s="794">
        <f t="shared" si="103"/>
        <v>0</v>
      </c>
      <c r="D145" s="794">
        <f t="shared" si="103"/>
        <v>0</v>
      </c>
      <c r="E145" s="794">
        <f t="shared" si="103"/>
        <v>0</v>
      </c>
      <c r="F145" s="794">
        <f t="shared" si="103"/>
        <v>0</v>
      </c>
      <c r="G145" s="794">
        <f t="shared" si="103"/>
        <v>0</v>
      </c>
      <c r="H145" s="794">
        <f t="shared" si="103"/>
        <v>0</v>
      </c>
      <c r="I145" s="794">
        <f t="shared" si="103"/>
        <v>0</v>
      </c>
      <c r="J145" s="794">
        <f t="shared" si="103"/>
        <v>0</v>
      </c>
      <c r="K145" s="794">
        <f t="shared" si="103"/>
        <v>0</v>
      </c>
      <c r="L145" s="794">
        <f t="shared" si="103"/>
        <v>0</v>
      </c>
      <c r="M145" s="794">
        <f t="shared" si="103"/>
        <v>0</v>
      </c>
      <c r="N145" s="794">
        <f t="shared" si="103"/>
        <v>4500000000</v>
      </c>
      <c r="O145" s="794">
        <f t="shared" si="103"/>
        <v>0</v>
      </c>
      <c r="P145" s="794">
        <f t="shared" si="103"/>
        <v>0</v>
      </c>
      <c r="Q145" s="794">
        <f t="shared" si="103"/>
        <v>0</v>
      </c>
      <c r="R145" s="796">
        <f t="shared" si="70"/>
        <v>4500000000</v>
      </c>
      <c r="S145" s="796">
        <f t="shared" si="70"/>
        <v>0</v>
      </c>
      <c r="T145" s="796">
        <f t="shared" si="70"/>
        <v>0</v>
      </c>
      <c r="U145" s="796">
        <f t="shared" si="70"/>
        <v>0</v>
      </c>
      <c r="V145" s="436"/>
      <c r="W145" s="780"/>
      <c r="X145" s="786">
        <f>X140-X144</f>
        <v>70112086</v>
      </c>
      <c r="Y145" s="780"/>
      <c r="Z145" s="780"/>
      <c r="AA145" s="780"/>
      <c r="AB145" s="780"/>
      <c r="AC145" s="780"/>
      <c r="AD145" s="780"/>
      <c r="AE145" s="780"/>
      <c r="AF145" s="780"/>
      <c r="AG145" s="780"/>
      <c r="AH145" s="780"/>
      <c r="AI145" s="780"/>
      <c r="AJ145" s="780"/>
      <c r="AK145" s="780"/>
      <c r="AL145" s="780"/>
      <c r="AM145" s="780"/>
      <c r="AN145" s="780"/>
      <c r="AO145" s="780"/>
      <c r="AP145" s="780"/>
      <c r="AQ145" s="780"/>
      <c r="AR145" s="780"/>
      <c r="AS145" s="780"/>
    </row>
    <row r="146" spans="1:45" ht="16.5" thickTop="1" thickBot="1" x14ac:dyDescent="0.3">
      <c r="A146" s="217" t="s">
        <v>780</v>
      </c>
      <c r="B146" s="794">
        <f>+B147</f>
        <v>0</v>
      </c>
      <c r="C146" s="794">
        <f t="shared" si="103"/>
        <v>0</v>
      </c>
      <c r="D146" s="794">
        <f t="shared" si="103"/>
        <v>0</v>
      </c>
      <c r="E146" s="794">
        <f t="shared" si="103"/>
        <v>0</v>
      </c>
      <c r="F146" s="794">
        <f t="shared" si="103"/>
        <v>0</v>
      </c>
      <c r="G146" s="794">
        <f t="shared" si="103"/>
        <v>0</v>
      </c>
      <c r="H146" s="794">
        <f t="shared" si="103"/>
        <v>0</v>
      </c>
      <c r="I146" s="794">
        <f t="shared" si="103"/>
        <v>0</v>
      </c>
      <c r="J146" s="794">
        <f t="shared" si="103"/>
        <v>0</v>
      </c>
      <c r="K146" s="794">
        <f t="shared" si="103"/>
        <v>0</v>
      </c>
      <c r="L146" s="794">
        <f t="shared" si="103"/>
        <v>0</v>
      </c>
      <c r="M146" s="794">
        <f t="shared" si="103"/>
        <v>0</v>
      </c>
      <c r="N146" s="794">
        <f t="shared" si="103"/>
        <v>4500000000</v>
      </c>
      <c r="O146" s="794">
        <f t="shared" si="103"/>
        <v>0</v>
      </c>
      <c r="P146" s="794">
        <f t="shared" si="103"/>
        <v>0</v>
      </c>
      <c r="Q146" s="794">
        <f t="shared" si="103"/>
        <v>0</v>
      </c>
      <c r="R146" s="796">
        <f t="shared" si="70"/>
        <v>4500000000</v>
      </c>
      <c r="S146" s="796">
        <f t="shared" si="70"/>
        <v>0</v>
      </c>
      <c r="T146" s="796">
        <f t="shared" si="70"/>
        <v>0</v>
      </c>
      <c r="U146" s="796">
        <f t="shared" si="70"/>
        <v>0</v>
      </c>
      <c r="V146" s="436"/>
      <c r="W146" s="780"/>
      <c r="X146" s="780"/>
      <c r="Y146" s="780"/>
      <c r="Z146" s="780"/>
      <c r="AA146" s="780"/>
      <c r="AB146" s="780"/>
      <c r="AC146" s="780"/>
      <c r="AD146" s="780"/>
      <c r="AE146" s="780"/>
      <c r="AF146" s="780"/>
      <c r="AG146" s="780"/>
      <c r="AH146" s="780"/>
      <c r="AI146" s="780"/>
      <c r="AJ146" s="780"/>
      <c r="AK146" s="780"/>
      <c r="AL146" s="780"/>
      <c r="AM146" s="780"/>
      <c r="AN146" s="780"/>
      <c r="AO146" s="780"/>
      <c r="AP146" s="780"/>
      <c r="AQ146" s="780"/>
      <c r="AR146" s="780"/>
      <c r="AS146" s="780"/>
    </row>
    <row r="147" spans="1:45" ht="16.5" thickTop="1" thickBot="1" x14ac:dyDescent="0.3">
      <c r="A147" s="217" t="s">
        <v>781</v>
      </c>
      <c r="B147" s="794"/>
      <c r="C147" s="794"/>
      <c r="D147" s="794"/>
      <c r="E147" s="794"/>
      <c r="F147" s="794"/>
      <c r="G147" s="794"/>
      <c r="H147" s="794"/>
      <c r="I147" s="794"/>
      <c r="J147" s="794"/>
      <c r="K147" s="794"/>
      <c r="L147" s="794"/>
      <c r="M147" s="794"/>
      <c r="N147" s="794">
        <v>4500000000</v>
      </c>
      <c r="O147" s="794">
        <v>0</v>
      </c>
      <c r="P147" s="794">
        <v>0</v>
      </c>
      <c r="Q147" s="794">
        <v>0</v>
      </c>
      <c r="R147" s="796">
        <f t="shared" si="70"/>
        <v>4500000000</v>
      </c>
      <c r="S147" s="796">
        <f t="shared" si="70"/>
        <v>0</v>
      </c>
      <c r="T147" s="796">
        <f t="shared" si="70"/>
        <v>0</v>
      </c>
      <c r="U147" s="796">
        <f t="shared" si="70"/>
        <v>0</v>
      </c>
      <c r="V147" s="436"/>
      <c r="W147" s="780"/>
      <c r="X147" s="780"/>
      <c r="Y147" s="780"/>
      <c r="Z147" s="780"/>
      <c r="AA147" s="780"/>
      <c r="AB147" s="780"/>
      <c r="AC147" s="780"/>
      <c r="AD147" s="780"/>
      <c r="AE147" s="780"/>
      <c r="AF147" s="780"/>
      <c r="AG147" s="780"/>
      <c r="AH147" s="780"/>
      <c r="AI147" s="780"/>
      <c r="AJ147" s="780"/>
      <c r="AK147" s="780"/>
      <c r="AL147" s="780"/>
      <c r="AM147" s="780"/>
      <c r="AN147" s="780"/>
      <c r="AO147" s="780"/>
      <c r="AP147" s="780"/>
      <c r="AQ147" s="780"/>
      <c r="AR147" s="780"/>
      <c r="AS147" s="780"/>
    </row>
    <row r="148" spans="1:45" ht="27" thickTop="1" thickBot="1" x14ac:dyDescent="0.3">
      <c r="A148" s="498" t="s">
        <v>1728</v>
      </c>
      <c r="B148" s="794"/>
      <c r="C148" s="794"/>
      <c r="D148" s="794"/>
      <c r="E148" s="794"/>
      <c r="F148" s="794"/>
      <c r="G148" s="794"/>
      <c r="H148" s="794"/>
      <c r="I148" s="794"/>
      <c r="J148" s="794"/>
      <c r="K148" s="794"/>
      <c r="L148" s="794"/>
      <c r="M148" s="794"/>
      <c r="N148" s="794">
        <f>+N149</f>
        <v>3118296180</v>
      </c>
      <c r="O148" s="794">
        <f t="shared" ref="O148:Q150" si="104">+O149</f>
        <v>3118296179</v>
      </c>
      <c r="P148" s="794">
        <f t="shared" si="104"/>
        <v>66799646</v>
      </c>
      <c r="Q148" s="794">
        <f t="shared" si="104"/>
        <v>0</v>
      </c>
      <c r="R148" s="796">
        <f>+B148+F148+J148+N148</f>
        <v>3118296180</v>
      </c>
      <c r="S148" s="796">
        <f>+C148+G148+K148+O148</f>
        <v>3118296179</v>
      </c>
      <c r="T148" s="796">
        <f t="shared" si="70"/>
        <v>66799646</v>
      </c>
      <c r="U148" s="796">
        <f t="shared" si="70"/>
        <v>0</v>
      </c>
      <c r="V148" s="436"/>
      <c r="W148" s="780"/>
      <c r="X148" s="780"/>
      <c r="Y148" s="780"/>
      <c r="Z148" s="780"/>
      <c r="AA148" s="780"/>
      <c r="AB148" s="780"/>
      <c r="AC148" s="780"/>
      <c r="AD148" s="780"/>
      <c r="AE148" s="780"/>
      <c r="AF148" s="780"/>
      <c r="AG148" s="780"/>
      <c r="AH148" s="780"/>
      <c r="AI148" s="780"/>
      <c r="AJ148" s="780"/>
      <c r="AK148" s="780"/>
      <c r="AL148" s="780"/>
      <c r="AM148" s="780"/>
      <c r="AN148" s="780"/>
      <c r="AO148" s="780"/>
      <c r="AP148" s="780"/>
      <c r="AQ148" s="780"/>
      <c r="AR148" s="780"/>
      <c r="AS148" s="780"/>
    </row>
    <row r="149" spans="1:45" ht="16.5" thickTop="1" thickBot="1" x14ac:dyDescent="0.3">
      <c r="A149" s="499" t="s">
        <v>779</v>
      </c>
      <c r="B149" s="794"/>
      <c r="C149" s="794"/>
      <c r="D149" s="794"/>
      <c r="E149" s="794"/>
      <c r="F149" s="794"/>
      <c r="G149" s="794"/>
      <c r="H149" s="794"/>
      <c r="I149" s="794"/>
      <c r="J149" s="794"/>
      <c r="K149" s="794"/>
      <c r="L149" s="794"/>
      <c r="M149" s="794"/>
      <c r="N149" s="794">
        <f>+N150</f>
        <v>3118296180</v>
      </c>
      <c r="O149" s="794">
        <f t="shared" si="104"/>
        <v>3118296179</v>
      </c>
      <c r="P149" s="794">
        <f t="shared" si="104"/>
        <v>66799646</v>
      </c>
      <c r="Q149" s="794">
        <f t="shared" si="104"/>
        <v>0</v>
      </c>
      <c r="R149" s="796">
        <f t="shared" ref="R149:S151" si="105">+B149+F149+J149+N149</f>
        <v>3118296180</v>
      </c>
      <c r="S149" s="796">
        <f t="shared" si="105"/>
        <v>3118296179</v>
      </c>
      <c r="T149" s="796">
        <f t="shared" si="70"/>
        <v>66799646</v>
      </c>
      <c r="U149" s="796">
        <f t="shared" si="70"/>
        <v>0</v>
      </c>
      <c r="V149" s="436"/>
      <c r="W149" s="780"/>
      <c r="X149" s="780"/>
      <c r="Y149" s="780"/>
      <c r="Z149" s="780"/>
      <c r="AA149" s="780"/>
      <c r="AB149" s="780"/>
      <c r="AC149" s="780"/>
      <c r="AD149" s="780"/>
      <c r="AE149" s="780"/>
      <c r="AF149" s="780"/>
      <c r="AG149" s="780"/>
      <c r="AH149" s="780"/>
      <c r="AI149" s="780"/>
      <c r="AJ149" s="780"/>
      <c r="AK149" s="780"/>
      <c r="AL149" s="780"/>
      <c r="AM149" s="780"/>
      <c r="AN149" s="780"/>
      <c r="AO149" s="780"/>
      <c r="AP149" s="780"/>
      <c r="AQ149" s="780"/>
      <c r="AR149" s="780"/>
      <c r="AS149" s="780"/>
    </row>
    <row r="150" spans="1:45" ht="16.5" thickTop="1" thickBot="1" x14ac:dyDescent="0.3">
      <c r="A150" s="217" t="s">
        <v>780</v>
      </c>
      <c r="B150" s="794"/>
      <c r="C150" s="794"/>
      <c r="D150" s="794"/>
      <c r="E150" s="794"/>
      <c r="F150" s="794"/>
      <c r="G150" s="794"/>
      <c r="H150" s="794"/>
      <c r="I150" s="794"/>
      <c r="J150" s="794"/>
      <c r="K150" s="794"/>
      <c r="L150" s="794"/>
      <c r="M150" s="794"/>
      <c r="N150" s="794">
        <f>+N151</f>
        <v>3118296180</v>
      </c>
      <c r="O150" s="794">
        <f t="shared" si="104"/>
        <v>3118296179</v>
      </c>
      <c r="P150" s="794">
        <f t="shared" si="104"/>
        <v>66799646</v>
      </c>
      <c r="Q150" s="794">
        <f t="shared" si="104"/>
        <v>0</v>
      </c>
      <c r="R150" s="796">
        <f t="shared" si="105"/>
        <v>3118296180</v>
      </c>
      <c r="S150" s="796">
        <f t="shared" si="105"/>
        <v>3118296179</v>
      </c>
      <c r="T150" s="796">
        <f t="shared" si="70"/>
        <v>66799646</v>
      </c>
      <c r="U150" s="796">
        <f t="shared" si="70"/>
        <v>0</v>
      </c>
      <c r="V150" s="436"/>
      <c r="W150" s="780"/>
      <c r="X150" s="780"/>
      <c r="Y150" s="780"/>
      <c r="Z150" s="780"/>
      <c r="AA150" s="780"/>
      <c r="AB150" s="780"/>
      <c r="AC150" s="780"/>
      <c r="AD150" s="780"/>
      <c r="AE150" s="780"/>
      <c r="AF150" s="780"/>
      <c r="AG150" s="780"/>
      <c r="AH150" s="780"/>
      <c r="AI150" s="780"/>
      <c r="AJ150" s="780"/>
      <c r="AK150" s="780"/>
      <c r="AL150" s="780"/>
      <c r="AM150" s="780"/>
      <c r="AN150" s="780"/>
      <c r="AO150" s="780"/>
      <c r="AP150" s="780"/>
      <c r="AQ150" s="780"/>
      <c r="AR150" s="780"/>
      <c r="AS150" s="780"/>
    </row>
    <row r="151" spans="1:45" ht="16.5" thickTop="1" thickBot="1" x14ac:dyDescent="0.3">
      <c r="A151" s="217" t="s">
        <v>781</v>
      </c>
      <c r="B151" s="794"/>
      <c r="C151" s="794"/>
      <c r="D151" s="794"/>
      <c r="E151" s="794"/>
      <c r="F151" s="794"/>
      <c r="G151" s="794"/>
      <c r="H151" s="794"/>
      <c r="I151" s="794"/>
      <c r="J151" s="794"/>
      <c r="K151" s="794"/>
      <c r="L151" s="794"/>
      <c r="M151" s="794"/>
      <c r="N151" s="794">
        <v>3118296180</v>
      </c>
      <c r="O151" s="794">
        <v>3118296179</v>
      </c>
      <c r="P151" s="794">
        <v>66799646</v>
      </c>
      <c r="Q151" s="794">
        <v>0</v>
      </c>
      <c r="R151" s="796">
        <f t="shared" si="105"/>
        <v>3118296180</v>
      </c>
      <c r="S151" s="796">
        <f t="shared" si="105"/>
        <v>3118296179</v>
      </c>
      <c r="T151" s="796">
        <f t="shared" si="70"/>
        <v>66799646</v>
      </c>
      <c r="U151" s="796">
        <f t="shared" si="70"/>
        <v>0</v>
      </c>
      <c r="V151" s="436"/>
      <c r="W151" s="780"/>
      <c r="X151" s="780"/>
      <c r="Y151" s="780"/>
      <c r="Z151" s="780"/>
      <c r="AA151" s="780"/>
      <c r="AB151" s="780"/>
      <c r="AC151" s="780"/>
      <c r="AD151" s="780"/>
      <c r="AE151" s="780"/>
      <c r="AF151" s="780"/>
      <c r="AG151" s="780"/>
      <c r="AH151" s="780"/>
      <c r="AI151" s="780"/>
      <c r="AJ151" s="780"/>
      <c r="AK151" s="780"/>
      <c r="AL151" s="780"/>
      <c r="AM151" s="780"/>
      <c r="AN151" s="780"/>
      <c r="AO151" s="780"/>
      <c r="AP151" s="780"/>
      <c r="AQ151" s="780"/>
      <c r="AR151" s="780"/>
      <c r="AS151" s="780"/>
    </row>
    <row r="152" spans="1:45" ht="27" thickTop="1" thickBot="1" x14ac:dyDescent="0.3">
      <c r="A152" s="485" t="s">
        <v>386</v>
      </c>
      <c r="B152" s="794">
        <f>+B153</f>
        <v>110000000</v>
      </c>
      <c r="C152" s="794">
        <f t="shared" ref="C152:E152" si="106">+C153</f>
        <v>80216866</v>
      </c>
      <c r="D152" s="794">
        <f t="shared" si="106"/>
        <v>27075733</v>
      </c>
      <c r="E152" s="794">
        <f t="shared" si="106"/>
        <v>21183733</v>
      </c>
      <c r="F152" s="810">
        <f t="shared" ref="F152:M152" si="107">+F154+F237</f>
        <v>0</v>
      </c>
      <c r="G152" s="810">
        <f t="shared" si="107"/>
        <v>0</v>
      </c>
      <c r="H152" s="810">
        <f t="shared" si="107"/>
        <v>0</v>
      </c>
      <c r="I152" s="810">
        <f t="shared" si="107"/>
        <v>0</v>
      </c>
      <c r="J152" s="810">
        <f t="shared" si="107"/>
        <v>0</v>
      </c>
      <c r="K152" s="810">
        <f t="shared" si="107"/>
        <v>0</v>
      </c>
      <c r="L152" s="810">
        <f t="shared" si="107"/>
        <v>0</v>
      </c>
      <c r="M152" s="810">
        <f t="shared" si="107"/>
        <v>0</v>
      </c>
      <c r="N152" s="810">
        <v>0</v>
      </c>
      <c r="O152" s="810">
        <v>0</v>
      </c>
      <c r="P152" s="810">
        <v>0</v>
      </c>
      <c r="Q152" s="810">
        <v>0</v>
      </c>
      <c r="R152" s="813">
        <f>R153</f>
        <v>110000000</v>
      </c>
      <c r="S152" s="813">
        <f t="shared" ref="S152:U152" si="108">S153</f>
        <v>80216866</v>
      </c>
      <c r="T152" s="813">
        <f t="shared" si="108"/>
        <v>27075733</v>
      </c>
      <c r="U152" s="813">
        <f t="shared" si="108"/>
        <v>21183733</v>
      </c>
      <c r="V152" s="436"/>
      <c r="W152" s="780"/>
      <c r="X152" s="780"/>
      <c r="Y152" s="780"/>
      <c r="Z152" s="780"/>
      <c r="AA152" s="780"/>
      <c r="AB152" s="780"/>
      <c r="AC152" s="780"/>
      <c r="AD152" s="780"/>
      <c r="AE152" s="780"/>
      <c r="AF152" s="780"/>
      <c r="AG152" s="780"/>
      <c r="AH152" s="780"/>
      <c r="AI152" s="780"/>
      <c r="AJ152" s="780"/>
      <c r="AK152" s="780"/>
      <c r="AL152" s="780"/>
      <c r="AM152" s="780"/>
      <c r="AN152" s="780"/>
      <c r="AO152" s="780"/>
      <c r="AP152" s="780"/>
      <c r="AQ152" s="780"/>
      <c r="AR152" s="780"/>
      <c r="AS152" s="780"/>
    </row>
    <row r="153" spans="1:45" ht="16.5" thickTop="1" thickBot="1" x14ac:dyDescent="0.3">
      <c r="A153" s="216" t="s">
        <v>387</v>
      </c>
      <c r="B153" s="794">
        <f t="shared" ref="B153:Q153" si="109">+B154+B158+B162</f>
        <v>110000000</v>
      </c>
      <c r="C153" s="794">
        <f t="shared" si="109"/>
        <v>80216866</v>
      </c>
      <c r="D153" s="794">
        <f t="shared" si="109"/>
        <v>27075733</v>
      </c>
      <c r="E153" s="794">
        <f t="shared" si="109"/>
        <v>21183733</v>
      </c>
      <c r="F153" s="794">
        <f t="shared" si="109"/>
        <v>0</v>
      </c>
      <c r="G153" s="794">
        <f t="shared" si="109"/>
        <v>0</v>
      </c>
      <c r="H153" s="794">
        <f t="shared" si="109"/>
        <v>0</v>
      </c>
      <c r="I153" s="794">
        <f t="shared" si="109"/>
        <v>0</v>
      </c>
      <c r="J153" s="794">
        <f t="shared" si="109"/>
        <v>0</v>
      </c>
      <c r="K153" s="794">
        <f t="shared" si="109"/>
        <v>0</v>
      </c>
      <c r="L153" s="794">
        <f t="shared" si="109"/>
        <v>0</v>
      </c>
      <c r="M153" s="794">
        <f t="shared" si="109"/>
        <v>0</v>
      </c>
      <c r="N153" s="794">
        <f t="shared" si="109"/>
        <v>0</v>
      </c>
      <c r="O153" s="794">
        <f t="shared" si="109"/>
        <v>0</v>
      </c>
      <c r="P153" s="794">
        <f t="shared" si="109"/>
        <v>0</v>
      </c>
      <c r="Q153" s="794">
        <f t="shared" si="109"/>
        <v>0</v>
      </c>
      <c r="R153" s="796">
        <f>R154+R158+R162</f>
        <v>110000000</v>
      </c>
      <c r="S153" s="796">
        <f>S154+S158+S162</f>
        <v>80216866</v>
      </c>
      <c r="T153" s="796">
        <f>T154+T158+T162</f>
        <v>27075733</v>
      </c>
      <c r="U153" s="796">
        <f>U154+U158+U162</f>
        <v>21183733</v>
      </c>
      <c r="V153" s="436"/>
      <c r="W153" s="780"/>
      <c r="X153" s="780"/>
      <c r="Y153" s="780"/>
      <c r="Z153" s="780"/>
      <c r="AA153" s="780"/>
      <c r="AB153" s="780"/>
      <c r="AC153" s="780"/>
      <c r="AD153" s="780"/>
      <c r="AE153" s="780"/>
      <c r="AF153" s="780"/>
      <c r="AG153" s="780"/>
      <c r="AH153" s="780"/>
      <c r="AI153" s="780"/>
      <c r="AJ153" s="780"/>
      <c r="AK153" s="780"/>
      <c r="AL153" s="780"/>
      <c r="AM153" s="780"/>
      <c r="AN153" s="780"/>
      <c r="AO153" s="780"/>
      <c r="AP153" s="780"/>
      <c r="AQ153" s="780"/>
      <c r="AR153" s="780"/>
      <c r="AS153" s="780"/>
    </row>
    <row r="154" spans="1:45" ht="27" thickTop="1" thickBot="1" x14ac:dyDescent="0.3">
      <c r="A154" s="498" t="s">
        <v>388</v>
      </c>
      <c r="B154" s="830">
        <f>+B155</f>
        <v>50000000</v>
      </c>
      <c r="C154" s="830">
        <f t="shared" ref="C154:Q156" si="110">+C155</f>
        <v>48848500</v>
      </c>
      <c r="D154" s="830">
        <f t="shared" si="110"/>
        <v>21673633</v>
      </c>
      <c r="E154" s="830">
        <f t="shared" si="110"/>
        <v>17431633</v>
      </c>
      <c r="F154" s="830">
        <f t="shared" si="110"/>
        <v>0</v>
      </c>
      <c r="G154" s="830">
        <f t="shared" si="110"/>
        <v>0</v>
      </c>
      <c r="H154" s="830">
        <f t="shared" si="110"/>
        <v>0</v>
      </c>
      <c r="I154" s="830">
        <f t="shared" si="110"/>
        <v>0</v>
      </c>
      <c r="J154" s="830">
        <f t="shared" si="110"/>
        <v>0</v>
      </c>
      <c r="K154" s="830">
        <f t="shared" si="110"/>
        <v>0</v>
      </c>
      <c r="L154" s="830">
        <f t="shared" si="110"/>
        <v>0</v>
      </c>
      <c r="M154" s="830">
        <f t="shared" si="110"/>
        <v>0</v>
      </c>
      <c r="N154" s="830">
        <f t="shared" si="110"/>
        <v>0</v>
      </c>
      <c r="O154" s="830">
        <f t="shared" si="110"/>
        <v>0</v>
      </c>
      <c r="P154" s="830">
        <f t="shared" si="110"/>
        <v>0</v>
      </c>
      <c r="Q154" s="830">
        <f t="shared" si="110"/>
        <v>0</v>
      </c>
      <c r="R154" s="463">
        <f t="shared" ref="R154:U165" si="111">+B154+F154+J154+N154</f>
        <v>50000000</v>
      </c>
      <c r="S154" s="463">
        <f t="shared" si="111"/>
        <v>48848500</v>
      </c>
      <c r="T154" s="463">
        <f t="shared" si="111"/>
        <v>21673633</v>
      </c>
      <c r="U154" s="463">
        <f t="shared" si="111"/>
        <v>17431633</v>
      </c>
      <c r="V154" s="436"/>
      <c r="W154" s="940">
        <f>R154</f>
        <v>50000000</v>
      </c>
      <c r="X154" s="821"/>
      <c r="Y154" s="821"/>
      <c r="Z154" s="821"/>
      <c r="AA154" s="821"/>
      <c r="AB154" s="821"/>
      <c r="AC154" s="821"/>
      <c r="AD154" s="821"/>
      <c r="AE154" s="821"/>
      <c r="AF154" s="821"/>
      <c r="AG154" s="821"/>
      <c r="AH154" s="821"/>
      <c r="AI154" s="821"/>
      <c r="AJ154" s="821"/>
      <c r="AK154" s="821"/>
      <c r="AL154" s="821"/>
      <c r="AM154" s="821"/>
      <c r="AN154" s="821"/>
      <c r="AO154" s="821"/>
      <c r="AP154" s="821"/>
      <c r="AQ154" s="821"/>
      <c r="AR154" s="821"/>
      <c r="AS154" s="821"/>
    </row>
    <row r="155" spans="1:45" ht="16.5" thickTop="1" thickBot="1" x14ac:dyDescent="0.3">
      <c r="A155" s="499" t="s">
        <v>779</v>
      </c>
      <c r="B155" s="794">
        <f>+B156</f>
        <v>50000000</v>
      </c>
      <c r="C155" s="794">
        <f t="shared" si="110"/>
        <v>48848500</v>
      </c>
      <c r="D155" s="794">
        <f t="shared" si="110"/>
        <v>21673633</v>
      </c>
      <c r="E155" s="794">
        <f t="shared" si="110"/>
        <v>17431633</v>
      </c>
      <c r="F155" s="814">
        <f t="shared" si="110"/>
        <v>0</v>
      </c>
      <c r="G155" s="814">
        <f t="shared" si="110"/>
        <v>0</v>
      </c>
      <c r="H155" s="814">
        <f t="shared" si="110"/>
        <v>0</v>
      </c>
      <c r="I155" s="814">
        <f t="shared" si="110"/>
        <v>0</v>
      </c>
      <c r="J155" s="814">
        <f t="shared" si="110"/>
        <v>0</v>
      </c>
      <c r="K155" s="814">
        <f t="shared" si="110"/>
        <v>0</v>
      </c>
      <c r="L155" s="814">
        <f t="shared" si="110"/>
        <v>0</v>
      </c>
      <c r="M155" s="814">
        <f t="shared" si="110"/>
        <v>0</v>
      </c>
      <c r="N155" s="814">
        <f t="shared" si="110"/>
        <v>0</v>
      </c>
      <c r="O155" s="814">
        <f t="shared" si="110"/>
        <v>0</v>
      </c>
      <c r="P155" s="814">
        <f t="shared" si="110"/>
        <v>0</v>
      </c>
      <c r="Q155" s="814">
        <f t="shared" si="110"/>
        <v>0</v>
      </c>
      <c r="R155" s="815">
        <f t="shared" si="111"/>
        <v>50000000</v>
      </c>
      <c r="S155" s="815">
        <f t="shared" si="111"/>
        <v>48848500</v>
      </c>
      <c r="T155" s="815">
        <f t="shared" si="111"/>
        <v>21673633</v>
      </c>
      <c r="U155" s="494">
        <f t="shared" si="111"/>
        <v>17431633</v>
      </c>
      <c r="V155" s="436"/>
      <c r="W155" s="780"/>
      <c r="X155" s="780"/>
      <c r="Y155" s="780"/>
      <c r="Z155" s="780"/>
      <c r="AA155" s="780"/>
      <c r="AB155" s="780"/>
      <c r="AC155" s="780"/>
      <c r="AD155" s="780"/>
      <c r="AE155" s="780"/>
      <c r="AF155" s="780"/>
      <c r="AG155" s="780"/>
      <c r="AH155" s="780"/>
      <c r="AI155" s="780"/>
      <c r="AJ155" s="780"/>
      <c r="AK155" s="780"/>
      <c r="AL155" s="780"/>
      <c r="AM155" s="780"/>
      <c r="AN155" s="780"/>
      <c r="AO155" s="780"/>
      <c r="AP155" s="780"/>
      <c r="AQ155" s="780"/>
      <c r="AR155" s="780"/>
      <c r="AS155" s="780"/>
    </row>
    <row r="156" spans="1:45" ht="16.5" thickTop="1" thickBot="1" x14ac:dyDescent="0.3">
      <c r="A156" s="217" t="s">
        <v>780</v>
      </c>
      <c r="B156" s="794">
        <f>+B157</f>
        <v>50000000</v>
      </c>
      <c r="C156" s="794">
        <f t="shared" si="110"/>
        <v>48848500</v>
      </c>
      <c r="D156" s="794">
        <f t="shared" si="110"/>
        <v>21673633</v>
      </c>
      <c r="E156" s="794">
        <f t="shared" si="110"/>
        <v>17431633</v>
      </c>
      <c r="F156" s="794">
        <f t="shared" si="110"/>
        <v>0</v>
      </c>
      <c r="G156" s="794">
        <f t="shared" si="110"/>
        <v>0</v>
      </c>
      <c r="H156" s="794">
        <f t="shared" si="110"/>
        <v>0</v>
      </c>
      <c r="I156" s="794">
        <f t="shared" si="110"/>
        <v>0</v>
      </c>
      <c r="J156" s="794">
        <f t="shared" si="110"/>
        <v>0</v>
      </c>
      <c r="K156" s="794">
        <f t="shared" si="110"/>
        <v>0</v>
      </c>
      <c r="L156" s="794">
        <f t="shared" si="110"/>
        <v>0</v>
      </c>
      <c r="M156" s="794">
        <f t="shared" si="110"/>
        <v>0</v>
      </c>
      <c r="N156" s="794">
        <f t="shared" si="110"/>
        <v>0</v>
      </c>
      <c r="O156" s="794">
        <f t="shared" si="110"/>
        <v>0</v>
      </c>
      <c r="P156" s="794">
        <f t="shared" si="110"/>
        <v>0</v>
      </c>
      <c r="Q156" s="794">
        <f t="shared" si="110"/>
        <v>0</v>
      </c>
      <c r="R156" s="796">
        <f t="shared" si="111"/>
        <v>50000000</v>
      </c>
      <c r="S156" s="796">
        <f t="shared" si="111"/>
        <v>48848500</v>
      </c>
      <c r="T156" s="796">
        <f t="shared" si="111"/>
        <v>21673633</v>
      </c>
      <c r="U156" s="463">
        <f t="shared" si="111"/>
        <v>17431633</v>
      </c>
      <c r="V156" s="436"/>
      <c r="W156" s="780"/>
      <c r="X156" s="780"/>
      <c r="Y156" s="780"/>
      <c r="Z156" s="780"/>
      <c r="AA156" s="780"/>
      <c r="AB156" s="780"/>
      <c r="AC156" s="780"/>
      <c r="AD156" s="780"/>
      <c r="AE156" s="780"/>
      <c r="AF156" s="780"/>
      <c r="AG156" s="780"/>
      <c r="AH156" s="780"/>
      <c r="AI156" s="780"/>
      <c r="AJ156" s="780"/>
      <c r="AK156" s="780"/>
      <c r="AL156" s="780"/>
      <c r="AM156" s="780"/>
      <c r="AN156" s="780"/>
      <c r="AO156" s="780"/>
      <c r="AP156" s="780"/>
      <c r="AQ156" s="780"/>
      <c r="AR156" s="780"/>
      <c r="AS156" s="780"/>
    </row>
    <row r="157" spans="1:45" ht="16.5" thickTop="1" thickBot="1" x14ac:dyDescent="0.3">
      <c r="A157" s="217" t="s">
        <v>781</v>
      </c>
      <c r="B157" s="794">
        <v>50000000</v>
      </c>
      <c r="C157" s="794">
        <v>48848500</v>
      </c>
      <c r="D157" s="794">
        <v>21673633</v>
      </c>
      <c r="E157" s="794">
        <v>17431633</v>
      </c>
      <c r="F157" s="794"/>
      <c r="G157" s="794"/>
      <c r="H157" s="794"/>
      <c r="I157" s="794"/>
      <c r="J157" s="794"/>
      <c r="K157" s="794"/>
      <c r="L157" s="794"/>
      <c r="M157" s="794"/>
      <c r="N157" s="794"/>
      <c r="O157" s="794"/>
      <c r="P157" s="794"/>
      <c r="Q157" s="794"/>
      <c r="R157" s="796">
        <f t="shared" si="111"/>
        <v>50000000</v>
      </c>
      <c r="S157" s="796">
        <f t="shared" si="111"/>
        <v>48848500</v>
      </c>
      <c r="T157" s="796">
        <f t="shared" si="111"/>
        <v>21673633</v>
      </c>
      <c r="U157" s="463">
        <f t="shared" si="111"/>
        <v>17431633</v>
      </c>
      <c r="V157" s="436"/>
      <c r="W157" s="780"/>
      <c r="X157" s="780"/>
      <c r="Y157" s="780"/>
      <c r="Z157" s="780"/>
      <c r="AA157" s="780"/>
      <c r="AB157" s="780"/>
      <c r="AC157" s="780"/>
      <c r="AD157" s="780"/>
      <c r="AE157" s="780"/>
      <c r="AF157" s="780"/>
      <c r="AG157" s="780"/>
      <c r="AH157" s="780"/>
      <c r="AI157" s="780"/>
      <c r="AJ157" s="780"/>
      <c r="AK157" s="780"/>
      <c r="AL157" s="780"/>
      <c r="AM157" s="780"/>
      <c r="AN157" s="780"/>
      <c r="AO157" s="780"/>
      <c r="AP157" s="780"/>
      <c r="AQ157" s="780"/>
      <c r="AR157" s="780"/>
      <c r="AS157" s="780"/>
    </row>
    <row r="158" spans="1:45" ht="27" thickTop="1" thickBot="1" x14ac:dyDescent="0.3">
      <c r="A158" s="498" t="s">
        <v>398</v>
      </c>
      <c r="B158" s="831">
        <f>+B159</f>
        <v>30000000</v>
      </c>
      <c r="C158" s="831">
        <f t="shared" ref="C158:Q164" si="112">+C159</f>
        <v>29311700</v>
      </c>
      <c r="D158" s="831">
        <f t="shared" si="112"/>
        <v>5402100</v>
      </c>
      <c r="E158" s="831">
        <f t="shared" si="112"/>
        <v>3752100</v>
      </c>
      <c r="F158" s="831">
        <f t="shared" si="112"/>
        <v>0</v>
      </c>
      <c r="G158" s="831">
        <f t="shared" si="112"/>
        <v>0</v>
      </c>
      <c r="H158" s="831">
        <f t="shared" si="112"/>
        <v>0</v>
      </c>
      <c r="I158" s="831">
        <f t="shared" si="112"/>
        <v>0</v>
      </c>
      <c r="J158" s="831">
        <f t="shared" si="112"/>
        <v>0</v>
      </c>
      <c r="K158" s="831">
        <f t="shared" si="112"/>
        <v>0</v>
      </c>
      <c r="L158" s="831">
        <f t="shared" si="112"/>
        <v>0</v>
      </c>
      <c r="M158" s="831">
        <f t="shared" si="112"/>
        <v>0</v>
      </c>
      <c r="N158" s="831">
        <f t="shared" si="112"/>
        <v>0</v>
      </c>
      <c r="O158" s="831">
        <f t="shared" si="112"/>
        <v>0</v>
      </c>
      <c r="P158" s="831">
        <f t="shared" si="112"/>
        <v>0</v>
      </c>
      <c r="Q158" s="831">
        <f t="shared" si="112"/>
        <v>0</v>
      </c>
      <c r="R158" s="832">
        <f t="shared" si="111"/>
        <v>30000000</v>
      </c>
      <c r="S158" s="832">
        <f t="shared" si="111"/>
        <v>29311700</v>
      </c>
      <c r="T158" s="832">
        <f t="shared" si="111"/>
        <v>5402100</v>
      </c>
      <c r="U158" s="832">
        <f t="shared" si="111"/>
        <v>3752100</v>
      </c>
      <c r="V158" s="436"/>
      <c r="W158" s="780"/>
      <c r="X158" s="780"/>
      <c r="Y158" s="780"/>
      <c r="Z158" s="780"/>
      <c r="AA158" s="780"/>
      <c r="AB158" s="780"/>
      <c r="AC158" s="780"/>
      <c r="AD158" s="780"/>
      <c r="AE158" s="780"/>
      <c r="AF158" s="780"/>
      <c r="AG158" s="780"/>
      <c r="AH158" s="780"/>
      <c r="AI158" s="780"/>
      <c r="AJ158" s="780"/>
      <c r="AK158" s="780"/>
      <c r="AL158" s="780"/>
      <c r="AM158" s="780"/>
      <c r="AN158" s="780"/>
      <c r="AO158" s="780"/>
      <c r="AP158" s="780"/>
      <c r="AQ158" s="780"/>
      <c r="AR158" s="780"/>
      <c r="AS158" s="780"/>
    </row>
    <row r="159" spans="1:45" ht="16.5" thickTop="1" thickBot="1" x14ac:dyDescent="0.3">
      <c r="A159" s="499" t="s">
        <v>779</v>
      </c>
      <c r="B159" s="794">
        <f>+B160</f>
        <v>30000000</v>
      </c>
      <c r="C159" s="814">
        <f t="shared" si="112"/>
        <v>29311700</v>
      </c>
      <c r="D159" s="794">
        <f t="shared" si="112"/>
        <v>5402100</v>
      </c>
      <c r="E159" s="794">
        <f t="shared" si="112"/>
        <v>3752100</v>
      </c>
      <c r="F159" s="814">
        <f t="shared" si="112"/>
        <v>0</v>
      </c>
      <c r="G159" s="814">
        <f t="shared" si="112"/>
        <v>0</v>
      </c>
      <c r="H159" s="814">
        <f t="shared" si="112"/>
        <v>0</v>
      </c>
      <c r="I159" s="814">
        <f t="shared" si="112"/>
        <v>0</v>
      </c>
      <c r="J159" s="814">
        <f t="shared" si="112"/>
        <v>0</v>
      </c>
      <c r="K159" s="814">
        <f t="shared" si="112"/>
        <v>0</v>
      </c>
      <c r="L159" s="814">
        <f t="shared" si="112"/>
        <v>0</v>
      </c>
      <c r="M159" s="814">
        <f t="shared" si="112"/>
        <v>0</v>
      </c>
      <c r="N159" s="814">
        <f t="shared" si="112"/>
        <v>0</v>
      </c>
      <c r="O159" s="814">
        <f t="shared" si="112"/>
        <v>0</v>
      </c>
      <c r="P159" s="814">
        <f t="shared" si="112"/>
        <v>0</v>
      </c>
      <c r="Q159" s="814">
        <f t="shared" si="112"/>
        <v>0</v>
      </c>
      <c r="R159" s="815">
        <f t="shared" si="111"/>
        <v>30000000</v>
      </c>
      <c r="S159" s="815">
        <f t="shared" si="111"/>
        <v>29311700</v>
      </c>
      <c r="T159" s="815">
        <f t="shared" si="111"/>
        <v>5402100</v>
      </c>
      <c r="U159" s="494">
        <f t="shared" si="111"/>
        <v>3752100</v>
      </c>
      <c r="V159" s="436"/>
      <c r="W159" s="786">
        <f>R159</f>
        <v>30000000</v>
      </c>
      <c r="X159" s="780"/>
      <c r="Y159" s="780"/>
      <c r="Z159" s="780"/>
      <c r="AA159" s="780"/>
      <c r="AB159" s="780"/>
      <c r="AC159" s="780"/>
      <c r="AD159" s="780"/>
      <c r="AE159" s="780"/>
      <c r="AF159" s="780"/>
      <c r="AG159" s="780"/>
      <c r="AH159" s="780"/>
      <c r="AI159" s="780"/>
      <c r="AJ159" s="780"/>
      <c r="AK159" s="780"/>
      <c r="AL159" s="780"/>
      <c r="AM159" s="780"/>
      <c r="AN159" s="780"/>
      <c r="AO159" s="780"/>
      <c r="AP159" s="780"/>
      <c r="AQ159" s="780"/>
      <c r="AR159" s="780"/>
      <c r="AS159" s="780"/>
    </row>
    <row r="160" spans="1:45" ht="16.5" thickTop="1" thickBot="1" x14ac:dyDescent="0.3">
      <c r="A160" s="217" t="s">
        <v>780</v>
      </c>
      <c r="B160" s="794">
        <f>+B161</f>
        <v>30000000</v>
      </c>
      <c r="C160" s="794">
        <f t="shared" si="112"/>
        <v>29311700</v>
      </c>
      <c r="D160" s="794">
        <f t="shared" si="112"/>
        <v>5402100</v>
      </c>
      <c r="E160" s="794">
        <f t="shared" si="112"/>
        <v>3752100</v>
      </c>
      <c r="F160" s="794">
        <f t="shared" si="112"/>
        <v>0</v>
      </c>
      <c r="G160" s="794">
        <f t="shared" si="112"/>
        <v>0</v>
      </c>
      <c r="H160" s="794">
        <f t="shared" si="112"/>
        <v>0</v>
      </c>
      <c r="I160" s="794">
        <f t="shared" si="112"/>
        <v>0</v>
      </c>
      <c r="J160" s="794">
        <f t="shared" si="112"/>
        <v>0</v>
      </c>
      <c r="K160" s="794">
        <f t="shared" si="112"/>
        <v>0</v>
      </c>
      <c r="L160" s="794">
        <f t="shared" si="112"/>
        <v>0</v>
      </c>
      <c r="M160" s="794">
        <f t="shared" si="112"/>
        <v>0</v>
      </c>
      <c r="N160" s="794">
        <f t="shared" si="112"/>
        <v>0</v>
      </c>
      <c r="O160" s="794">
        <f t="shared" si="112"/>
        <v>0</v>
      </c>
      <c r="P160" s="794">
        <f t="shared" si="112"/>
        <v>0</v>
      </c>
      <c r="Q160" s="794">
        <f t="shared" si="112"/>
        <v>0</v>
      </c>
      <c r="R160" s="796">
        <f t="shared" si="111"/>
        <v>30000000</v>
      </c>
      <c r="S160" s="796">
        <f t="shared" si="111"/>
        <v>29311700</v>
      </c>
      <c r="T160" s="796">
        <f t="shared" si="111"/>
        <v>5402100</v>
      </c>
      <c r="U160" s="463">
        <f t="shared" si="111"/>
        <v>3752100</v>
      </c>
      <c r="V160" s="436"/>
      <c r="W160" s="780"/>
      <c r="X160" s="780"/>
      <c r="Y160" s="780"/>
      <c r="Z160" s="780"/>
      <c r="AA160" s="780"/>
      <c r="AB160" s="780"/>
      <c r="AC160" s="780"/>
      <c r="AD160" s="780"/>
      <c r="AE160" s="780"/>
      <c r="AF160" s="780"/>
      <c r="AG160" s="780"/>
      <c r="AH160" s="780"/>
      <c r="AI160" s="780"/>
      <c r="AJ160" s="780"/>
      <c r="AK160" s="780"/>
      <c r="AL160" s="780"/>
      <c r="AM160" s="780"/>
      <c r="AN160" s="780"/>
      <c r="AO160" s="780"/>
      <c r="AP160" s="780"/>
      <c r="AQ160" s="780"/>
      <c r="AR160" s="780"/>
      <c r="AS160" s="780"/>
    </row>
    <row r="161" spans="1:45" ht="16.5" thickTop="1" thickBot="1" x14ac:dyDescent="0.3">
      <c r="A161" s="217" t="s">
        <v>781</v>
      </c>
      <c r="B161" s="794">
        <v>30000000</v>
      </c>
      <c r="C161" s="794">
        <v>29311700</v>
      </c>
      <c r="D161" s="794">
        <v>5402100</v>
      </c>
      <c r="E161" s="794">
        <v>3752100</v>
      </c>
      <c r="F161" s="794"/>
      <c r="G161" s="794"/>
      <c r="H161" s="794"/>
      <c r="I161" s="794"/>
      <c r="J161" s="794"/>
      <c r="K161" s="794"/>
      <c r="L161" s="794"/>
      <c r="M161" s="794"/>
      <c r="N161" s="794"/>
      <c r="O161" s="794"/>
      <c r="P161" s="794"/>
      <c r="Q161" s="794"/>
      <c r="R161" s="796">
        <f t="shared" si="111"/>
        <v>30000000</v>
      </c>
      <c r="S161" s="796">
        <f t="shared" si="111"/>
        <v>29311700</v>
      </c>
      <c r="T161" s="796">
        <f t="shared" si="111"/>
        <v>5402100</v>
      </c>
      <c r="U161" s="463">
        <f t="shared" si="111"/>
        <v>3752100</v>
      </c>
      <c r="V161" s="436"/>
      <c r="W161" s="780"/>
      <c r="X161" s="780"/>
      <c r="Y161" s="780"/>
      <c r="Z161" s="780"/>
      <c r="AA161" s="780"/>
      <c r="AB161" s="780"/>
      <c r="AC161" s="780"/>
      <c r="AD161" s="780"/>
      <c r="AE161" s="780"/>
      <c r="AF161" s="780"/>
      <c r="AG161" s="780"/>
      <c r="AH161" s="780"/>
      <c r="AI161" s="780"/>
      <c r="AJ161" s="780"/>
      <c r="AK161" s="780"/>
      <c r="AL161" s="780"/>
      <c r="AM161" s="780"/>
      <c r="AN161" s="780"/>
      <c r="AO161" s="780"/>
      <c r="AP161" s="780"/>
      <c r="AQ161" s="780"/>
      <c r="AR161" s="780"/>
      <c r="AS161" s="780"/>
    </row>
    <row r="162" spans="1:45" ht="27" thickTop="1" thickBot="1" x14ac:dyDescent="0.3">
      <c r="A162" s="498" t="s">
        <v>408</v>
      </c>
      <c r="B162" s="831">
        <f>+B163</f>
        <v>30000000</v>
      </c>
      <c r="C162" s="831">
        <f t="shared" ref="C162:E162" si="113">+C163</f>
        <v>2056666</v>
      </c>
      <c r="D162" s="831">
        <f t="shared" si="113"/>
        <v>0</v>
      </c>
      <c r="E162" s="831">
        <f t="shared" si="113"/>
        <v>0</v>
      </c>
      <c r="F162" s="831">
        <f t="shared" si="112"/>
        <v>0</v>
      </c>
      <c r="G162" s="831">
        <f t="shared" si="112"/>
        <v>0</v>
      </c>
      <c r="H162" s="831">
        <f t="shared" si="112"/>
        <v>0</v>
      </c>
      <c r="I162" s="831">
        <f t="shared" si="112"/>
        <v>0</v>
      </c>
      <c r="J162" s="831">
        <f t="shared" si="112"/>
        <v>0</v>
      </c>
      <c r="K162" s="831">
        <f t="shared" si="112"/>
        <v>0</v>
      </c>
      <c r="L162" s="831">
        <f t="shared" si="112"/>
        <v>0</v>
      </c>
      <c r="M162" s="831">
        <f t="shared" si="112"/>
        <v>0</v>
      </c>
      <c r="N162" s="831">
        <f t="shared" si="112"/>
        <v>0</v>
      </c>
      <c r="O162" s="831">
        <f t="shared" si="112"/>
        <v>0</v>
      </c>
      <c r="P162" s="831">
        <f t="shared" si="112"/>
        <v>0</v>
      </c>
      <c r="Q162" s="831">
        <f t="shared" si="112"/>
        <v>0</v>
      </c>
      <c r="R162" s="832">
        <f t="shared" si="111"/>
        <v>30000000</v>
      </c>
      <c r="S162" s="832">
        <f t="shared" si="111"/>
        <v>2056666</v>
      </c>
      <c r="T162" s="832">
        <f t="shared" si="111"/>
        <v>0</v>
      </c>
      <c r="U162" s="832">
        <f t="shared" si="111"/>
        <v>0</v>
      </c>
      <c r="V162" s="436"/>
      <c r="W162" s="780"/>
      <c r="X162" s="780"/>
      <c r="Y162" s="780"/>
      <c r="Z162" s="780"/>
      <c r="AA162" s="780"/>
      <c r="AB162" s="780"/>
      <c r="AC162" s="780"/>
      <c r="AD162" s="780"/>
      <c r="AE162" s="780"/>
      <c r="AF162" s="780"/>
      <c r="AG162" s="780"/>
      <c r="AH162" s="780"/>
      <c r="AI162" s="780"/>
      <c r="AJ162" s="780"/>
      <c r="AK162" s="780"/>
      <c r="AL162" s="780"/>
      <c r="AM162" s="780"/>
      <c r="AN162" s="780"/>
      <c r="AO162" s="780"/>
      <c r="AP162" s="780"/>
      <c r="AQ162" s="780"/>
      <c r="AR162" s="780"/>
      <c r="AS162" s="780"/>
    </row>
    <row r="163" spans="1:45" ht="16.5" thickTop="1" thickBot="1" x14ac:dyDescent="0.3">
      <c r="A163" s="499" t="s">
        <v>779</v>
      </c>
      <c r="B163" s="794">
        <f>+B164</f>
        <v>30000000</v>
      </c>
      <c r="C163" s="794">
        <f t="shared" si="112"/>
        <v>2056666</v>
      </c>
      <c r="D163" s="794">
        <f t="shared" si="112"/>
        <v>0</v>
      </c>
      <c r="E163" s="794">
        <f t="shared" si="112"/>
        <v>0</v>
      </c>
      <c r="F163" s="814">
        <f t="shared" si="112"/>
        <v>0</v>
      </c>
      <c r="G163" s="814">
        <f t="shared" si="112"/>
        <v>0</v>
      </c>
      <c r="H163" s="814">
        <f t="shared" si="112"/>
        <v>0</v>
      </c>
      <c r="I163" s="814">
        <f t="shared" si="112"/>
        <v>0</v>
      </c>
      <c r="J163" s="814">
        <f t="shared" si="112"/>
        <v>0</v>
      </c>
      <c r="K163" s="814">
        <f t="shared" si="112"/>
        <v>0</v>
      </c>
      <c r="L163" s="814">
        <f t="shared" si="112"/>
        <v>0</v>
      </c>
      <c r="M163" s="814">
        <f t="shared" si="112"/>
        <v>0</v>
      </c>
      <c r="N163" s="814">
        <f t="shared" si="112"/>
        <v>0</v>
      </c>
      <c r="O163" s="814">
        <f t="shared" si="112"/>
        <v>0</v>
      </c>
      <c r="P163" s="814">
        <f t="shared" si="112"/>
        <v>0</v>
      </c>
      <c r="Q163" s="814">
        <f t="shared" si="112"/>
        <v>0</v>
      </c>
      <c r="R163" s="815">
        <f t="shared" si="111"/>
        <v>30000000</v>
      </c>
      <c r="S163" s="815">
        <f t="shared" si="111"/>
        <v>2056666</v>
      </c>
      <c r="T163" s="815">
        <f t="shared" si="111"/>
        <v>0</v>
      </c>
      <c r="U163" s="494">
        <f t="shared" si="111"/>
        <v>0</v>
      </c>
      <c r="V163" s="436"/>
      <c r="W163" s="786">
        <f>R163</f>
        <v>30000000</v>
      </c>
      <c r="X163" s="780"/>
      <c r="Y163" s="780"/>
      <c r="Z163" s="780"/>
      <c r="AA163" s="780"/>
      <c r="AB163" s="780"/>
      <c r="AC163" s="780"/>
      <c r="AD163" s="780"/>
      <c r="AE163" s="780"/>
      <c r="AF163" s="780"/>
      <c r="AG163" s="780"/>
      <c r="AH163" s="780"/>
      <c r="AI163" s="780"/>
      <c r="AJ163" s="780"/>
      <c r="AK163" s="780"/>
      <c r="AL163" s="780"/>
      <c r="AM163" s="780"/>
      <c r="AN163" s="780"/>
      <c r="AO163" s="780"/>
      <c r="AP163" s="780"/>
      <c r="AQ163" s="780"/>
      <c r="AR163" s="780"/>
      <c r="AS163" s="780"/>
    </row>
    <row r="164" spans="1:45" ht="16.5" thickTop="1" thickBot="1" x14ac:dyDescent="0.3">
      <c r="A164" s="217" t="s">
        <v>780</v>
      </c>
      <c r="B164" s="794">
        <f>+B165</f>
        <v>30000000</v>
      </c>
      <c r="C164" s="794">
        <f t="shared" si="112"/>
        <v>2056666</v>
      </c>
      <c r="D164" s="794">
        <f t="shared" si="112"/>
        <v>0</v>
      </c>
      <c r="E164" s="794">
        <f t="shared" si="112"/>
        <v>0</v>
      </c>
      <c r="F164" s="794">
        <f t="shared" si="112"/>
        <v>0</v>
      </c>
      <c r="G164" s="794">
        <f t="shared" si="112"/>
        <v>0</v>
      </c>
      <c r="H164" s="794">
        <f t="shared" si="112"/>
        <v>0</v>
      </c>
      <c r="I164" s="794">
        <f t="shared" si="112"/>
        <v>0</v>
      </c>
      <c r="J164" s="794">
        <f t="shared" si="112"/>
        <v>0</v>
      </c>
      <c r="K164" s="794">
        <f t="shared" si="112"/>
        <v>0</v>
      </c>
      <c r="L164" s="794">
        <f t="shared" si="112"/>
        <v>0</v>
      </c>
      <c r="M164" s="794">
        <f t="shared" si="112"/>
        <v>0</v>
      </c>
      <c r="N164" s="794">
        <f t="shared" si="112"/>
        <v>0</v>
      </c>
      <c r="O164" s="794">
        <f t="shared" si="112"/>
        <v>0</v>
      </c>
      <c r="P164" s="794">
        <f t="shared" si="112"/>
        <v>0</v>
      </c>
      <c r="Q164" s="794">
        <f t="shared" si="112"/>
        <v>0</v>
      </c>
      <c r="R164" s="796">
        <f t="shared" si="111"/>
        <v>30000000</v>
      </c>
      <c r="S164" s="796">
        <f t="shared" si="111"/>
        <v>2056666</v>
      </c>
      <c r="T164" s="796">
        <f t="shared" si="111"/>
        <v>0</v>
      </c>
      <c r="U164" s="463">
        <f t="shared" si="111"/>
        <v>0</v>
      </c>
      <c r="V164" s="436"/>
      <c r="W164" s="780"/>
      <c r="X164" s="780"/>
      <c r="Y164" s="780"/>
      <c r="Z164" s="780"/>
      <c r="AA164" s="780"/>
      <c r="AB164" s="780"/>
      <c r="AC164" s="780"/>
      <c r="AD164" s="780"/>
      <c r="AE164" s="780"/>
      <c r="AF164" s="780"/>
      <c r="AG164" s="780"/>
      <c r="AH164" s="780"/>
      <c r="AI164" s="780"/>
      <c r="AJ164" s="780"/>
      <c r="AK164" s="780"/>
      <c r="AL164" s="780"/>
      <c r="AM164" s="780"/>
      <c r="AN164" s="780"/>
      <c r="AO164" s="780"/>
      <c r="AP164" s="780"/>
      <c r="AQ164" s="780"/>
      <c r="AR164" s="780"/>
      <c r="AS164" s="780"/>
    </row>
    <row r="165" spans="1:45" ht="16.5" thickTop="1" thickBot="1" x14ac:dyDescent="0.3">
      <c r="A165" s="217" t="s">
        <v>781</v>
      </c>
      <c r="B165" s="794">
        <v>30000000</v>
      </c>
      <c r="C165" s="794">
        <v>2056666</v>
      </c>
      <c r="D165" s="794">
        <v>0</v>
      </c>
      <c r="E165" s="794">
        <v>0</v>
      </c>
      <c r="F165" s="794"/>
      <c r="G165" s="794"/>
      <c r="H165" s="794"/>
      <c r="I165" s="794"/>
      <c r="J165" s="794"/>
      <c r="K165" s="794"/>
      <c r="L165" s="794"/>
      <c r="M165" s="794"/>
      <c r="N165" s="794"/>
      <c r="O165" s="794"/>
      <c r="P165" s="794"/>
      <c r="Q165" s="794"/>
      <c r="R165" s="796">
        <f t="shared" si="111"/>
        <v>30000000</v>
      </c>
      <c r="S165" s="796">
        <f t="shared" si="111"/>
        <v>2056666</v>
      </c>
      <c r="T165" s="796">
        <f t="shared" si="111"/>
        <v>0</v>
      </c>
      <c r="U165" s="463">
        <f t="shared" si="111"/>
        <v>0</v>
      </c>
      <c r="V165" s="436"/>
      <c r="W165" s="780"/>
      <c r="X165" s="780"/>
      <c r="Y165" s="780"/>
      <c r="Z165" s="780"/>
      <c r="AA165" s="780"/>
      <c r="AB165" s="780"/>
      <c r="AC165" s="780"/>
      <c r="AD165" s="780"/>
      <c r="AE165" s="780"/>
      <c r="AF165" s="780"/>
      <c r="AG165" s="780"/>
      <c r="AH165" s="780"/>
      <c r="AI165" s="780"/>
      <c r="AJ165" s="780"/>
      <c r="AK165" s="780"/>
      <c r="AL165" s="780"/>
      <c r="AM165" s="780"/>
      <c r="AN165" s="780"/>
      <c r="AO165" s="780"/>
      <c r="AP165" s="780"/>
      <c r="AQ165" s="780"/>
      <c r="AR165" s="780"/>
      <c r="AS165" s="780"/>
    </row>
    <row r="166" spans="1:45" ht="27" thickTop="1" thickBot="1" x14ac:dyDescent="0.3">
      <c r="A166" s="485" t="s">
        <v>415</v>
      </c>
      <c r="B166" s="794">
        <f>+B167</f>
        <v>400000000</v>
      </c>
      <c r="C166" s="794">
        <f t="shared" ref="C166:E166" si="114">+C167</f>
        <v>164498434</v>
      </c>
      <c r="D166" s="794">
        <f t="shared" si="114"/>
        <v>54733766</v>
      </c>
      <c r="E166" s="794">
        <f t="shared" si="114"/>
        <v>39785566</v>
      </c>
      <c r="F166" s="810">
        <f t="shared" ref="F166:Q166" si="115">+F168+F260</f>
        <v>0</v>
      </c>
      <c r="G166" s="810">
        <f t="shared" si="115"/>
        <v>0</v>
      </c>
      <c r="H166" s="810">
        <f t="shared" si="115"/>
        <v>0</v>
      </c>
      <c r="I166" s="810">
        <f t="shared" si="115"/>
        <v>0</v>
      </c>
      <c r="J166" s="810">
        <f t="shared" si="115"/>
        <v>0</v>
      </c>
      <c r="K166" s="810">
        <f t="shared" si="115"/>
        <v>0</v>
      </c>
      <c r="L166" s="810">
        <f t="shared" si="115"/>
        <v>0</v>
      </c>
      <c r="M166" s="810">
        <f t="shared" si="115"/>
        <v>0</v>
      </c>
      <c r="N166" s="810">
        <f t="shared" si="115"/>
        <v>0</v>
      </c>
      <c r="O166" s="810">
        <f t="shared" si="115"/>
        <v>0</v>
      </c>
      <c r="P166" s="810">
        <f t="shared" si="115"/>
        <v>0</v>
      </c>
      <c r="Q166" s="810">
        <f t="shared" si="115"/>
        <v>0</v>
      </c>
      <c r="R166" s="813">
        <f>R167</f>
        <v>400000000</v>
      </c>
      <c r="S166" s="813">
        <f t="shared" ref="S166:U166" si="116">S167</f>
        <v>164498434</v>
      </c>
      <c r="T166" s="813">
        <f t="shared" si="116"/>
        <v>54733766</v>
      </c>
      <c r="U166" s="813">
        <f t="shared" si="116"/>
        <v>39785566</v>
      </c>
      <c r="V166" s="436"/>
      <c r="W166" s="786"/>
      <c r="X166" s="780"/>
      <c r="Y166" s="780"/>
      <c r="Z166" s="780"/>
      <c r="AA166" s="780"/>
      <c r="AB166" s="780"/>
      <c r="AC166" s="780"/>
      <c r="AD166" s="780"/>
      <c r="AE166" s="780"/>
      <c r="AF166" s="780"/>
      <c r="AG166" s="780"/>
      <c r="AH166" s="780"/>
      <c r="AI166" s="780"/>
      <c r="AJ166" s="780"/>
      <c r="AK166" s="780"/>
      <c r="AL166" s="780"/>
      <c r="AM166" s="780"/>
      <c r="AN166" s="780"/>
      <c r="AO166" s="780"/>
      <c r="AP166" s="780"/>
      <c r="AQ166" s="780"/>
      <c r="AR166" s="780"/>
      <c r="AS166" s="780"/>
    </row>
    <row r="167" spans="1:45" ht="16.5" thickTop="1" thickBot="1" x14ac:dyDescent="0.3">
      <c r="A167" s="513" t="s">
        <v>416</v>
      </c>
      <c r="B167" s="794">
        <f>+B168+B172+B176</f>
        <v>400000000</v>
      </c>
      <c r="C167" s="794">
        <f t="shared" ref="C167:Q167" si="117">+C168+C172+C176</f>
        <v>164498434</v>
      </c>
      <c r="D167" s="794">
        <f t="shared" si="117"/>
        <v>54733766</v>
      </c>
      <c r="E167" s="794">
        <f t="shared" si="117"/>
        <v>39785566</v>
      </c>
      <c r="F167" s="794">
        <f t="shared" si="117"/>
        <v>0</v>
      </c>
      <c r="G167" s="794">
        <f t="shared" si="117"/>
        <v>0</v>
      </c>
      <c r="H167" s="794">
        <f t="shared" si="117"/>
        <v>0</v>
      </c>
      <c r="I167" s="794">
        <f t="shared" si="117"/>
        <v>0</v>
      </c>
      <c r="J167" s="794">
        <f t="shared" si="117"/>
        <v>0</v>
      </c>
      <c r="K167" s="794">
        <f t="shared" si="117"/>
        <v>0</v>
      </c>
      <c r="L167" s="794">
        <f t="shared" si="117"/>
        <v>0</v>
      </c>
      <c r="M167" s="794">
        <f t="shared" si="117"/>
        <v>0</v>
      </c>
      <c r="N167" s="794">
        <f t="shared" si="117"/>
        <v>0</v>
      </c>
      <c r="O167" s="794">
        <f t="shared" si="117"/>
        <v>0</v>
      </c>
      <c r="P167" s="794">
        <f t="shared" si="117"/>
        <v>0</v>
      </c>
      <c r="Q167" s="794">
        <f t="shared" si="117"/>
        <v>0</v>
      </c>
      <c r="R167" s="796">
        <f>R168+R172+R176</f>
        <v>400000000</v>
      </c>
      <c r="S167" s="796">
        <f t="shared" ref="S167:U167" si="118">S168+S172+S176</f>
        <v>164498434</v>
      </c>
      <c r="T167" s="796">
        <f t="shared" si="118"/>
        <v>54733766</v>
      </c>
      <c r="U167" s="796">
        <f t="shared" si="118"/>
        <v>39785566</v>
      </c>
      <c r="V167" s="436"/>
      <c r="W167" s="780"/>
      <c r="X167" s="780"/>
      <c r="Y167" s="780"/>
      <c r="Z167" s="780"/>
      <c r="AA167" s="780"/>
      <c r="AB167" s="780"/>
      <c r="AC167" s="780"/>
      <c r="AD167" s="780"/>
      <c r="AE167" s="780"/>
      <c r="AF167" s="780"/>
      <c r="AG167" s="780"/>
      <c r="AH167" s="780"/>
      <c r="AI167" s="780"/>
      <c r="AJ167" s="780"/>
      <c r="AK167" s="780"/>
      <c r="AL167" s="780"/>
      <c r="AM167" s="780"/>
      <c r="AN167" s="780"/>
      <c r="AO167" s="780"/>
      <c r="AP167" s="780"/>
      <c r="AQ167" s="780"/>
      <c r="AR167" s="780"/>
      <c r="AS167" s="780"/>
    </row>
    <row r="168" spans="1:45" ht="39.75" thickTop="1" thickBot="1" x14ac:dyDescent="0.3">
      <c r="A168" s="498" t="s">
        <v>784</v>
      </c>
      <c r="B168" s="794">
        <f>+B169</f>
        <v>100000000</v>
      </c>
      <c r="C168" s="794">
        <f t="shared" ref="C168:Q170" si="119">+C169</f>
        <v>84853447</v>
      </c>
      <c r="D168" s="794">
        <f t="shared" si="119"/>
        <v>22018913</v>
      </c>
      <c r="E168" s="794">
        <f t="shared" si="119"/>
        <v>17321713</v>
      </c>
      <c r="F168" s="794">
        <f t="shared" si="119"/>
        <v>0</v>
      </c>
      <c r="G168" s="794">
        <f t="shared" si="119"/>
        <v>0</v>
      </c>
      <c r="H168" s="794">
        <f t="shared" si="119"/>
        <v>0</v>
      </c>
      <c r="I168" s="794">
        <f t="shared" si="119"/>
        <v>0</v>
      </c>
      <c r="J168" s="794">
        <f t="shared" si="119"/>
        <v>0</v>
      </c>
      <c r="K168" s="794">
        <f t="shared" si="119"/>
        <v>0</v>
      </c>
      <c r="L168" s="794">
        <f t="shared" si="119"/>
        <v>0</v>
      </c>
      <c r="M168" s="794">
        <f t="shared" si="119"/>
        <v>0</v>
      </c>
      <c r="N168" s="794">
        <f t="shared" si="119"/>
        <v>0</v>
      </c>
      <c r="O168" s="794">
        <f t="shared" si="119"/>
        <v>0</v>
      </c>
      <c r="P168" s="794">
        <f t="shared" si="119"/>
        <v>0</v>
      </c>
      <c r="Q168" s="794">
        <f t="shared" si="119"/>
        <v>0</v>
      </c>
      <c r="R168" s="796">
        <f t="shared" ref="R168:U179" si="120">+B168+F168+J168+N168</f>
        <v>100000000</v>
      </c>
      <c r="S168" s="796">
        <f t="shared" si="120"/>
        <v>84853447</v>
      </c>
      <c r="T168" s="796">
        <f t="shared" si="120"/>
        <v>22018913</v>
      </c>
      <c r="U168" s="796">
        <f t="shared" si="120"/>
        <v>17321713</v>
      </c>
      <c r="V168" s="436"/>
      <c r="W168" s="780"/>
      <c r="X168" s="780"/>
      <c r="Y168" s="780"/>
      <c r="Z168" s="780"/>
      <c r="AA168" s="780"/>
      <c r="AB168" s="780"/>
      <c r="AC168" s="780"/>
      <c r="AD168" s="780"/>
      <c r="AE168" s="780"/>
      <c r="AF168" s="780"/>
      <c r="AG168" s="780"/>
      <c r="AH168" s="780"/>
      <c r="AI168" s="780"/>
      <c r="AJ168" s="780"/>
      <c r="AK168" s="780"/>
      <c r="AL168" s="780"/>
      <c r="AM168" s="780"/>
      <c r="AN168" s="780"/>
      <c r="AO168" s="780"/>
      <c r="AP168" s="780"/>
      <c r="AQ168" s="780"/>
      <c r="AR168" s="780"/>
      <c r="AS168" s="780"/>
    </row>
    <row r="169" spans="1:45" ht="16.5" thickTop="1" thickBot="1" x14ac:dyDescent="0.3">
      <c r="A169" s="499" t="s">
        <v>779</v>
      </c>
      <c r="B169" s="794">
        <f>+B170</f>
        <v>100000000</v>
      </c>
      <c r="C169" s="794">
        <f t="shared" si="119"/>
        <v>84853447</v>
      </c>
      <c r="D169" s="794">
        <f t="shared" si="119"/>
        <v>22018913</v>
      </c>
      <c r="E169" s="794">
        <f t="shared" si="119"/>
        <v>17321713</v>
      </c>
      <c r="F169" s="814">
        <f t="shared" si="119"/>
        <v>0</v>
      </c>
      <c r="G169" s="814">
        <f t="shared" si="119"/>
        <v>0</v>
      </c>
      <c r="H169" s="814">
        <f t="shared" si="119"/>
        <v>0</v>
      </c>
      <c r="I169" s="814">
        <f t="shared" si="119"/>
        <v>0</v>
      </c>
      <c r="J169" s="814">
        <f t="shared" si="119"/>
        <v>0</v>
      </c>
      <c r="K169" s="814">
        <f t="shared" si="119"/>
        <v>0</v>
      </c>
      <c r="L169" s="814">
        <f t="shared" si="119"/>
        <v>0</v>
      </c>
      <c r="M169" s="814">
        <f t="shared" si="119"/>
        <v>0</v>
      </c>
      <c r="N169" s="814">
        <f t="shared" si="119"/>
        <v>0</v>
      </c>
      <c r="O169" s="814">
        <f t="shared" si="119"/>
        <v>0</v>
      </c>
      <c r="P169" s="814">
        <f t="shared" si="119"/>
        <v>0</v>
      </c>
      <c r="Q169" s="814">
        <f t="shared" si="119"/>
        <v>0</v>
      </c>
      <c r="R169" s="815">
        <f t="shared" si="120"/>
        <v>100000000</v>
      </c>
      <c r="S169" s="815">
        <f t="shared" si="120"/>
        <v>84853447</v>
      </c>
      <c r="T169" s="815">
        <f t="shared" si="120"/>
        <v>22018913</v>
      </c>
      <c r="U169" s="494">
        <f t="shared" si="120"/>
        <v>17321713</v>
      </c>
      <c r="V169" s="436"/>
      <c r="W169" s="786">
        <f>R169</f>
        <v>100000000</v>
      </c>
      <c r="X169" s="780"/>
      <c r="Y169" s="780"/>
      <c r="Z169" s="780"/>
      <c r="AA169" s="780"/>
      <c r="AB169" s="780"/>
      <c r="AC169" s="780"/>
      <c r="AD169" s="780"/>
      <c r="AE169" s="780"/>
      <c r="AF169" s="780"/>
      <c r="AG169" s="780"/>
      <c r="AH169" s="780"/>
      <c r="AI169" s="780"/>
      <c r="AJ169" s="780"/>
      <c r="AK169" s="780"/>
      <c r="AL169" s="780"/>
      <c r="AM169" s="780"/>
      <c r="AN169" s="780"/>
      <c r="AO169" s="780"/>
      <c r="AP169" s="780"/>
      <c r="AQ169" s="780"/>
      <c r="AR169" s="780"/>
      <c r="AS169" s="780"/>
    </row>
    <row r="170" spans="1:45" ht="16.5" thickTop="1" thickBot="1" x14ac:dyDescent="0.3">
      <c r="A170" s="217" t="s">
        <v>780</v>
      </c>
      <c r="B170" s="794">
        <f>+B171</f>
        <v>100000000</v>
      </c>
      <c r="C170" s="794">
        <f t="shared" si="119"/>
        <v>84853447</v>
      </c>
      <c r="D170" s="794">
        <f t="shared" si="119"/>
        <v>22018913</v>
      </c>
      <c r="E170" s="794">
        <f t="shared" si="119"/>
        <v>17321713</v>
      </c>
      <c r="F170" s="794">
        <f t="shared" si="119"/>
        <v>0</v>
      </c>
      <c r="G170" s="794">
        <f t="shared" si="119"/>
        <v>0</v>
      </c>
      <c r="H170" s="794">
        <f t="shared" si="119"/>
        <v>0</v>
      </c>
      <c r="I170" s="794">
        <f t="shared" si="119"/>
        <v>0</v>
      </c>
      <c r="J170" s="794">
        <f t="shared" si="119"/>
        <v>0</v>
      </c>
      <c r="K170" s="794">
        <f t="shared" si="119"/>
        <v>0</v>
      </c>
      <c r="L170" s="794">
        <f t="shared" si="119"/>
        <v>0</v>
      </c>
      <c r="M170" s="794">
        <f t="shared" si="119"/>
        <v>0</v>
      </c>
      <c r="N170" s="794">
        <f t="shared" si="119"/>
        <v>0</v>
      </c>
      <c r="O170" s="794">
        <f t="shared" si="119"/>
        <v>0</v>
      </c>
      <c r="P170" s="794">
        <f t="shared" si="119"/>
        <v>0</v>
      </c>
      <c r="Q170" s="794">
        <f t="shared" si="119"/>
        <v>0</v>
      </c>
      <c r="R170" s="796">
        <f t="shared" si="120"/>
        <v>100000000</v>
      </c>
      <c r="S170" s="796">
        <f t="shared" si="120"/>
        <v>84853447</v>
      </c>
      <c r="T170" s="796">
        <f t="shared" si="120"/>
        <v>22018913</v>
      </c>
      <c r="U170" s="463">
        <f t="shared" si="120"/>
        <v>17321713</v>
      </c>
      <c r="V170" s="436"/>
      <c r="W170" s="780"/>
      <c r="X170" s="780"/>
      <c r="Y170" s="780"/>
      <c r="Z170" s="780"/>
      <c r="AA170" s="780"/>
      <c r="AB170" s="780"/>
      <c r="AC170" s="780"/>
      <c r="AD170" s="780"/>
      <c r="AE170" s="780"/>
      <c r="AF170" s="780"/>
      <c r="AG170" s="780"/>
      <c r="AH170" s="780"/>
      <c r="AI170" s="780"/>
      <c r="AJ170" s="780"/>
      <c r="AK170" s="780"/>
      <c r="AL170" s="780"/>
      <c r="AM170" s="780"/>
      <c r="AN170" s="780"/>
      <c r="AO170" s="780"/>
      <c r="AP170" s="780"/>
      <c r="AQ170" s="780"/>
      <c r="AR170" s="780"/>
      <c r="AS170" s="780"/>
    </row>
    <row r="171" spans="1:45" ht="16.5" thickTop="1" thickBot="1" x14ac:dyDescent="0.3">
      <c r="A171" s="217" t="s">
        <v>781</v>
      </c>
      <c r="B171" s="794">
        <v>100000000</v>
      </c>
      <c r="C171" s="794">
        <v>84853447</v>
      </c>
      <c r="D171" s="794">
        <v>22018913</v>
      </c>
      <c r="E171" s="794">
        <v>17321713</v>
      </c>
      <c r="F171" s="794"/>
      <c r="G171" s="794"/>
      <c r="H171" s="794"/>
      <c r="I171" s="794"/>
      <c r="J171" s="794"/>
      <c r="K171" s="794"/>
      <c r="L171" s="794"/>
      <c r="M171" s="794"/>
      <c r="N171" s="794"/>
      <c r="O171" s="794"/>
      <c r="P171" s="794"/>
      <c r="Q171" s="794"/>
      <c r="R171" s="796">
        <f t="shared" si="120"/>
        <v>100000000</v>
      </c>
      <c r="S171" s="796">
        <f t="shared" si="120"/>
        <v>84853447</v>
      </c>
      <c r="T171" s="796">
        <f t="shared" si="120"/>
        <v>22018913</v>
      </c>
      <c r="U171" s="463">
        <f t="shared" si="120"/>
        <v>17321713</v>
      </c>
      <c r="V171" s="436"/>
      <c r="W171" s="780"/>
      <c r="X171" s="780"/>
      <c r="Y171" s="780"/>
      <c r="Z171" s="780"/>
      <c r="AA171" s="780"/>
      <c r="AB171" s="780"/>
      <c r="AC171" s="780"/>
      <c r="AD171" s="780"/>
      <c r="AE171" s="780"/>
      <c r="AF171" s="780"/>
      <c r="AG171" s="780"/>
      <c r="AH171" s="780"/>
      <c r="AI171" s="780"/>
      <c r="AJ171" s="780"/>
      <c r="AK171" s="780"/>
      <c r="AL171" s="780"/>
      <c r="AM171" s="780"/>
      <c r="AN171" s="780"/>
      <c r="AO171" s="780"/>
      <c r="AP171" s="780"/>
      <c r="AQ171" s="780"/>
      <c r="AR171" s="780"/>
      <c r="AS171" s="780"/>
    </row>
    <row r="172" spans="1:45" ht="52.5" thickTop="1" thickBot="1" x14ac:dyDescent="0.3">
      <c r="A172" s="498" t="s">
        <v>430</v>
      </c>
      <c r="B172" s="831">
        <f>+B173</f>
        <v>200000000</v>
      </c>
      <c r="C172" s="831">
        <f t="shared" ref="C172:Q176" si="121">+C173</f>
        <v>73117987</v>
      </c>
      <c r="D172" s="831">
        <f t="shared" si="121"/>
        <v>31187853</v>
      </c>
      <c r="E172" s="831">
        <f t="shared" si="121"/>
        <v>20936853</v>
      </c>
      <c r="F172" s="831">
        <f t="shared" si="121"/>
        <v>0</v>
      </c>
      <c r="G172" s="831">
        <f t="shared" si="121"/>
        <v>0</v>
      </c>
      <c r="H172" s="831">
        <f t="shared" si="121"/>
        <v>0</v>
      </c>
      <c r="I172" s="831">
        <f t="shared" si="121"/>
        <v>0</v>
      </c>
      <c r="J172" s="831">
        <f t="shared" si="121"/>
        <v>0</v>
      </c>
      <c r="K172" s="831">
        <f t="shared" si="121"/>
        <v>0</v>
      </c>
      <c r="L172" s="831">
        <f t="shared" si="121"/>
        <v>0</v>
      </c>
      <c r="M172" s="831">
        <f t="shared" si="121"/>
        <v>0</v>
      </c>
      <c r="N172" s="831">
        <f t="shared" si="121"/>
        <v>0</v>
      </c>
      <c r="O172" s="831">
        <f t="shared" si="121"/>
        <v>0</v>
      </c>
      <c r="P172" s="831">
        <f t="shared" si="121"/>
        <v>0</v>
      </c>
      <c r="Q172" s="831">
        <f t="shared" si="121"/>
        <v>0</v>
      </c>
      <c r="R172" s="832">
        <f t="shared" si="120"/>
        <v>200000000</v>
      </c>
      <c r="S172" s="832">
        <f t="shared" si="120"/>
        <v>73117987</v>
      </c>
      <c r="T172" s="832">
        <f t="shared" si="120"/>
        <v>31187853</v>
      </c>
      <c r="U172" s="832">
        <f t="shared" si="120"/>
        <v>20936853</v>
      </c>
      <c r="V172" s="436"/>
      <c r="W172" s="780"/>
      <c r="X172" s="780"/>
      <c r="Y172" s="780"/>
      <c r="Z172" s="780"/>
      <c r="AA172" s="780"/>
      <c r="AB172" s="780"/>
      <c r="AC172" s="780"/>
      <c r="AD172" s="780"/>
      <c r="AE172" s="780"/>
      <c r="AF172" s="780"/>
      <c r="AG172" s="780"/>
      <c r="AH172" s="780"/>
      <c r="AI172" s="780"/>
      <c r="AJ172" s="780"/>
      <c r="AK172" s="780"/>
      <c r="AL172" s="780"/>
      <c r="AM172" s="780"/>
      <c r="AN172" s="780"/>
      <c r="AO172" s="780"/>
      <c r="AP172" s="780"/>
      <c r="AQ172" s="780"/>
      <c r="AR172" s="780"/>
      <c r="AS172" s="780"/>
    </row>
    <row r="173" spans="1:45" ht="16.5" thickTop="1" thickBot="1" x14ac:dyDescent="0.3">
      <c r="A173" s="499" t="s">
        <v>779</v>
      </c>
      <c r="B173" s="794">
        <f>+B174</f>
        <v>200000000</v>
      </c>
      <c r="C173" s="794">
        <f t="shared" si="121"/>
        <v>73117987</v>
      </c>
      <c r="D173" s="794">
        <f t="shared" si="121"/>
        <v>31187853</v>
      </c>
      <c r="E173" s="794">
        <f t="shared" si="121"/>
        <v>20936853</v>
      </c>
      <c r="F173" s="814">
        <f t="shared" si="121"/>
        <v>0</v>
      </c>
      <c r="G173" s="814">
        <f t="shared" si="121"/>
        <v>0</v>
      </c>
      <c r="H173" s="814">
        <f t="shared" si="121"/>
        <v>0</v>
      </c>
      <c r="I173" s="814">
        <f t="shared" si="121"/>
        <v>0</v>
      </c>
      <c r="J173" s="814">
        <f t="shared" si="121"/>
        <v>0</v>
      </c>
      <c r="K173" s="814">
        <f t="shared" si="121"/>
        <v>0</v>
      </c>
      <c r="L173" s="814">
        <f t="shared" si="121"/>
        <v>0</v>
      </c>
      <c r="M173" s="814">
        <f t="shared" si="121"/>
        <v>0</v>
      </c>
      <c r="N173" s="814">
        <f t="shared" si="121"/>
        <v>0</v>
      </c>
      <c r="O173" s="814">
        <f t="shared" si="121"/>
        <v>0</v>
      </c>
      <c r="P173" s="814">
        <f t="shared" si="121"/>
        <v>0</v>
      </c>
      <c r="Q173" s="814">
        <f t="shared" si="121"/>
        <v>0</v>
      </c>
      <c r="R173" s="815">
        <f t="shared" si="120"/>
        <v>200000000</v>
      </c>
      <c r="S173" s="815">
        <f t="shared" si="120"/>
        <v>73117987</v>
      </c>
      <c r="T173" s="815">
        <f t="shared" si="120"/>
        <v>31187853</v>
      </c>
      <c r="U173" s="494">
        <f t="shared" si="120"/>
        <v>20936853</v>
      </c>
      <c r="V173" s="436"/>
      <c r="W173" s="786">
        <f>R173</f>
        <v>200000000</v>
      </c>
      <c r="X173" s="780"/>
      <c r="Y173" s="780"/>
      <c r="Z173" s="780"/>
      <c r="AA173" s="780"/>
      <c r="AB173" s="780"/>
      <c r="AC173" s="780"/>
      <c r="AD173" s="780"/>
      <c r="AE173" s="780"/>
      <c r="AF173" s="780"/>
      <c r="AG173" s="780"/>
      <c r="AH173" s="780"/>
      <c r="AI173" s="780"/>
      <c r="AJ173" s="780"/>
      <c r="AK173" s="780"/>
      <c r="AL173" s="780"/>
      <c r="AM173" s="780"/>
      <c r="AN173" s="780"/>
      <c r="AO173" s="780"/>
      <c r="AP173" s="780"/>
      <c r="AQ173" s="780"/>
      <c r="AR173" s="780"/>
      <c r="AS173" s="780"/>
    </row>
    <row r="174" spans="1:45" ht="16.5" thickTop="1" thickBot="1" x14ac:dyDescent="0.3">
      <c r="A174" s="217" t="s">
        <v>780</v>
      </c>
      <c r="B174" s="794">
        <f>+B175</f>
        <v>200000000</v>
      </c>
      <c r="C174" s="794">
        <f t="shared" si="121"/>
        <v>73117987</v>
      </c>
      <c r="D174" s="794">
        <f t="shared" si="121"/>
        <v>31187853</v>
      </c>
      <c r="E174" s="794">
        <f t="shared" si="121"/>
        <v>20936853</v>
      </c>
      <c r="F174" s="794">
        <f t="shared" si="121"/>
        <v>0</v>
      </c>
      <c r="G174" s="794">
        <f t="shared" si="121"/>
        <v>0</v>
      </c>
      <c r="H174" s="794">
        <f t="shared" si="121"/>
        <v>0</v>
      </c>
      <c r="I174" s="794">
        <f t="shared" si="121"/>
        <v>0</v>
      </c>
      <c r="J174" s="794">
        <f t="shared" si="121"/>
        <v>0</v>
      </c>
      <c r="K174" s="794">
        <f t="shared" si="121"/>
        <v>0</v>
      </c>
      <c r="L174" s="794">
        <f t="shared" si="121"/>
        <v>0</v>
      </c>
      <c r="M174" s="794">
        <f t="shared" si="121"/>
        <v>0</v>
      </c>
      <c r="N174" s="794">
        <f t="shared" si="121"/>
        <v>0</v>
      </c>
      <c r="O174" s="794">
        <f t="shared" si="121"/>
        <v>0</v>
      </c>
      <c r="P174" s="794">
        <f t="shared" si="121"/>
        <v>0</v>
      </c>
      <c r="Q174" s="794">
        <f t="shared" si="121"/>
        <v>0</v>
      </c>
      <c r="R174" s="796">
        <f t="shared" si="120"/>
        <v>200000000</v>
      </c>
      <c r="S174" s="796">
        <f t="shared" si="120"/>
        <v>73117987</v>
      </c>
      <c r="T174" s="796">
        <f t="shared" si="120"/>
        <v>31187853</v>
      </c>
      <c r="U174" s="463">
        <f t="shared" si="120"/>
        <v>20936853</v>
      </c>
      <c r="V174" s="436"/>
      <c r="W174" s="780"/>
      <c r="X174" s="780"/>
      <c r="Y174" s="780"/>
      <c r="Z174" s="780"/>
      <c r="AA174" s="780"/>
      <c r="AB174" s="780"/>
      <c r="AC174" s="780"/>
      <c r="AD174" s="780"/>
      <c r="AE174" s="780"/>
      <c r="AF174" s="780"/>
      <c r="AG174" s="780"/>
      <c r="AH174" s="780"/>
      <c r="AI174" s="780"/>
      <c r="AJ174" s="780"/>
      <c r="AK174" s="780"/>
      <c r="AL174" s="780"/>
      <c r="AM174" s="780"/>
      <c r="AN174" s="780"/>
      <c r="AO174" s="780"/>
      <c r="AP174" s="780"/>
      <c r="AQ174" s="780"/>
      <c r="AR174" s="780"/>
      <c r="AS174" s="780"/>
    </row>
    <row r="175" spans="1:45" ht="16.5" thickTop="1" thickBot="1" x14ac:dyDescent="0.3">
      <c r="A175" s="217" t="s">
        <v>781</v>
      </c>
      <c r="B175" s="794">
        <v>200000000</v>
      </c>
      <c r="C175" s="794">
        <v>73117987</v>
      </c>
      <c r="D175" s="794">
        <v>31187853</v>
      </c>
      <c r="E175" s="794">
        <v>20936853</v>
      </c>
      <c r="F175" s="794"/>
      <c r="G175" s="794"/>
      <c r="H175" s="794"/>
      <c r="I175" s="794"/>
      <c r="J175" s="794"/>
      <c r="K175" s="794"/>
      <c r="L175" s="794"/>
      <c r="M175" s="794"/>
      <c r="N175" s="794"/>
      <c r="O175" s="794"/>
      <c r="P175" s="794"/>
      <c r="Q175" s="794"/>
      <c r="R175" s="796">
        <f t="shared" si="120"/>
        <v>200000000</v>
      </c>
      <c r="S175" s="796">
        <f t="shared" si="120"/>
        <v>73117987</v>
      </c>
      <c r="T175" s="796">
        <f t="shared" si="120"/>
        <v>31187853</v>
      </c>
      <c r="U175" s="463">
        <f t="shared" si="120"/>
        <v>20936853</v>
      </c>
      <c r="V175" s="436"/>
      <c r="W175" s="780"/>
      <c r="X175" s="780"/>
      <c r="Y175" s="780"/>
      <c r="Z175" s="780"/>
      <c r="AA175" s="780"/>
      <c r="AB175" s="780"/>
      <c r="AC175" s="780"/>
      <c r="AD175" s="780"/>
      <c r="AE175" s="780"/>
      <c r="AF175" s="780"/>
      <c r="AG175" s="780"/>
      <c r="AH175" s="780"/>
      <c r="AI175" s="780"/>
      <c r="AJ175" s="780"/>
      <c r="AK175" s="780"/>
      <c r="AL175" s="780"/>
      <c r="AM175" s="780"/>
      <c r="AN175" s="780"/>
      <c r="AO175" s="780"/>
      <c r="AP175" s="780"/>
      <c r="AQ175" s="780"/>
      <c r="AR175" s="780"/>
      <c r="AS175" s="780"/>
    </row>
    <row r="176" spans="1:45" ht="39.75" thickTop="1" thickBot="1" x14ac:dyDescent="0.3">
      <c r="A176" s="498" t="s">
        <v>444</v>
      </c>
      <c r="B176" s="831">
        <f>+B177</f>
        <v>100000000</v>
      </c>
      <c r="C176" s="831">
        <f t="shared" ref="C176:Q178" si="122">+C177</f>
        <v>6527000</v>
      </c>
      <c r="D176" s="831">
        <f t="shared" si="122"/>
        <v>1527000</v>
      </c>
      <c r="E176" s="831">
        <f t="shared" si="122"/>
        <v>1527000</v>
      </c>
      <c r="F176" s="831">
        <f t="shared" si="121"/>
        <v>0</v>
      </c>
      <c r="G176" s="831">
        <f t="shared" si="121"/>
        <v>0</v>
      </c>
      <c r="H176" s="831">
        <f t="shared" si="121"/>
        <v>0</v>
      </c>
      <c r="I176" s="831">
        <f t="shared" si="121"/>
        <v>0</v>
      </c>
      <c r="J176" s="831">
        <f t="shared" si="121"/>
        <v>0</v>
      </c>
      <c r="K176" s="831">
        <f t="shared" si="121"/>
        <v>0</v>
      </c>
      <c r="L176" s="831">
        <f t="shared" si="121"/>
        <v>0</v>
      </c>
      <c r="M176" s="831">
        <f t="shared" si="121"/>
        <v>0</v>
      </c>
      <c r="N176" s="831">
        <f t="shared" si="121"/>
        <v>0</v>
      </c>
      <c r="O176" s="831">
        <f t="shared" si="121"/>
        <v>0</v>
      </c>
      <c r="P176" s="831">
        <f t="shared" si="121"/>
        <v>0</v>
      </c>
      <c r="Q176" s="831">
        <f t="shared" si="121"/>
        <v>0</v>
      </c>
      <c r="R176" s="832">
        <f>B176+F176+J176+N176</f>
        <v>100000000</v>
      </c>
      <c r="S176" s="832">
        <f t="shared" ref="S176:U176" si="123">C176+G176+K176+O176</f>
        <v>6527000</v>
      </c>
      <c r="T176" s="832">
        <f t="shared" si="123"/>
        <v>1527000</v>
      </c>
      <c r="U176" s="832">
        <f t="shared" si="123"/>
        <v>1527000</v>
      </c>
      <c r="V176" s="436"/>
      <c r="W176" s="780"/>
      <c r="X176" s="780"/>
      <c r="Y176" s="780"/>
      <c r="Z176" s="780"/>
      <c r="AA176" s="780"/>
      <c r="AB176" s="780"/>
      <c r="AC176" s="780"/>
      <c r="AD176" s="780"/>
      <c r="AE176" s="780"/>
      <c r="AF176" s="780"/>
      <c r="AG176" s="780"/>
      <c r="AH176" s="780"/>
      <c r="AI176" s="780"/>
      <c r="AJ176" s="780"/>
      <c r="AK176" s="780"/>
      <c r="AL176" s="780"/>
      <c r="AM176" s="780"/>
      <c r="AN176" s="780"/>
      <c r="AO176" s="780"/>
      <c r="AP176" s="780"/>
      <c r="AQ176" s="780"/>
      <c r="AR176" s="780"/>
      <c r="AS176" s="780"/>
    </row>
    <row r="177" spans="1:45" ht="16.5" thickTop="1" thickBot="1" x14ac:dyDescent="0.3">
      <c r="A177" s="499" t="s">
        <v>779</v>
      </c>
      <c r="B177" s="794">
        <f>+B178</f>
        <v>100000000</v>
      </c>
      <c r="C177" s="794">
        <f t="shared" si="122"/>
        <v>6527000</v>
      </c>
      <c r="D177" s="794">
        <f t="shared" si="122"/>
        <v>1527000</v>
      </c>
      <c r="E177" s="794">
        <f t="shared" si="122"/>
        <v>1527000</v>
      </c>
      <c r="F177" s="814">
        <f t="shared" si="122"/>
        <v>0</v>
      </c>
      <c r="G177" s="814">
        <f t="shared" si="122"/>
        <v>0</v>
      </c>
      <c r="H177" s="814">
        <f t="shared" si="122"/>
        <v>0</v>
      </c>
      <c r="I177" s="814">
        <f t="shared" si="122"/>
        <v>0</v>
      </c>
      <c r="J177" s="814">
        <f t="shared" si="122"/>
        <v>0</v>
      </c>
      <c r="K177" s="814">
        <f t="shared" si="122"/>
        <v>0</v>
      </c>
      <c r="L177" s="814">
        <f t="shared" si="122"/>
        <v>0</v>
      </c>
      <c r="M177" s="814">
        <f t="shared" si="122"/>
        <v>0</v>
      </c>
      <c r="N177" s="814">
        <f t="shared" si="122"/>
        <v>0</v>
      </c>
      <c r="O177" s="814">
        <f t="shared" si="122"/>
        <v>0</v>
      </c>
      <c r="P177" s="814">
        <f t="shared" si="122"/>
        <v>0</v>
      </c>
      <c r="Q177" s="814">
        <f t="shared" si="122"/>
        <v>0</v>
      </c>
      <c r="R177" s="815">
        <f t="shared" si="120"/>
        <v>100000000</v>
      </c>
      <c r="S177" s="815">
        <f t="shared" si="120"/>
        <v>6527000</v>
      </c>
      <c r="T177" s="815">
        <f t="shared" si="120"/>
        <v>1527000</v>
      </c>
      <c r="U177" s="494">
        <f t="shared" si="120"/>
        <v>1527000</v>
      </c>
      <c r="V177" s="436"/>
      <c r="W177" s="780"/>
      <c r="X177" s="780"/>
      <c r="Y177" s="780"/>
      <c r="Z177" s="780"/>
      <c r="AA177" s="780"/>
      <c r="AB177" s="780"/>
      <c r="AC177" s="780"/>
      <c r="AD177" s="780"/>
      <c r="AE177" s="780"/>
      <c r="AF177" s="780"/>
      <c r="AG177" s="780"/>
      <c r="AH177" s="780"/>
      <c r="AI177" s="780"/>
      <c r="AJ177" s="780"/>
      <c r="AK177" s="780"/>
      <c r="AL177" s="780"/>
      <c r="AM177" s="780"/>
      <c r="AN177" s="780"/>
      <c r="AO177" s="780"/>
      <c r="AP177" s="780"/>
      <c r="AQ177" s="780"/>
      <c r="AR177" s="780"/>
      <c r="AS177" s="780"/>
    </row>
    <row r="178" spans="1:45" ht="16.5" thickTop="1" thickBot="1" x14ac:dyDescent="0.3">
      <c r="A178" s="217" t="s">
        <v>780</v>
      </c>
      <c r="B178" s="794">
        <f>+B179</f>
        <v>100000000</v>
      </c>
      <c r="C178" s="794">
        <f t="shared" si="122"/>
        <v>6527000</v>
      </c>
      <c r="D178" s="794">
        <f t="shared" si="122"/>
        <v>1527000</v>
      </c>
      <c r="E178" s="794">
        <f t="shared" si="122"/>
        <v>1527000</v>
      </c>
      <c r="F178" s="794">
        <f t="shared" si="122"/>
        <v>0</v>
      </c>
      <c r="G178" s="794">
        <f t="shared" si="122"/>
        <v>0</v>
      </c>
      <c r="H178" s="794">
        <f t="shared" si="122"/>
        <v>0</v>
      </c>
      <c r="I178" s="794">
        <f t="shared" si="122"/>
        <v>0</v>
      </c>
      <c r="J178" s="794">
        <f t="shared" si="122"/>
        <v>0</v>
      </c>
      <c r="K178" s="794">
        <f t="shared" si="122"/>
        <v>0</v>
      </c>
      <c r="L178" s="794">
        <f t="shared" si="122"/>
        <v>0</v>
      </c>
      <c r="M178" s="794">
        <f t="shared" si="122"/>
        <v>0</v>
      </c>
      <c r="N178" s="794">
        <f t="shared" si="122"/>
        <v>0</v>
      </c>
      <c r="O178" s="794">
        <f t="shared" si="122"/>
        <v>0</v>
      </c>
      <c r="P178" s="794">
        <f t="shared" si="122"/>
        <v>0</v>
      </c>
      <c r="Q178" s="794">
        <f t="shared" si="122"/>
        <v>0</v>
      </c>
      <c r="R178" s="796">
        <f t="shared" si="120"/>
        <v>100000000</v>
      </c>
      <c r="S178" s="796">
        <f t="shared" si="120"/>
        <v>6527000</v>
      </c>
      <c r="T178" s="796">
        <f t="shared" si="120"/>
        <v>1527000</v>
      </c>
      <c r="U178" s="463">
        <f t="shared" si="120"/>
        <v>1527000</v>
      </c>
      <c r="V178" s="436"/>
      <c r="W178" s="786">
        <f>R178</f>
        <v>100000000</v>
      </c>
      <c r="X178" s="780"/>
      <c r="Y178" s="780"/>
      <c r="Z178" s="780"/>
      <c r="AA178" s="780"/>
      <c r="AB178" s="780"/>
      <c r="AC178" s="780"/>
      <c r="AD178" s="780"/>
      <c r="AE178" s="780"/>
      <c r="AF178" s="780"/>
      <c r="AG178" s="780"/>
      <c r="AH178" s="780"/>
      <c r="AI178" s="780"/>
      <c r="AJ178" s="780"/>
      <c r="AK178" s="780"/>
      <c r="AL178" s="780"/>
      <c r="AM178" s="780"/>
      <c r="AN178" s="780"/>
      <c r="AO178" s="780"/>
      <c r="AP178" s="780"/>
      <c r="AQ178" s="780"/>
      <c r="AR178" s="780"/>
      <c r="AS178" s="780"/>
    </row>
    <row r="179" spans="1:45" ht="16.5" thickTop="1" thickBot="1" x14ac:dyDescent="0.3">
      <c r="A179" s="217" t="s">
        <v>781</v>
      </c>
      <c r="B179" s="794">
        <v>100000000</v>
      </c>
      <c r="C179" s="794">
        <v>6527000</v>
      </c>
      <c r="D179" s="794">
        <v>1527000</v>
      </c>
      <c r="E179" s="794">
        <v>1527000</v>
      </c>
      <c r="F179" s="794"/>
      <c r="G179" s="794"/>
      <c r="H179" s="794"/>
      <c r="I179" s="794"/>
      <c r="J179" s="794"/>
      <c r="K179" s="794"/>
      <c r="L179" s="794"/>
      <c r="M179" s="794"/>
      <c r="N179" s="794"/>
      <c r="O179" s="794"/>
      <c r="P179" s="794"/>
      <c r="Q179" s="794"/>
      <c r="R179" s="796">
        <f t="shared" si="120"/>
        <v>100000000</v>
      </c>
      <c r="S179" s="796">
        <f t="shared" si="120"/>
        <v>6527000</v>
      </c>
      <c r="T179" s="796">
        <f t="shared" si="120"/>
        <v>1527000</v>
      </c>
      <c r="U179" s="463">
        <f t="shared" si="120"/>
        <v>1527000</v>
      </c>
      <c r="V179" s="436"/>
      <c r="W179" s="780"/>
      <c r="X179" s="780"/>
      <c r="Y179" s="780"/>
      <c r="Z179" s="780"/>
      <c r="AA179" s="780"/>
      <c r="AB179" s="780"/>
      <c r="AC179" s="780"/>
      <c r="AD179" s="780"/>
      <c r="AE179" s="780"/>
      <c r="AF179" s="780"/>
      <c r="AG179" s="780"/>
      <c r="AH179" s="780"/>
      <c r="AI179" s="780"/>
      <c r="AJ179" s="780"/>
      <c r="AK179" s="780"/>
      <c r="AL179" s="780"/>
      <c r="AM179" s="780"/>
      <c r="AN179" s="780"/>
      <c r="AO179" s="780"/>
      <c r="AP179" s="780"/>
      <c r="AQ179" s="780"/>
      <c r="AR179" s="780"/>
      <c r="AS179" s="780"/>
    </row>
    <row r="180" spans="1:45" ht="27" thickTop="1" thickBot="1" x14ac:dyDescent="0.3">
      <c r="A180" s="485" t="s">
        <v>451</v>
      </c>
      <c r="B180" s="794">
        <f>+B181+B206</f>
        <v>4361000000</v>
      </c>
      <c r="C180" s="794">
        <f t="shared" ref="C180:E180" si="124">+C181+C206</f>
        <v>3052746026</v>
      </c>
      <c r="D180" s="794">
        <f t="shared" si="124"/>
        <v>935292384</v>
      </c>
      <c r="E180" s="794">
        <f t="shared" si="124"/>
        <v>814587154</v>
      </c>
      <c r="F180" s="810">
        <f t="shared" ref="F180:Q180" si="125">+F182+F274</f>
        <v>0</v>
      </c>
      <c r="G180" s="810">
        <f t="shared" si="125"/>
        <v>0</v>
      </c>
      <c r="H180" s="810">
        <f t="shared" si="125"/>
        <v>0</v>
      </c>
      <c r="I180" s="810">
        <f t="shared" si="125"/>
        <v>0</v>
      </c>
      <c r="J180" s="810">
        <f t="shared" si="125"/>
        <v>0</v>
      </c>
      <c r="K180" s="810">
        <f t="shared" si="125"/>
        <v>0</v>
      </c>
      <c r="L180" s="810">
        <f t="shared" si="125"/>
        <v>0</v>
      </c>
      <c r="M180" s="810">
        <f t="shared" si="125"/>
        <v>0</v>
      </c>
      <c r="N180" s="810">
        <f t="shared" si="125"/>
        <v>0</v>
      </c>
      <c r="O180" s="810">
        <f t="shared" si="125"/>
        <v>0</v>
      </c>
      <c r="P180" s="810">
        <f t="shared" si="125"/>
        <v>0</v>
      </c>
      <c r="Q180" s="810">
        <f t="shared" si="125"/>
        <v>0</v>
      </c>
      <c r="R180" s="813">
        <f>R181+R206</f>
        <v>4361000000</v>
      </c>
      <c r="S180" s="813">
        <f t="shared" ref="S180:V180" si="126">S181+S206</f>
        <v>3052746026</v>
      </c>
      <c r="T180" s="813">
        <f t="shared" si="126"/>
        <v>935292384</v>
      </c>
      <c r="U180" s="813">
        <f t="shared" si="126"/>
        <v>814587154</v>
      </c>
      <c r="V180" s="813">
        <f t="shared" si="126"/>
        <v>0</v>
      </c>
      <c r="W180" s="780"/>
      <c r="X180" s="780"/>
      <c r="Y180" s="780"/>
      <c r="Z180" s="780"/>
      <c r="AA180" s="780"/>
      <c r="AB180" s="780"/>
      <c r="AC180" s="780"/>
      <c r="AD180" s="780"/>
      <c r="AE180" s="780"/>
      <c r="AF180" s="780"/>
      <c r="AG180" s="780"/>
      <c r="AH180" s="780"/>
      <c r="AI180" s="780"/>
      <c r="AJ180" s="780"/>
      <c r="AK180" s="780"/>
      <c r="AL180" s="780"/>
      <c r="AM180" s="780"/>
      <c r="AN180" s="780"/>
      <c r="AO180" s="780"/>
      <c r="AP180" s="780"/>
      <c r="AQ180" s="780"/>
      <c r="AR180" s="780"/>
      <c r="AS180" s="780"/>
    </row>
    <row r="181" spans="1:45" ht="27" thickTop="1" thickBot="1" x14ac:dyDescent="0.3">
      <c r="A181" s="220" t="s">
        <v>452</v>
      </c>
      <c r="B181" s="794">
        <f>+B182+B186+B190+B194+B198+B202</f>
        <v>3961000000</v>
      </c>
      <c r="C181" s="794">
        <f t="shared" ref="C181:Q181" si="127">+C182+C186+C190+C194+C198+C202</f>
        <v>2876920506</v>
      </c>
      <c r="D181" s="794">
        <f t="shared" si="127"/>
        <v>870016665</v>
      </c>
      <c r="E181" s="794">
        <f t="shared" si="127"/>
        <v>752684385</v>
      </c>
      <c r="F181" s="794">
        <f t="shared" si="127"/>
        <v>0</v>
      </c>
      <c r="G181" s="794">
        <f t="shared" si="127"/>
        <v>0</v>
      </c>
      <c r="H181" s="794">
        <f t="shared" si="127"/>
        <v>0</v>
      </c>
      <c r="I181" s="794">
        <f t="shared" si="127"/>
        <v>0</v>
      </c>
      <c r="J181" s="794">
        <f t="shared" si="127"/>
        <v>0</v>
      </c>
      <c r="K181" s="794">
        <f t="shared" si="127"/>
        <v>0</v>
      </c>
      <c r="L181" s="794">
        <f t="shared" si="127"/>
        <v>0</v>
      </c>
      <c r="M181" s="794">
        <f t="shared" si="127"/>
        <v>0</v>
      </c>
      <c r="N181" s="833">
        <f t="shared" si="127"/>
        <v>0</v>
      </c>
      <c r="O181" s="794">
        <f t="shared" si="127"/>
        <v>0</v>
      </c>
      <c r="P181" s="794">
        <f t="shared" si="127"/>
        <v>0</v>
      </c>
      <c r="Q181" s="794">
        <f t="shared" si="127"/>
        <v>0</v>
      </c>
      <c r="R181" s="796">
        <f>R182+R186+R190+R194+R198+R202</f>
        <v>3961000000</v>
      </c>
      <c r="S181" s="796">
        <f t="shared" ref="S181:U181" si="128">S182+S186+S190+S194+S198+S202</f>
        <v>2876920506</v>
      </c>
      <c r="T181" s="796">
        <f t="shared" si="128"/>
        <v>870016665</v>
      </c>
      <c r="U181" s="796">
        <f t="shared" si="128"/>
        <v>752684385</v>
      </c>
      <c r="V181" s="436"/>
      <c r="W181" s="780"/>
      <c r="X181" s="780"/>
      <c r="Y181" s="780"/>
      <c r="Z181" s="780"/>
      <c r="AA181" s="780"/>
      <c r="AB181" s="780"/>
      <c r="AC181" s="780"/>
      <c r="AD181" s="780"/>
      <c r="AE181" s="780"/>
      <c r="AF181" s="780"/>
      <c r="AG181" s="780"/>
      <c r="AH181" s="780"/>
      <c r="AI181" s="780"/>
      <c r="AJ181" s="780"/>
      <c r="AK181" s="780"/>
      <c r="AL181" s="780"/>
      <c r="AM181" s="780"/>
      <c r="AN181" s="780"/>
      <c r="AO181" s="780"/>
      <c r="AP181" s="780"/>
      <c r="AQ181" s="780"/>
      <c r="AR181" s="780"/>
      <c r="AS181" s="780"/>
    </row>
    <row r="182" spans="1:45" ht="27" thickTop="1" thickBot="1" x14ac:dyDescent="0.3">
      <c r="A182" s="498" t="s">
        <v>453</v>
      </c>
      <c r="B182" s="794">
        <f>+B183</f>
        <v>400000000</v>
      </c>
      <c r="C182" s="794">
        <f t="shared" ref="C182:Q184" si="129">+C183</f>
        <v>353282510</v>
      </c>
      <c r="D182" s="794">
        <f t="shared" si="129"/>
        <v>118390447</v>
      </c>
      <c r="E182" s="794">
        <f t="shared" si="129"/>
        <v>102387567</v>
      </c>
      <c r="F182" s="794">
        <f t="shared" si="129"/>
        <v>0</v>
      </c>
      <c r="G182" s="794">
        <f t="shared" si="129"/>
        <v>0</v>
      </c>
      <c r="H182" s="794">
        <f t="shared" si="129"/>
        <v>0</v>
      </c>
      <c r="I182" s="794">
        <f t="shared" si="129"/>
        <v>0</v>
      </c>
      <c r="J182" s="794">
        <f t="shared" si="129"/>
        <v>0</v>
      </c>
      <c r="K182" s="794">
        <f t="shared" si="129"/>
        <v>0</v>
      </c>
      <c r="L182" s="794">
        <f t="shared" si="129"/>
        <v>0</v>
      </c>
      <c r="M182" s="794">
        <f t="shared" si="129"/>
        <v>0</v>
      </c>
      <c r="N182" s="794">
        <f t="shared" si="129"/>
        <v>0</v>
      </c>
      <c r="O182" s="794">
        <f t="shared" si="129"/>
        <v>0</v>
      </c>
      <c r="P182" s="794">
        <f t="shared" si="129"/>
        <v>0</v>
      </c>
      <c r="Q182" s="794">
        <f t="shared" si="129"/>
        <v>0</v>
      </c>
      <c r="R182" s="796">
        <f t="shared" ref="R182:U197" si="130">+B182+F182+J182+N182</f>
        <v>400000000</v>
      </c>
      <c r="S182" s="796">
        <f t="shared" si="130"/>
        <v>353282510</v>
      </c>
      <c r="T182" s="796">
        <f t="shared" si="130"/>
        <v>118390447</v>
      </c>
      <c r="U182" s="463">
        <f t="shared" si="130"/>
        <v>102387567</v>
      </c>
      <c r="V182" s="436"/>
      <c r="W182" s="780"/>
      <c r="X182" s="780"/>
      <c r="Y182" s="780"/>
      <c r="Z182" s="780"/>
      <c r="AA182" s="780"/>
      <c r="AB182" s="780"/>
      <c r="AC182" s="780"/>
      <c r="AD182" s="780"/>
      <c r="AE182" s="780"/>
      <c r="AF182" s="780"/>
      <c r="AG182" s="780"/>
      <c r="AH182" s="780"/>
      <c r="AI182" s="780"/>
      <c r="AJ182" s="780"/>
      <c r="AK182" s="780"/>
      <c r="AL182" s="780"/>
      <c r="AM182" s="780"/>
      <c r="AN182" s="780"/>
      <c r="AO182" s="780"/>
      <c r="AP182" s="780"/>
      <c r="AQ182" s="780"/>
      <c r="AR182" s="780"/>
      <c r="AS182" s="780"/>
    </row>
    <row r="183" spans="1:45" ht="16.5" thickTop="1" thickBot="1" x14ac:dyDescent="0.3">
      <c r="A183" s="499" t="s">
        <v>779</v>
      </c>
      <c r="B183" s="794">
        <f>+B184</f>
        <v>400000000</v>
      </c>
      <c r="C183" s="794">
        <f t="shared" si="129"/>
        <v>353282510</v>
      </c>
      <c r="D183" s="794">
        <f t="shared" si="129"/>
        <v>118390447</v>
      </c>
      <c r="E183" s="794">
        <f t="shared" si="129"/>
        <v>102387567</v>
      </c>
      <c r="F183" s="814">
        <f t="shared" si="129"/>
        <v>0</v>
      </c>
      <c r="G183" s="814">
        <f t="shared" si="129"/>
        <v>0</v>
      </c>
      <c r="H183" s="814">
        <f t="shared" si="129"/>
        <v>0</v>
      </c>
      <c r="I183" s="814">
        <f t="shared" si="129"/>
        <v>0</v>
      </c>
      <c r="J183" s="814">
        <f t="shared" si="129"/>
        <v>0</v>
      </c>
      <c r="K183" s="814">
        <f t="shared" si="129"/>
        <v>0</v>
      </c>
      <c r="L183" s="814">
        <f t="shared" si="129"/>
        <v>0</v>
      </c>
      <c r="M183" s="814">
        <f t="shared" si="129"/>
        <v>0</v>
      </c>
      <c r="N183" s="814">
        <f t="shared" si="129"/>
        <v>0</v>
      </c>
      <c r="O183" s="814">
        <f t="shared" si="129"/>
        <v>0</v>
      </c>
      <c r="P183" s="814">
        <f t="shared" si="129"/>
        <v>0</v>
      </c>
      <c r="Q183" s="814">
        <f t="shared" si="129"/>
        <v>0</v>
      </c>
      <c r="R183" s="815">
        <f t="shared" si="130"/>
        <v>400000000</v>
      </c>
      <c r="S183" s="815">
        <f t="shared" si="130"/>
        <v>353282510</v>
      </c>
      <c r="T183" s="815">
        <f t="shared" si="130"/>
        <v>118390447</v>
      </c>
      <c r="U183" s="494">
        <f t="shared" si="130"/>
        <v>102387567</v>
      </c>
      <c r="V183" s="436"/>
      <c r="W183" s="780"/>
      <c r="X183" s="780"/>
      <c r="Y183" s="780"/>
      <c r="Z183" s="780"/>
      <c r="AA183" s="780"/>
      <c r="AB183" s="780"/>
      <c r="AC183" s="780"/>
      <c r="AD183" s="780"/>
      <c r="AE183" s="780"/>
      <c r="AF183" s="780"/>
      <c r="AG183" s="780"/>
      <c r="AH183" s="780"/>
      <c r="AI183" s="780"/>
      <c r="AJ183" s="780"/>
      <c r="AK183" s="780"/>
      <c r="AL183" s="780"/>
      <c r="AM183" s="780"/>
      <c r="AN183" s="780"/>
      <c r="AO183" s="780"/>
      <c r="AP183" s="780"/>
      <c r="AQ183" s="780"/>
      <c r="AR183" s="780"/>
      <c r="AS183" s="780"/>
    </row>
    <row r="184" spans="1:45" ht="16.5" thickTop="1" thickBot="1" x14ac:dyDescent="0.3">
      <c r="A184" s="217" t="s">
        <v>780</v>
      </c>
      <c r="B184" s="794">
        <f>+B185</f>
        <v>400000000</v>
      </c>
      <c r="C184" s="794">
        <f t="shared" si="129"/>
        <v>353282510</v>
      </c>
      <c r="D184" s="794">
        <f t="shared" si="129"/>
        <v>118390447</v>
      </c>
      <c r="E184" s="794">
        <f t="shared" si="129"/>
        <v>102387567</v>
      </c>
      <c r="F184" s="794">
        <f t="shared" si="129"/>
        <v>0</v>
      </c>
      <c r="G184" s="794">
        <f t="shared" si="129"/>
        <v>0</v>
      </c>
      <c r="H184" s="794">
        <f t="shared" si="129"/>
        <v>0</v>
      </c>
      <c r="I184" s="794">
        <f t="shared" si="129"/>
        <v>0</v>
      </c>
      <c r="J184" s="794">
        <f t="shared" si="129"/>
        <v>0</v>
      </c>
      <c r="K184" s="794">
        <f t="shared" si="129"/>
        <v>0</v>
      </c>
      <c r="L184" s="794">
        <f t="shared" si="129"/>
        <v>0</v>
      </c>
      <c r="M184" s="794">
        <f t="shared" si="129"/>
        <v>0</v>
      </c>
      <c r="N184" s="794">
        <f t="shared" si="129"/>
        <v>0</v>
      </c>
      <c r="O184" s="794">
        <f t="shared" si="129"/>
        <v>0</v>
      </c>
      <c r="P184" s="794">
        <f t="shared" si="129"/>
        <v>0</v>
      </c>
      <c r="Q184" s="794">
        <f t="shared" si="129"/>
        <v>0</v>
      </c>
      <c r="R184" s="796">
        <f t="shared" si="130"/>
        <v>400000000</v>
      </c>
      <c r="S184" s="796">
        <f t="shared" si="130"/>
        <v>353282510</v>
      </c>
      <c r="T184" s="796">
        <f t="shared" si="130"/>
        <v>118390447</v>
      </c>
      <c r="U184" s="463">
        <f t="shared" si="130"/>
        <v>102387567</v>
      </c>
      <c r="V184" s="436"/>
      <c r="W184" s="786">
        <f>R184</f>
        <v>400000000</v>
      </c>
      <c r="X184" s="780"/>
      <c r="Y184" s="780"/>
      <c r="Z184" s="780"/>
      <c r="AA184" s="780"/>
      <c r="AB184" s="780"/>
      <c r="AC184" s="780"/>
      <c r="AD184" s="780"/>
      <c r="AE184" s="780"/>
      <c r="AF184" s="780"/>
      <c r="AG184" s="780"/>
      <c r="AH184" s="780"/>
      <c r="AI184" s="780"/>
      <c r="AJ184" s="780"/>
      <c r="AK184" s="780"/>
      <c r="AL184" s="780"/>
      <c r="AM184" s="780"/>
      <c r="AN184" s="780"/>
      <c r="AO184" s="780"/>
      <c r="AP184" s="780"/>
      <c r="AQ184" s="780"/>
      <c r="AR184" s="780"/>
      <c r="AS184" s="780"/>
    </row>
    <row r="185" spans="1:45" ht="16.5" thickTop="1" thickBot="1" x14ac:dyDescent="0.3">
      <c r="A185" s="217" t="s">
        <v>781</v>
      </c>
      <c r="B185" s="794">
        <v>400000000</v>
      </c>
      <c r="C185" s="794">
        <v>353282510</v>
      </c>
      <c r="D185" s="794">
        <v>118390447</v>
      </c>
      <c r="E185" s="794">
        <v>102387567</v>
      </c>
      <c r="F185" s="794"/>
      <c r="G185" s="794"/>
      <c r="H185" s="794"/>
      <c r="I185" s="794"/>
      <c r="J185" s="794"/>
      <c r="K185" s="794"/>
      <c r="L185" s="794"/>
      <c r="M185" s="794"/>
      <c r="N185" s="794"/>
      <c r="O185" s="794"/>
      <c r="P185" s="794"/>
      <c r="Q185" s="794"/>
      <c r="R185" s="796">
        <f t="shared" si="130"/>
        <v>400000000</v>
      </c>
      <c r="S185" s="796">
        <f t="shared" si="130"/>
        <v>353282510</v>
      </c>
      <c r="T185" s="796">
        <f t="shared" si="130"/>
        <v>118390447</v>
      </c>
      <c r="U185" s="463">
        <f t="shared" si="130"/>
        <v>102387567</v>
      </c>
      <c r="V185" s="436"/>
      <c r="W185" s="780"/>
      <c r="X185" s="780"/>
      <c r="Y185" s="780"/>
      <c r="Z185" s="780"/>
      <c r="AA185" s="780"/>
      <c r="AB185" s="780"/>
      <c r="AC185" s="780"/>
      <c r="AD185" s="780"/>
      <c r="AE185" s="780"/>
      <c r="AF185" s="780"/>
      <c r="AG185" s="780"/>
      <c r="AH185" s="780"/>
      <c r="AI185" s="780"/>
      <c r="AJ185" s="780"/>
      <c r="AK185" s="780"/>
      <c r="AL185" s="780"/>
      <c r="AM185" s="780"/>
      <c r="AN185" s="780"/>
      <c r="AO185" s="780"/>
      <c r="AP185" s="780"/>
      <c r="AQ185" s="780"/>
      <c r="AR185" s="780"/>
      <c r="AS185" s="780"/>
    </row>
    <row r="186" spans="1:45" ht="27" thickTop="1" thickBot="1" x14ac:dyDescent="0.3">
      <c r="A186" s="498" t="s">
        <v>487</v>
      </c>
      <c r="B186" s="831">
        <f>+B187</f>
        <v>400000000</v>
      </c>
      <c r="C186" s="831">
        <f t="shared" ref="C186:Q188" si="131">+C187</f>
        <v>323886100</v>
      </c>
      <c r="D186" s="831">
        <f t="shared" si="131"/>
        <v>115022599</v>
      </c>
      <c r="E186" s="831">
        <f t="shared" si="131"/>
        <v>96287599</v>
      </c>
      <c r="F186" s="831">
        <f t="shared" si="131"/>
        <v>0</v>
      </c>
      <c r="G186" s="831">
        <f t="shared" si="131"/>
        <v>0</v>
      </c>
      <c r="H186" s="831">
        <f t="shared" si="131"/>
        <v>0</v>
      </c>
      <c r="I186" s="831">
        <f t="shared" si="131"/>
        <v>0</v>
      </c>
      <c r="J186" s="831">
        <f t="shared" si="131"/>
        <v>0</v>
      </c>
      <c r="K186" s="831">
        <f t="shared" si="131"/>
        <v>0</v>
      </c>
      <c r="L186" s="831">
        <f t="shared" si="131"/>
        <v>0</v>
      </c>
      <c r="M186" s="831">
        <f t="shared" si="131"/>
        <v>0</v>
      </c>
      <c r="N186" s="831">
        <f t="shared" si="131"/>
        <v>0</v>
      </c>
      <c r="O186" s="831">
        <f t="shared" si="131"/>
        <v>0</v>
      </c>
      <c r="P186" s="831">
        <f t="shared" si="131"/>
        <v>0</v>
      </c>
      <c r="Q186" s="831">
        <f t="shared" si="131"/>
        <v>0</v>
      </c>
      <c r="R186" s="832">
        <f>B186+F186+J186+N186</f>
        <v>400000000</v>
      </c>
      <c r="S186" s="832">
        <f t="shared" ref="S186:U186" si="132">C186+G186+K186+O186</f>
        <v>323886100</v>
      </c>
      <c r="T186" s="832">
        <f t="shared" si="132"/>
        <v>115022599</v>
      </c>
      <c r="U186" s="832">
        <f t="shared" si="132"/>
        <v>96287599</v>
      </c>
      <c r="V186" s="436"/>
      <c r="W186" s="780"/>
      <c r="X186" s="780"/>
      <c r="Y186" s="780"/>
      <c r="Z186" s="780"/>
      <c r="AA186" s="780"/>
      <c r="AB186" s="780"/>
      <c r="AC186" s="780"/>
      <c r="AD186" s="780"/>
      <c r="AE186" s="780"/>
      <c r="AF186" s="780"/>
      <c r="AG186" s="780"/>
      <c r="AH186" s="780"/>
      <c r="AI186" s="780"/>
      <c r="AJ186" s="780"/>
      <c r="AK186" s="780"/>
      <c r="AL186" s="780"/>
      <c r="AM186" s="780"/>
      <c r="AN186" s="780"/>
      <c r="AO186" s="780"/>
      <c r="AP186" s="780"/>
      <c r="AQ186" s="780"/>
      <c r="AR186" s="780"/>
      <c r="AS186" s="780"/>
    </row>
    <row r="187" spans="1:45" ht="16.5" thickTop="1" thickBot="1" x14ac:dyDescent="0.3">
      <c r="A187" s="499" t="s">
        <v>779</v>
      </c>
      <c r="B187" s="794">
        <f>+B188</f>
        <v>400000000</v>
      </c>
      <c r="C187" s="794">
        <f t="shared" si="131"/>
        <v>323886100</v>
      </c>
      <c r="D187" s="794">
        <f t="shared" si="131"/>
        <v>115022599</v>
      </c>
      <c r="E187" s="794">
        <f t="shared" si="131"/>
        <v>96287599</v>
      </c>
      <c r="F187" s="814">
        <f t="shared" si="131"/>
        <v>0</v>
      </c>
      <c r="G187" s="814">
        <f t="shared" si="131"/>
        <v>0</v>
      </c>
      <c r="H187" s="814">
        <f t="shared" si="131"/>
        <v>0</v>
      </c>
      <c r="I187" s="814">
        <f t="shared" si="131"/>
        <v>0</v>
      </c>
      <c r="J187" s="814">
        <f t="shared" si="131"/>
        <v>0</v>
      </c>
      <c r="K187" s="814">
        <f t="shared" si="131"/>
        <v>0</v>
      </c>
      <c r="L187" s="814">
        <f t="shared" si="131"/>
        <v>0</v>
      </c>
      <c r="M187" s="814">
        <f t="shared" si="131"/>
        <v>0</v>
      </c>
      <c r="N187" s="814">
        <f t="shared" si="131"/>
        <v>0</v>
      </c>
      <c r="O187" s="814">
        <f t="shared" si="131"/>
        <v>0</v>
      </c>
      <c r="P187" s="814">
        <f t="shared" si="131"/>
        <v>0</v>
      </c>
      <c r="Q187" s="814">
        <f t="shared" si="131"/>
        <v>0</v>
      </c>
      <c r="R187" s="815">
        <f t="shared" si="130"/>
        <v>400000000</v>
      </c>
      <c r="S187" s="815">
        <f t="shared" si="130"/>
        <v>323886100</v>
      </c>
      <c r="T187" s="815">
        <f t="shared" si="130"/>
        <v>115022599</v>
      </c>
      <c r="U187" s="494">
        <f t="shared" si="130"/>
        <v>96287599</v>
      </c>
      <c r="V187" s="436"/>
      <c r="W187" s="780"/>
      <c r="X187" s="780"/>
      <c r="Y187" s="780"/>
      <c r="Z187" s="780"/>
      <c r="AA187" s="780"/>
      <c r="AB187" s="780"/>
      <c r="AC187" s="780"/>
      <c r="AD187" s="780"/>
      <c r="AE187" s="780"/>
      <c r="AF187" s="780"/>
      <c r="AG187" s="780"/>
      <c r="AH187" s="780"/>
      <c r="AI187" s="780"/>
      <c r="AJ187" s="780"/>
      <c r="AK187" s="780"/>
      <c r="AL187" s="780"/>
      <c r="AM187" s="780"/>
      <c r="AN187" s="780"/>
      <c r="AO187" s="780"/>
      <c r="AP187" s="780"/>
      <c r="AQ187" s="780"/>
      <c r="AR187" s="780"/>
      <c r="AS187" s="780"/>
    </row>
    <row r="188" spans="1:45" ht="16.5" thickTop="1" thickBot="1" x14ac:dyDescent="0.3">
      <c r="A188" s="217" t="s">
        <v>780</v>
      </c>
      <c r="B188" s="794">
        <f>+B189</f>
        <v>400000000</v>
      </c>
      <c r="C188" s="794">
        <f t="shared" si="131"/>
        <v>323886100</v>
      </c>
      <c r="D188" s="794">
        <f t="shared" si="131"/>
        <v>115022599</v>
      </c>
      <c r="E188" s="794">
        <f t="shared" si="131"/>
        <v>96287599</v>
      </c>
      <c r="F188" s="794">
        <f t="shared" si="131"/>
        <v>0</v>
      </c>
      <c r="G188" s="794">
        <f t="shared" si="131"/>
        <v>0</v>
      </c>
      <c r="H188" s="794">
        <f t="shared" si="131"/>
        <v>0</v>
      </c>
      <c r="I188" s="794">
        <f t="shared" si="131"/>
        <v>0</v>
      </c>
      <c r="J188" s="794">
        <f t="shared" si="131"/>
        <v>0</v>
      </c>
      <c r="K188" s="794">
        <f t="shared" si="131"/>
        <v>0</v>
      </c>
      <c r="L188" s="794">
        <f t="shared" si="131"/>
        <v>0</v>
      </c>
      <c r="M188" s="794">
        <f t="shared" si="131"/>
        <v>0</v>
      </c>
      <c r="N188" s="831">
        <v>0</v>
      </c>
      <c r="O188" s="831">
        <v>0</v>
      </c>
      <c r="P188" s="831">
        <v>0</v>
      </c>
      <c r="Q188" s="831">
        <v>0</v>
      </c>
      <c r="R188" s="796">
        <f t="shared" si="130"/>
        <v>400000000</v>
      </c>
      <c r="S188" s="796">
        <f t="shared" si="130"/>
        <v>323886100</v>
      </c>
      <c r="T188" s="796">
        <f t="shared" si="130"/>
        <v>115022599</v>
      </c>
      <c r="U188" s="463">
        <f t="shared" si="130"/>
        <v>96287599</v>
      </c>
      <c r="V188" s="436"/>
      <c r="W188" s="786">
        <f>R188</f>
        <v>400000000</v>
      </c>
      <c r="X188" s="780"/>
      <c r="Y188" s="780"/>
      <c r="Z188" s="780"/>
      <c r="AA188" s="780"/>
      <c r="AB188" s="780"/>
      <c r="AC188" s="780"/>
      <c r="AD188" s="780"/>
      <c r="AE188" s="780"/>
      <c r="AF188" s="780"/>
      <c r="AG188" s="780"/>
      <c r="AH188" s="780"/>
      <c r="AI188" s="780"/>
      <c r="AJ188" s="780"/>
      <c r="AK188" s="780"/>
      <c r="AL188" s="780"/>
      <c r="AM188" s="780"/>
      <c r="AN188" s="780"/>
      <c r="AO188" s="780"/>
      <c r="AP188" s="780"/>
      <c r="AQ188" s="780"/>
      <c r="AR188" s="780"/>
      <c r="AS188" s="780"/>
    </row>
    <row r="189" spans="1:45" ht="16.5" thickTop="1" thickBot="1" x14ac:dyDescent="0.3">
      <c r="A189" s="217" t="s">
        <v>781</v>
      </c>
      <c r="B189" s="794">
        <v>400000000</v>
      </c>
      <c r="C189" s="794">
        <v>323886100</v>
      </c>
      <c r="D189" s="794">
        <v>115022599</v>
      </c>
      <c r="E189" s="794">
        <v>96287599</v>
      </c>
      <c r="F189" s="794"/>
      <c r="G189" s="794"/>
      <c r="H189" s="794"/>
      <c r="I189" s="794"/>
      <c r="J189" s="794"/>
      <c r="K189" s="794"/>
      <c r="L189" s="794"/>
      <c r="M189" s="794"/>
      <c r="N189" s="831">
        <v>0</v>
      </c>
      <c r="O189" s="831">
        <v>0</v>
      </c>
      <c r="P189" s="831">
        <v>0</v>
      </c>
      <c r="Q189" s="831">
        <v>0</v>
      </c>
      <c r="R189" s="796">
        <f t="shared" si="130"/>
        <v>400000000</v>
      </c>
      <c r="S189" s="796">
        <f t="shared" si="130"/>
        <v>323886100</v>
      </c>
      <c r="T189" s="796">
        <f t="shared" si="130"/>
        <v>115022599</v>
      </c>
      <c r="U189" s="463">
        <f t="shared" si="130"/>
        <v>96287599</v>
      </c>
      <c r="V189" s="436"/>
      <c r="W189" s="780"/>
      <c r="X189" s="780"/>
      <c r="Y189" s="780"/>
      <c r="Z189" s="780"/>
      <c r="AA189" s="780"/>
      <c r="AB189" s="780"/>
      <c r="AC189" s="780"/>
      <c r="AD189" s="780"/>
      <c r="AE189" s="780"/>
      <c r="AF189" s="780"/>
      <c r="AG189" s="780"/>
      <c r="AH189" s="780"/>
      <c r="AI189" s="780"/>
      <c r="AJ189" s="780"/>
      <c r="AK189" s="780"/>
      <c r="AL189" s="780"/>
      <c r="AM189" s="780"/>
      <c r="AN189" s="780"/>
      <c r="AO189" s="780"/>
      <c r="AP189" s="780"/>
      <c r="AQ189" s="780"/>
      <c r="AR189" s="780"/>
      <c r="AS189" s="780"/>
    </row>
    <row r="190" spans="1:45" ht="39.75" thickTop="1" thickBot="1" x14ac:dyDescent="0.3">
      <c r="A190" s="498" t="s">
        <v>512</v>
      </c>
      <c r="B190" s="831">
        <f>+B191</f>
        <v>2161000000</v>
      </c>
      <c r="C190" s="831">
        <f t="shared" ref="C190:Q200" si="133">+C191</f>
        <v>1864212530</v>
      </c>
      <c r="D190" s="831">
        <f t="shared" si="133"/>
        <v>563308867</v>
      </c>
      <c r="E190" s="831">
        <f t="shared" si="133"/>
        <v>491962767</v>
      </c>
      <c r="F190" s="831">
        <f t="shared" si="133"/>
        <v>0</v>
      </c>
      <c r="G190" s="831">
        <f t="shared" si="133"/>
        <v>0</v>
      </c>
      <c r="H190" s="831">
        <f t="shared" si="133"/>
        <v>0</v>
      </c>
      <c r="I190" s="831">
        <f t="shared" si="133"/>
        <v>0</v>
      </c>
      <c r="J190" s="831">
        <f t="shared" si="133"/>
        <v>0</v>
      </c>
      <c r="K190" s="831">
        <f t="shared" si="133"/>
        <v>0</v>
      </c>
      <c r="L190" s="831">
        <f t="shared" si="133"/>
        <v>0</v>
      </c>
      <c r="M190" s="831">
        <f t="shared" si="133"/>
        <v>0</v>
      </c>
      <c r="N190" s="831">
        <f t="shared" si="133"/>
        <v>0</v>
      </c>
      <c r="O190" s="831">
        <f t="shared" si="133"/>
        <v>0</v>
      </c>
      <c r="P190" s="831">
        <f t="shared" si="133"/>
        <v>0</v>
      </c>
      <c r="Q190" s="831">
        <f t="shared" si="133"/>
        <v>0</v>
      </c>
      <c r="R190" s="832">
        <f t="shared" si="130"/>
        <v>2161000000</v>
      </c>
      <c r="S190" s="832">
        <f t="shared" si="130"/>
        <v>1864212530</v>
      </c>
      <c r="T190" s="832">
        <f t="shared" si="130"/>
        <v>563308867</v>
      </c>
      <c r="U190" s="511">
        <f t="shared" si="130"/>
        <v>491962767</v>
      </c>
      <c r="V190" s="436"/>
      <c r="W190" s="780"/>
      <c r="X190" s="780"/>
      <c r="Y190" s="780"/>
      <c r="Z190" s="780"/>
      <c r="AA190" s="780"/>
      <c r="AB190" s="780"/>
      <c r="AC190" s="780"/>
      <c r="AD190" s="780"/>
      <c r="AE190" s="780"/>
      <c r="AF190" s="780"/>
      <c r="AG190" s="780"/>
      <c r="AH190" s="780"/>
      <c r="AI190" s="780"/>
      <c r="AJ190" s="780"/>
      <c r="AK190" s="780"/>
      <c r="AL190" s="780"/>
      <c r="AM190" s="780"/>
      <c r="AN190" s="780"/>
      <c r="AO190" s="780"/>
      <c r="AP190" s="780"/>
      <c r="AQ190" s="780"/>
      <c r="AR190" s="780"/>
      <c r="AS190" s="780"/>
    </row>
    <row r="191" spans="1:45" ht="16.5" thickTop="1" thickBot="1" x14ac:dyDescent="0.3">
      <c r="A191" s="499" t="s">
        <v>779</v>
      </c>
      <c r="B191" s="794">
        <f>+B192</f>
        <v>2161000000</v>
      </c>
      <c r="C191" s="814">
        <f t="shared" si="133"/>
        <v>1864212530</v>
      </c>
      <c r="D191" s="794">
        <f t="shared" si="133"/>
        <v>563308867</v>
      </c>
      <c r="E191" s="794">
        <f t="shared" si="133"/>
        <v>491962767</v>
      </c>
      <c r="F191" s="814">
        <f t="shared" si="133"/>
        <v>0</v>
      </c>
      <c r="G191" s="814">
        <f t="shared" si="133"/>
        <v>0</v>
      </c>
      <c r="H191" s="814">
        <f t="shared" si="133"/>
        <v>0</v>
      </c>
      <c r="I191" s="814">
        <f t="shared" si="133"/>
        <v>0</v>
      </c>
      <c r="J191" s="814">
        <f t="shared" si="133"/>
        <v>0</v>
      </c>
      <c r="K191" s="814">
        <f t="shared" si="133"/>
        <v>0</v>
      </c>
      <c r="L191" s="814">
        <f t="shared" si="133"/>
        <v>0</v>
      </c>
      <c r="M191" s="814">
        <f t="shared" si="133"/>
        <v>0</v>
      </c>
      <c r="N191" s="814">
        <f t="shared" si="133"/>
        <v>0</v>
      </c>
      <c r="O191" s="814">
        <f t="shared" si="133"/>
        <v>0</v>
      </c>
      <c r="P191" s="814">
        <f t="shared" si="133"/>
        <v>0</v>
      </c>
      <c r="Q191" s="814">
        <f t="shared" si="133"/>
        <v>0</v>
      </c>
      <c r="R191" s="815">
        <f t="shared" si="130"/>
        <v>2161000000</v>
      </c>
      <c r="S191" s="815">
        <f t="shared" si="130"/>
        <v>1864212530</v>
      </c>
      <c r="T191" s="815">
        <f t="shared" si="130"/>
        <v>563308867</v>
      </c>
      <c r="U191" s="494">
        <f t="shared" si="130"/>
        <v>491962767</v>
      </c>
      <c r="V191" s="436"/>
      <c r="W191" s="780"/>
      <c r="X191" s="780"/>
      <c r="Y191" s="780"/>
      <c r="Z191" s="780"/>
      <c r="AA191" s="780"/>
      <c r="AB191" s="780"/>
      <c r="AC191" s="780"/>
      <c r="AD191" s="780"/>
      <c r="AE191" s="780"/>
      <c r="AF191" s="780"/>
      <c r="AG191" s="780"/>
      <c r="AH191" s="780"/>
      <c r="AI191" s="780"/>
      <c r="AJ191" s="780"/>
      <c r="AK191" s="780"/>
      <c r="AL191" s="780"/>
      <c r="AM191" s="780"/>
      <c r="AN191" s="780"/>
      <c r="AO191" s="780"/>
      <c r="AP191" s="780"/>
      <c r="AQ191" s="780"/>
      <c r="AR191" s="780"/>
      <c r="AS191" s="780"/>
    </row>
    <row r="192" spans="1:45" ht="16.5" thickTop="1" thickBot="1" x14ac:dyDescent="0.3">
      <c r="A192" s="217" t="s">
        <v>780</v>
      </c>
      <c r="B192" s="794">
        <f>+B193</f>
        <v>2161000000</v>
      </c>
      <c r="C192" s="794">
        <f t="shared" si="133"/>
        <v>1864212530</v>
      </c>
      <c r="D192" s="794">
        <f t="shared" si="133"/>
        <v>563308867</v>
      </c>
      <c r="E192" s="794">
        <f t="shared" si="133"/>
        <v>491962767</v>
      </c>
      <c r="F192" s="794">
        <f t="shared" si="133"/>
        <v>0</v>
      </c>
      <c r="G192" s="794">
        <f t="shared" si="133"/>
        <v>0</v>
      </c>
      <c r="H192" s="794">
        <f t="shared" si="133"/>
        <v>0</v>
      </c>
      <c r="I192" s="794">
        <f t="shared" si="133"/>
        <v>0</v>
      </c>
      <c r="J192" s="794">
        <f t="shared" si="133"/>
        <v>0</v>
      </c>
      <c r="K192" s="794">
        <f t="shared" si="133"/>
        <v>0</v>
      </c>
      <c r="L192" s="794">
        <f t="shared" si="133"/>
        <v>0</v>
      </c>
      <c r="M192" s="794">
        <f t="shared" si="133"/>
        <v>0</v>
      </c>
      <c r="N192" s="794">
        <f t="shared" si="133"/>
        <v>0</v>
      </c>
      <c r="O192" s="794">
        <f t="shared" si="133"/>
        <v>0</v>
      </c>
      <c r="P192" s="794">
        <f t="shared" si="133"/>
        <v>0</v>
      </c>
      <c r="Q192" s="794">
        <f t="shared" si="133"/>
        <v>0</v>
      </c>
      <c r="R192" s="796">
        <f t="shared" si="130"/>
        <v>2161000000</v>
      </c>
      <c r="S192" s="796">
        <f t="shared" si="130"/>
        <v>1864212530</v>
      </c>
      <c r="T192" s="796">
        <f t="shared" si="130"/>
        <v>563308867</v>
      </c>
      <c r="U192" s="463">
        <f t="shared" si="130"/>
        <v>491962767</v>
      </c>
      <c r="V192" s="436"/>
      <c r="W192" s="786">
        <f>R192</f>
        <v>2161000000</v>
      </c>
      <c r="X192" s="780"/>
      <c r="Y192" s="780"/>
      <c r="Z192" s="780"/>
      <c r="AA192" s="780"/>
      <c r="AB192" s="780"/>
      <c r="AC192" s="780"/>
      <c r="AD192" s="780"/>
      <c r="AE192" s="780"/>
      <c r="AF192" s="780"/>
      <c r="AG192" s="780"/>
      <c r="AH192" s="780"/>
      <c r="AI192" s="780"/>
      <c r="AJ192" s="780"/>
      <c r="AK192" s="780"/>
      <c r="AL192" s="780"/>
      <c r="AM192" s="780"/>
      <c r="AN192" s="780"/>
      <c r="AO192" s="780"/>
      <c r="AP192" s="780"/>
      <c r="AQ192" s="780"/>
      <c r="AR192" s="780"/>
      <c r="AS192" s="780"/>
    </row>
    <row r="193" spans="1:45" ht="16.5" thickTop="1" thickBot="1" x14ac:dyDescent="0.3">
      <c r="A193" s="217" t="s">
        <v>781</v>
      </c>
      <c r="B193" s="794">
        <v>2161000000</v>
      </c>
      <c r="C193" s="794">
        <v>1864212530</v>
      </c>
      <c r="D193" s="794">
        <v>563308867</v>
      </c>
      <c r="E193" s="794">
        <v>491962767</v>
      </c>
      <c r="F193" s="794"/>
      <c r="G193" s="794"/>
      <c r="H193" s="794"/>
      <c r="I193" s="794"/>
      <c r="J193" s="794"/>
      <c r="K193" s="794"/>
      <c r="L193" s="794"/>
      <c r="M193" s="794"/>
      <c r="N193" s="794"/>
      <c r="O193" s="794"/>
      <c r="P193" s="794"/>
      <c r="Q193" s="794"/>
      <c r="R193" s="796">
        <f t="shared" si="130"/>
        <v>2161000000</v>
      </c>
      <c r="S193" s="796">
        <f t="shared" si="130"/>
        <v>1864212530</v>
      </c>
      <c r="T193" s="796">
        <f t="shared" si="130"/>
        <v>563308867</v>
      </c>
      <c r="U193" s="463">
        <f t="shared" si="130"/>
        <v>491962767</v>
      </c>
      <c r="V193" s="436"/>
      <c r="W193" s="780"/>
      <c r="X193" s="780"/>
      <c r="Y193" s="780"/>
      <c r="Z193" s="780"/>
      <c r="AA193" s="780"/>
      <c r="AB193" s="780"/>
      <c r="AC193" s="780"/>
      <c r="AD193" s="780"/>
      <c r="AE193" s="780"/>
      <c r="AF193" s="780"/>
      <c r="AG193" s="780"/>
      <c r="AH193" s="780"/>
      <c r="AI193" s="780"/>
      <c r="AJ193" s="780"/>
      <c r="AK193" s="780"/>
      <c r="AL193" s="780"/>
      <c r="AM193" s="780"/>
      <c r="AN193" s="780"/>
      <c r="AO193" s="780"/>
      <c r="AP193" s="780"/>
      <c r="AQ193" s="780"/>
      <c r="AR193" s="780"/>
      <c r="AS193" s="780"/>
    </row>
    <row r="194" spans="1:45" ht="52.5" thickTop="1" thickBot="1" x14ac:dyDescent="0.3">
      <c r="A194" s="498" t="s">
        <v>530</v>
      </c>
      <c r="B194" s="831">
        <f>+B195</f>
        <v>400000000</v>
      </c>
      <c r="C194" s="831">
        <f t="shared" ref="C194:E194" si="134">+C195</f>
        <v>163479070</v>
      </c>
      <c r="D194" s="831">
        <f t="shared" si="134"/>
        <v>16330190</v>
      </c>
      <c r="E194" s="831">
        <f t="shared" si="134"/>
        <v>13470190</v>
      </c>
      <c r="F194" s="831">
        <f t="shared" si="133"/>
        <v>0</v>
      </c>
      <c r="G194" s="831">
        <f t="shared" si="133"/>
        <v>0</v>
      </c>
      <c r="H194" s="831">
        <f t="shared" si="133"/>
        <v>0</v>
      </c>
      <c r="I194" s="831">
        <f t="shared" si="133"/>
        <v>0</v>
      </c>
      <c r="J194" s="831">
        <f t="shared" si="133"/>
        <v>0</v>
      </c>
      <c r="K194" s="831">
        <f t="shared" si="133"/>
        <v>0</v>
      </c>
      <c r="L194" s="831">
        <f t="shared" si="133"/>
        <v>0</v>
      </c>
      <c r="M194" s="831">
        <f t="shared" si="133"/>
        <v>0</v>
      </c>
      <c r="N194" s="831">
        <f t="shared" si="133"/>
        <v>0</v>
      </c>
      <c r="O194" s="831">
        <f t="shared" si="133"/>
        <v>0</v>
      </c>
      <c r="P194" s="831">
        <f t="shared" si="133"/>
        <v>0</v>
      </c>
      <c r="Q194" s="831">
        <f t="shared" si="133"/>
        <v>0</v>
      </c>
      <c r="R194" s="832">
        <f t="shared" si="130"/>
        <v>400000000</v>
      </c>
      <c r="S194" s="832">
        <f t="shared" si="130"/>
        <v>163479070</v>
      </c>
      <c r="T194" s="832">
        <f t="shared" si="130"/>
        <v>16330190</v>
      </c>
      <c r="U194" s="511">
        <f t="shared" si="130"/>
        <v>13470190</v>
      </c>
      <c r="V194" s="436"/>
      <c r="W194" s="780"/>
      <c r="X194" s="780"/>
      <c r="Y194" s="780"/>
      <c r="Z194" s="780"/>
      <c r="AA194" s="780"/>
      <c r="AB194" s="780"/>
      <c r="AC194" s="780"/>
      <c r="AD194" s="780"/>
      <c r="AE194" s="780"/>
      <c r="AF194" s="780"/>
      <c r="AG194" s="780"/>
      <c r="AH194" s="780"/>
      <c r="AI194" s="780"/>
      <c r="AJ194" s="780"/>
      <c r="AK194" s="780"/>
      <c r="AL194" s="780"/>
      <c r="AM194" s="780"/>
      <c r="AN194" s="780"/>
      <c r="AO194" s="780"/>
      <c r="AP194" s="780"/>
      <c r="AQ194" s="780"/>
      <c r="AR194" s="780"/>
      <c r="AS194" s="780"/>
    </row>
    <row r="195" spans="1:45" ht="16.5" thickTop="1" thickBot="1" x14ac:dyDescent="0.3">
      <c r="A195" s="499" t="s">
        <v>779</v>
      </c>
      <c r="B195" s="794">
        <f>+B196</f>
        <v>400000000</v>
      </c>
      <c r="C195" s="794">
        <f t="shared" si="133"/>
        <v>163479070</v>
      </c>
      <c r="D195" s="794">
        <f t="shared" si="133"/>
        <v>16330190</v>
      </c>
      <c r="E195" s="794">
        <f t="shared" si="133"/>
        <v>13470190</v>
      </c>
      <c r="F195" s="814">
        <f t="shared" si="133"/>
        <v>0</v>
      </c>
      <c r="G195" s="814">
        <f t="shared" si="133"/>
        <v>0</v>
      </c>
      <c r="H195" s="814">
        <f t="shared" si="133"/>
        <v>0</v>
      </c>
      <c r="I195" s="814">
        <f t="shared" si="133"/>
        <v>0</v>
      </c>
      <c r="J195" s="814">
        <f t="shared" si="133"/>
        <v>0</v>
      </c>
      <c r="K195" s="814">
        <f t="shared" si="133"/>
        <v>0</v>
      </c>
      <c r="L195" s="814">
        <f t="shared" si="133"/>
        <v>0</v>
      </c>
      <c r="M195" s="814">
        <f t="shared" si="133"/>
        <v>0</v>
      </c>
      <c r="N195" s="814">
        <f t="shared" si="133"/>
        <v>0</v>
      </c>
      <c r="O195" s="814">
        <f t="shared" si="133"/>
        <v>0</v>
      </c>
      <c r="P195" s="814">
        <f t="shared" si="133"/>
        <v>0</v>
      </c>
      <c r="Q195" s="814">
        <f t="shared" si="133"/>
        <v>0</v>
      </c>
      <c r="R195" s="815">
        <f t="shared" si="130"/>
        <v>400000000</v>
      </c>
      <c r="S195" s="815">
        <f t="shared" si="130"/>
        <v>163479070</v>
      </c>
      <c r="T195" s="815">
        <f t="shared" si="130"/>
        <v>16330190</v>
      </c>
      <c r="U195" s="494">
        <f t="shared" si="130"/>
        <v>13470190</v>
      </c>
      <c r="V195" s="436"/>
      <c r="W195" s="780"/>
      <c r="X195" s="780"/>
      <c r="Y195" s="780"/>
      <c r="Z195" s="780"/>
      <c r="AA195" s="780"/>
      <c r="AB195" s="780"/>
      <c r="AC195" s="780"/>
      <c r="AD195" s="780"/>
      <c r="AE195" s="780"/>
      <c r="AF195" s="780"/>
      <c r="AG195" s="780"/>
      <c r="AH195" s="780"/>
      <c r="AI195" s="780"/>
      <c r="AJ195" s="780"/>
      <c r="AK195" s="780"/>
      <c r="AL195" s="780"/>
      <c r="AM195" s="780"/>
      <c r="AN195" s="780"/>
      <c r="AO195" s="780"/>
      <c r="AP195" s="780"/>
      <c r="AQ195" s="780"/>
      <c r="AR195" s="780"/>
      <c r="AS195" s="780"/>
    </row>
    <row r="196" spans="1:45" ht="16.5" thickTop="1" thickBot="1" x14ac:dyDescent="0.3">
      <c r="A196" s="217" t="s">
        <v>780</v>
      </c>
      <c r="B196" s="794">
        <f>+B197</f>
        <v>400000000</v>
      </c>
      <c r="C196" s="794">
        <f t="shared" si="133"/>
        <v>163479070</v>
      </c>
      <c r="D196" s="794">
        <f t="shared" si="133"/>
        <v>16330190</v>
      </c>
      <c r="E196" s="794">
        <f t="shared" si="133"/>
        <v>13470190</v>
      </c>
      <c r="F196" s="794">
        <f t="shared" si="133"/>
        <v>0</v>
      </c>
      <c r="G196" s="794">
        <f t="shared" si="133"/>
        <v>0</v>
      </c>
      <c r="H196" s="794">
        <f t="shared" si="133"/>
        <v>0</v>
      </c>
      <c r="I196" s="794">
        <f t="shared" si="133"/>
        <v>0</v>
      </c>
      <c r="J196" s="794">
        <f t="shared" si="133"/>
        <v>0</v>
      </c>
      <c r="K196" s="794">
        <f t="shared" si="133"/>
        <v>0</v>
      </c>
      <c r="L196" s="794">
        <f t="shared" si="133"/>
        <v>0</v>
      </c>
      <c r="M196" s="794">
        <f t="shared" si="133"/>
        <v>0</v>
      </c>
      <c r="N196" s="794">
        <f t="shared" si="133"/>
        <v>0</v>
      </c>
      <c r="O196" s="794">
        <f t="shared" si="133"/>
        <v>0</v>
      </c>
      <c r="P196" s="794">
        <f t="shared" si="133"/>
        <v>0</v>
      </c>
      <c r="Q196" s="794">
        <f t="shared" si="133"/>
        <v>0</v>
      </c>
      <c r="R196" s="796">
        <f t="shared" si="130"/>
        <v>400000000</v>
      </c>
      <c r="S196" s="796">
        <f t="shared" si="130"/>
        <v>163479070</v>
      </c>
      <c r="T196" s="796">
        <f t="shared" si="130"/>
        <v>16330190</v>
      </c>
      <c r="U196" s="463">
        <f t="shared" si="130"/>
        <v>13470190</v>
      </c>
      <c r="V196" s="436"/>
      <c r="W196" s="786">
        <f>R196</f>
        <v>400000000</v>
      </c>
      <c r="X196" s="780"/>
      <c r="Y196" s="780"/>
      <c r="Z196" s="780"/>
      <c r="AA196" s="780"/>
      <c r="AB196" s="780"/>
      <c r="AC196" s="780"/>
      <c r="AD196" s="780"/>
      <c r="AE196" s="780"/>
      <c r="AF196" s="780"/>
      <c r="AG196" s="780"/>
      <c r="AH196" s="780"/>
      <c r="AI196" s="780"/>
      <c r="AJ196" s="780"/>
      <c r="AK196" s="780"/>
      <c r="AL196" s="780"/>
      <c r="AM196" s="780"/>
      <c r="AN196" s="780"/>
      <c r="AO196" s="780"/>
      <c r="AP196" s="780"/>
      <c r="AQ196" s="780"/>
      <c r="AR196" s="780"/>
      <c r="AS196" s="780"/>
    </row>
    <row r="197" spans="1:45" ht="16.5" thickTop="1" thickBot="1" x14ac:dyDescent="0.3">
      <c r="A197" s="217" t="s">
        <v>781</v>
      </c>
      <c r="B197" s="794">
        <v>400000000</v>
      </c>
      <c r="C197" s="794">
        <v>163479070</v>
      </c>
      <c r="D197" s="794">
        <v>16330190</v>
      </c>
      <c r="E197" s="794">
        <v>13470190</v>
      </c>
      <c r="F197" s="794"/>
      <c r="G197" s="794"/>
      <c r="H197" s="794"/>
      <c r="I197" s="794"/>
      <c r="J197" s="794"/>
      <c r="K197" s="794"/>
      <c r="L197" s="794"/>
      <c r="M197" s="794"/>
      <c r="N197" s="794"/>
      <c r="O197" s="794"/>
      <c r="P197" s="794"/>
      <c r="Q197" s="794"/>
      <c r="R197" s="796">
        <f t="shared" si="130"/>
        <v>400000000</v>
      </c>
      <c r="S197" s="796">
        <f t="shared" si="130"/>
        <v>163479070</v>
      </c>
      <c r="T197" s="796">
        <f t="shared" si="130"/>
        <v>16330190</v>
      </c>
      <c r="U197" s="463">
        <f t="shared" si="130"/>
        <v>13470190</v>
      </c>
      <c r="V197" s="436"/>
      <c r="W197" s="780"/>
      <c r="X197" s="780"/>
      <c r="Y197" s="780"/>
      <c r="Z197" s="780"/>
      <c r="AA197" s="780"/>
      <c r="AB197" s="780"/>
      <c r="AC197" s="780"/>
      <c r="AD197" s="780"/>
      <c r="AE197" s="780"/>
      <c r="AF197" s="780"/>
      <c r="AG197" s="780"/>
      <c r="AH197" s="780"/>
      <c r="AI197" s="780"/>
      <c r="AJ197" s="780"/>
      <c r="AK197" s="780"/>
      <c r="AL197" s="780"/>
      <c r="AM197" s="780"/>
      <c r="AN197" s="780"/>
      <c r="AO197" s="780"/>
      <c r="AP197" s="780"/>
      <c r="AQ197" s="780"/>
      <c r="AR197" s="780"/>
      <c r="AS197" s="780"/>
    </row>
    <row r="198" spans="1:45" ht="39.75" thickTop="1" thickBot="1" x14ac:dyDescent="0.3">
      <c r="A198" s="498" t="s">
        <v>785</v>
      </c>
      <c r="B198" s="831">
        <f>+B199</f>
        <v>400000000</v>
      </c>
      <c r="C198" s="831">
        <f t="shared" ref="C198:E198" si="135">+C199</f>
        <v>80086260</v>
      </c>
      <c r="D198" s="831">
        <f t="shared" si="135"/>
        <v>13575993</v>
      </c>
      <c r="E198" s="831">
        <f t="shared" si="135"/>
        <v>9565693</v>
      </c>
      <c r="F198" s="831">
        <f t="shared" si="133"/>
        <v>0</v>
      </c>
      <c r="G198" s="831">
        <f t="shared" si="133"/>
        <v>0</v>
      </c>
      <c r="H198" s="831">
        <f t="shared" si="133"/>
        <v>0</v>
      </c>
      <c r="I198" s="831">
        <f t="shared" si="133"/>
        <v>0</v>
      </c>
      <c r="J198" s="831">
        <f t="shared" si="133"/>
        <v>0</v>
      </c>
      <c r="K198" s="831">
        <f t="shared" si="133"/>
        <v>0</v>
      </c>
      <c r="L198" s="831">
        <f t="shared" si="133"/>
        <v>0</v>
      </c>
      <c r="M198" s="831">
        <f t="shared" si="133"/>
        <v>0</v>
      </c>
      <c r="N198" s="831">
        <f t="shared" si="133"/>
        <v>0</v>
      </c>
      <c r="O198" s="831">
        <f t="shared" si="133"/>
        <v>0</v>
      </c>
      <c r="P198" s="831">
        <f t="shared" si="133"/>
        <v>0</v>
      </c>
      <c r="Q198" s="831">
        <f t="shared" si="133"/>
        <v>0</v>
      </c>
      <c r="R198" s="832">
        <f t="shared" ref="R198:U205" si="136">+B198+F198+J198+N198</f>
        <v>400000000</v>
      </c>
      <c r="S198" s="832">
        <f t="shared" si="136"/>
        <v>80086260</v>
      </c>
      <c r="T198" s="832">
        <f t="shared" si="136"/>
        <v>13575993</v>
      </c>
      <c r="U198" s="511">
        <f t="shared" si="136"/>
        <v>9565693</v>
      </c>
      <c r="V198" s="436"/>
      <c r="W198" s="780"/>
      <c r="X198" s="780"/>
      <c r="Y198" s="780"/>
      <c r="Z198" s="780"/>
      <c r="AA198" s="780"/>
      <c r="AB198" s="780"/>
      <c r="AC198" s="780"/>
      <c r="AD198" s="780"/>
      <c r="AE198" s="780"/>
      <c r="AF198" s="780"/>
      <c r="AG198" s="780"/>
      <c r="AH198" s="780"/>
      <c r="AI198" s="780"/>
      <c r="AJ198" s="780"/>
      <c r="AK198" s="780"/>
      <c r="AL198" s="780"/>
      <c r="AM198" s="780"/>
      <c r="AN198" s="780"/>
      <c r="AO198" s="780"/>
      <c r="AP198" s="780"/>
      <c r="AQ198" s="780"/>
      <c r="AR198" s="780"/>
      <c r="AS198" s="780"/>
    </row>
    <row r="199" spans="1:45" ht="16.5" thickTop="1" thickBot="1" x14ac:dyDescent="0.3">
      <c r="A199" s="499" t="s">
        <v>779</v>
      </c>
      <c r="B199" s="794">
        <f>+B200</f>
        <v>400000000</v>
      </c>
      <c r="C199" s="794">
        <f t="shared" si="133"/>
        <v>80086260</v>
      </c>
      <c r="D199" s="794">
        <f t="shared" si="133"/>
        <v>13575993</v>
      </c>
      <c r="E199" s="794">
        <f t="shared" si="133"/>
        <v>9565693</v>
      </c>
      <c r="F199" s="814">
        <f t="shared" si="133"/>
        <v>0</v>
      </c>
      <c r="G199" s="814">
        <f t="shared" si="133"/>
        <v>0</v>
      </c>
      <c r="H199" s="814">
        <f t="shared" si="133"/>
        <v>0</v>
      </c>
      <c r="I199" s="814">
        <f t="shared" si="133"/>
        <v>0</v>
      </c>
      <c r="J199" s="814">
        <f t="shared" si="133"/>
        <v>0</v>
      </c>
      <c r="K199" s="814">
        <f t="shared" si="133"/>
        <v>0</v>
      </c>
      <c r="L199" s="814">
        <f t="shared" si="133"/>
        <v>0</v>
      </c>
      <c r="M199" s="814">
        <f t="shared" si="133"/>
        <v>0</v>
      </c>
      <c r="N199" s="814">
        <f t="shared" si="133"/>
        <v>0</v>
      </c>
      <c r="O199" s="814">
        <f t="shared" si="133"/>
        <v>0</v>
      </c>
      <c r="P199" s="814">
        <f t="shared" si="133"/>
        <v>0</v>
      </c>
      <c r="Q199" s="814">
        <f t="shared" si="133"/>
        <v>0</v>
      </c>
      <c r="R199" s="815">
        <f t="shared" si="136"/>
        <v>400000000</v>
      </c>
      <c r="S199" s="815">
        <f t="shared" si="136"/>
        <v>80086260</v>
      </c>
      <c r="T199" s="815">
        <f t="shared" si="136"/>
        <v>13575993</v>
      </c>
      <c r="U199" s="494">
        <f t="shared" si="136"/>
        <v>9565693</v>
      </c>
      <c r="V199" s="436"/>
      <c r="W199" s="780"/>
      <c r="X199" s="780"/>
      <c r="Y199" s="780"/>
      <c r="Z199" s="780"/>
      <c r="AA199" s="780"/>
      <c r="AB199" s="780"/>
      <c r="AC199" s="780"/>
      <c r="AD199" s="780"/>
      <c r="AE199" s="780"/>
      <c r="AF199" s="780"/>
      <c r="AG199" s="780"/>
      <c r="AH199" s="780"/>
      <c r="AI199" s="780"/>
      <c r="AJ199" s="780"/>
      <c r="AK199" s="780"/>
      <c r="AL199" s="780"/>
      <c r="AM199" s="780"/>
      <c r="AN199" s="780"/>
      <c r="AO199" s="780"/>
      <c r="AP199" s="780"/>
      <c r="AQ199" s="780"/>
      <c r="AR199" s="780"/>
      <c r="AS199" s="780"/>
    </row>
    <row r="200" spans="1:45" ht="16.5" thickTop="1" thickBot="1" x14ac:dyDescent="0.3">
      <c r="A200" s="217" t="s">
        <v>780</v>
      </c>
      <c r="B200" s="794">
        <f>+B201</f>
        <v>400000000</v>
      </c>
      <c r="C200" s="794">
        <f t="shared" si="133"/>
        <v>80086260</v>
      </c>
      <c r="D200" s="794">
        <f t="shared" si="133"/>
        <v>13575993</v>
      </c>
      <c r="E200" s="794">
        <f t="shared" si="133"/>
        <v>9565693</v>
      </c>
      <c r="F200" s="794">
        <f t="shared" si="133"/>
        <v>0</v>
      </c>
      <c r="G200" s="794">
        <f t="shared" si="133"/>
        <v>0</v>
      </c>
      <c r="H200" s="794">
        <f t="shared" si="133"/>
        <v>0</v>
      </c>
      <c r="I200" s="794">
        <f t="shared" si="133"/>
        <v>0</v>
      </c>
      <c r="J200" s="794">
        <f t="shared" si="133"/>
        <v>0</v>
      </c>
      <c r="K200" s="794">
        <f t="shared" si="133"/>
        <v>0</v>
      </c>
      <c r="L200" s="794">
        <f t="shared" si="133"/>
        <v>0</v>
      </c>
      <c r="M200" s="794">
        <f t="shared" si="133"/>
        <v>0</v>
      </c>
      <c r="N200" s="794">
        <f t="shared" si="133"/>
        <v>0</v>
      </c>
      <c r="O200" s="794">
        <f t="shared" si="133"/>
        <v>0</v>
      </c>
      <c r="P200" s="794">
        <f t="shared" si="133"/>
        <v>0</v>
      </c>
      <c r="Q200" s="794">
        <f t="shared" si="133"/>
        <v>0</v>
      </c>
      <c r="R200" s="796">
        <f t="shared" si="136"/>
        <v>400000000</v>
      </c>
      <c r="S200" s="796">
        <f t="shared" si="136"/>
        <v>80086260</v>
      </c>
      <c r="T200" s="796">
        <f t="shared" si="136"/>
        <v>13575993</v>
      </c>
      <c r="U200" s="463">
        <f t="shared" si="136"/>
        <v>9565693</v>
      </c>
      <c r="V200" s="436"/>
      <c r="W200" s="786">
        <f>R200</f>
        <v>400000000</v>
      </c>
      <c r="X200" s="780"/>
      <c r="Y200" s="780"/>
      <c r="Z200" s="780"/>
      <c r="AA200" s="780"/>
      <c r="AB200" s="780"/>
      <c r="AC200" s="780"/>
      <c r="AD200" s="780"/>
      <c r="AE200" s="780"/>
      <c r="AF200" s="780"/>
      <c r="AG200" s="780"/>
      <c r="AH200" s="780"/>
      <c r="AI200" s="780"/>
      <c r="AJ200" s="780"/>
      <c r="AK200" s="780"/>
      <c r="AL200" s="780"/>
      <c r="AM200" s="780"/>
      <c r="AN200" s="780"/>
      <c r="AO200" s="780"/>
      <c r="AP200" s="780"/>
      <c r="AQ200" s="780"/>
      <c r="AR200" s="780"/>
      <c r="AS200" s="780"/>
    </row>
    <row r="201" spans="1:45" ht="16.5" thickTop="1" thickBot="1" x14ac:dyDescent="0.3">
      <c r="A201" s="217" t="s">
        <v>781</v>
      </c>
      <c r="B201" s="794">
        <v>400000000</v>
      </c>
      <c r="C201" s="794">
        <v>80086260</v>
      </c>
      <c r="D201" s="794">
        <v>13575993</v>
      </c>
      <c r="E201" s="794">
        <v>9565693</v>
      </c>
      <c r="F201" s="794"/>
      <c r="G201" s="794"/>
      <c r="H201" s="794"/>
      <c r="I201" s="794"/>
      <c r="J201" s="794"/>
      <c r="K201" s="794"/>
      <c r="L201" s="794"/>
      <c r="M201" s="794"/>
      <c r="N201" s="794"/>
      <c r="O201" s="794"/>
      <c r="P201" s="794"/>
      <c r="Q201" s="794"/>
      <c r="R201" s="796">
        <f t="shared" si="136"/>
        <v>400000000</v>
      </c>
      <c r="S201" s="796">
        <f t="shared" si="136"/>
        <v>80086260</v>
      </c>
      <c r="T201" s="796">
        <f t="shared" si="136"/>
        <v>13575993</v>
      </c>
      <c r="U201" s="463">
        <f t="shared" si="136"/>
        <v>9565693</v>
      </c>
      <c r="V201" s="436"/>
      <c r="W201" s="780"/>
      <c r="X201" s="780"/>
      <c r="Y201" s="780"/>
      <c r="Z201" s="780"/>
      <c r="AA201" s="780"/>
      <c r="AB201" s="780"/>
      <c r="AC201" s="780"/>
      <c r="AD201" s="780"/>
      <c r="AE201" s="780"/>
      <c r="AF201" s="780"/>
      <c r="AG201" s="780"/>
      <c r="AH201" s="780"/>
      <c r="AI201" s="780"/>
      <c r="AJ201" s="780"/>
      <c r="AK201" s="780"/>
      <c r="AL201" s="780"/>
      <c r="AM201" s="780"/>
      <c r="AN201" s="780"/>
      <c r="AO201" s="780"/>
      <c r="AP201" s="780"/>
      <c r="AQ201" s="780"/>
      <c r="AR201" s="780"/>
      <c r="AS201" s="780"/>
    </row>
    <row r="202" spans="1:45" ht="27" thickTop="1" thickBot="1" x14ac:dyDescent="0.3">
      <c r="A202" s="498" t="s">
        <v>786</v>
      </c>
      <c r="B202" s="831">
        <f>+B203</f>
        <v>200000000</v>
      </c>
      <c r="C202" s="831">
        <f t="shared" ref="C202:Q204" si="137">+C203</f>
        <v>91974036</v>
      </c>
      <c r="D202" s="831">
        <f t="shared" si="137"/>
        <v>43388569</v>
      </c>
      <c r="E202" s="831">
        <f t="shared" si="137"/>
        <v>39010569</v>
      </c>
      <c r="F202" s="831">
        <f t="shared" si="137"/>
        <v>0</v>
      </c>
      <c r="G202" s="831">
        <f t="shared" si="137"/>
        <v>0</v>
      </c>
      <c r="H202" s="831">
        <f t="shared" si="137"/>
        <v>0</v>
      </c>
      <c r="I202" s="831">
        <f t="shared" si="137"/>
        <v>0</v>
      </c>
      <c r="J202" s="831">
        <f t="shared" si="137"/>
        <v>0</v>
      </c>
      <c r="K202" s="831">
        <f t="shared" si="137"/>
        <v>0</v>
      </c>
      <c r="L202" s="831">
        <f t="shared" si="137"/>
        <v>0</v>
      </c>
      <c r="M202" s="831">
        <f t="shared" si="137"/>
        <v>0</v>
      </c>
      <c r="N202" s="831">
        <f t="shared" si="137"/>
        <v>0</v>
      </c>
      <c r="O202" s="831">
        <f t="shared" si="137"/>
        <v>0</v>
      </c>
      <c r="P202" s="831">
        <f t="shared" si="137"/>
        <v>0</v>
      </c>
      <c r="Q202" s="831">
        <f t="shared" si="137"/>
        <v>0</v>
      </c>
      <c r="R202" s="832">
        <f>B202+F202+J202+N202</f>
        <v>200000000</v>
      </c>
      <c r="S202" s="832">
        <f t="shared" ref="S202:V202" si="138">C202+G202+K202+O202</f>
        <v>91974036</v>
      </c>
      <c r="T202" s="832">
        <f t="shared" si="138"/>
        <v>43388569</v>
      </c>
      <c r="U202" s="832">
        <f t="shared" si="138"/>
        <v>39010569</v>
      </c>
      <c r="V202" s="832">
        <f t="shared" si="138"/>
        <v>200000000</v>
      </c>
      <c r="W202" s="780"/>
      <c r="X202" s="780"/>
      <c r="Y202" s="780"/>
      <c r="Z202" s="780"/>
      <c r="AA202" s="780"/>
      <c r="AB202" s="780"/>
      <c r="AC202" s="780"/>
      <c r="AD202" s="780"/>
      <c r="AE202" s="780"/>
      <c r="AF202" s="780"/>
      <c r="AG202" s="780"/>
      <c r="AH202" s="780"/>
      <c r="AI202" s="780"/>
      <c r="AJ202" s="780"/>
      <c r="AK202" s="780"/>
      <c r="AL202" s="780"/>
      <c r="AM202" s="780"/>
      <c r="AN202" s="780"/>
      <c r="AO202" s="780"/>
      <c r="AP202" s="780"/>
      <c r="AQ202" s="780"/>
      <c r="AR202" s="780"/>
      <c r="AS202" s="780"/>
    </row>
    <row r="203" spans="1:45" ht="16.5" thickTop="1" thickBot="1" x14ac:dyDescent="0.3">
      <c r="A203" s="499" t="s">
        <v>779</v>
      </c>
      <c r="B203" s="794">
        <f>+B204</f>
        <v>200000000</v>
      </c>
      <c r="C203" s="794">
        <f t="shared" si="137"/>
        <v>91974036</v>
      </c>
      <c r="D203" s="794">
        <f t="shared" si="137"/>
        <v>43388569</v>
      </c>
      <c r="E203" s="794">
        <f t="shared" si="137"/>
        <v>39010569</v>
      </c>
      <c r="F203" s="814">
        <f t="shared" si="137"/>
        <v>0</v>
      </c>
      <c r="G203" s="814">
        <f t="shared" si="137"/>
        <v>0</v>
      </c>
      <c r="H203" s="814">
        <f t="shared" si="137"/>
        <v>0</v>
      </c>
      <c r="I203" s="814">
        <f t="shared" si="137"/>
        <v>0</v>
      </c>
      <c r="J203" s="814">
        <f t="shared" si="137"/>
        <v>0</v>
      </c>
      <c r="K203" s="814">
        <f t="shared" si="137"/>
        <v>0</v>
      </c>
      <c r="L203" s="814">
        <f t="shared" si="137"/>
        <v>0</v>
      </c>
      <c r="M203" s="814">
        <f t="shared" si="137"/>
        <v>0</v>
      </c>
      <c r="N203" s="814">
        <f t="shared" si="137"/>
        <v>0</v>
      </c>
      <c r="O203" s="814">
        <f t="shared" si="137"/>
        <v>0</v>
      </c>
      <c r="P203" s="814">
        <f t="shared" si="137"/>
        <v>0</v>
      </c>
      <c r="Q203" s="814">
        <f t="shared" si="137"/>
        <v>0</v>
      </c>
      <c r="R203" s="815">
        <f t="shared" si="136"/>
        <v>200000000</v>
      </c>
      <c r="S203" s="815">
        <f t="shared" si="136"/>
        <v>91974036</v>
      </c>
      <c r="T203" s="815">
        <f t="shared" si="136"/>
        <v>43388569</v>
      </c>
      <c r="U203" s="494">
        <f t="shared" si="136"/>
        <v>39010569</v>
      </c>
      <c r="V203" s="436"/>
      <c r="W203" s="780"/>
      <c r="X203" s="780"/>
      <c r="Y203" s="780"/>
      <c r="Z203" s="780"/>
      <c r="AA203" s="780"/>
      <c r="AB203" s="780"/>
      <c r="AC203" s="780"/>
      <c r="AD203" s="780"/>
      <c r="AE203" s="780"/>
      <c r="AF203" s="780"/>
      <c r="AG203" s="780"/>
      <c r="AH203" s="780"/>
      <c r="AI203" s="780"/>
      <c r="AJ203" s="780"/>
      <c r="AK203" s="780"/>
      <c r="AL203" s="780"/>
      <c r="AM203" s="780"/>
      <c r="AN203" s="780"/>
      <c r="AO203" s="780"/>
      <c r="AP203" s="780"/>
      <c r="AQ203" s="780"/>
      <c r="AR203" s="780"/>
      <c r="AS203" s="780"/>
    </row>
    <row r="204" spans="1:45" ht="16.5" thickTop="1" thickBot="1" x14ac:dyDescent="0.3">
      <c r="A204" s="217" t="s">
        <v>780</v>
      </c>
      <c r="B204" s="794">
        <f>+B205</f>
        <v>200000000</v>
      </c>
      <c r="C204" s="794">
        <f t="shared" si="137"/>
        <v>91974036</v>
      </c>
      <c r="D204" s="794">
        <f t="shared" si="137"/>
        <v>43388569</v>
      </c>
      <c r="E204" s="794">
        <f t="shared" si="137"/>
        <v>39010569</v>
      </c>
      <c r="F204" s="794">
        <f t="shared" si="137"/>
        <v>0</v>
      </c>
      <c r="G204" s="794">
        <f t="shared" si="137"/>
        <v>0</v>
      </c>
      <c r="H204" s="794">
        <f t="shared" si="137"/>
        <v>0</v>
      </c>
      <c r="I204" s="794">
        <f t="shared" si="137"/>
        <v>0</v>
      </c>
      <c r="J204" s="794">
        <f t="shared" si="137"/>
        <v>0</v>
      </c>
      <c r="K204" s="794">
        <f t="shared" si="137"/>
        <v>0</v>
      </c>
      <c r="L204" s="794">
        <f t="shared" si="137"/>
        <v>0</v>
      </c>
      <c r="M204" s="794">
        <f t="shared" si="137"/>
        <v>0</v>
      </c>
      <c r="N204" s="794">
        <f t="shared" si="137"/>
        <v>0</v>
      </c>
      <c r="O204" s="794">
        <f t="shared" si="137"/>
        <v>0</v>
      </c>
      <c r="P204" s="794">
        <f t="shared" si="137"/>
        <v>0</v>
      </c>
      <c r="Q204" s="794">
        <f t="shared" si="137"/>
        <v>0</v>
      </c>
      <c r="R204" s="796">
        <f t="shared" si="136"/>
        <v>200000000</v>
      </c>
      <c r="S204" s="796">
        <f t="shared" si="136"/>
        <v>91974036</v>
      </c>
      <c r="T204" s="796">
        <f t="shared" si="136"/>
        <v>43388569</v>
      </c>
      <c r="U204" s="463">
        <f t="shared" si="136"/>
        <v>39010569</v>
      </c>
      <c r="V204" s="436"/>
      <c r="W204" s="786">
        <f>R204</f>
        <v>200000000</v>
      </c>
      <c r="X204" s="780"/>
      <c r="Y204" s="780"/>
      <c r="Z204" s="780"/>
      <c r="AA204" s="780"/>
      <c r="AB204" s="780"/>
      <c r="AC204" s="780"/>
      <c r="AD204" s="780"/>
      <c r="AE204" s="780"/>
      <c r="AF204" s="780"/>
      <c r="AG204" s="780"/>
      <c r="AH204" s="780"/>
      <c r="AI204" s="780"/>
      <c r="AJ204" s="780"/>
      <c r="AK204" s="780"/>
      <c r="AL204" s="780"/>
      <c r="AM204" s="780"/>
      <c r="AN204" s="780"/>
      <c r="AO204" s="780"/>
      <c r="AP204" s="780"/>
      <c r="AQ204" s="780"/>
      <c r="AR204" s="780"/>
      <c r="AS204" s="780"/>
    </row>
    <row r="205" spans="1:45" ht="16.5" thickTop="1" thickBot="1" x14ac:dyDescent="0.3">
      <c r="A205" s="217" t="s">
        <v>781</v>
      </c>
      <c r="B205" s="794">
        <v>200000000</v>
      </c>
      <c r="C205" s="794">
        <v>91974036</v>
      </c>
      <c r="D205" s="794">
        <v>43388569</v>
      </c>
      <c r="E205" s="794">
        <v>39010569</v>
      </c>
      <c r="F205" s="794"/>
      <c r="G205" s="794"/>
      <c r="H205" s="794"/>
      <c r="I205" s="794"/>
      <c r="J205" s="794"/>
      <c r="K205" s="794"/>
      <c r="L205" s="794"/>
      <c r="M205" s="794"/>
      <c r="N205" s="794"/>
      <c r="O205" s="794"/>
      <c r="P205" s="794"/>
      <c r="Q205" s="794"/>
      <c r="R205" s="796">
        <f t="shared" si="136"/>
        <v>200000000</v>
      </c>
      <c r="S205" s="796">
        <f t="shared" si="136"/>
        <v>91974036</v>
      </c>
      <c r="T205" s="796">
        <f t="shared" si="136"/>
        <v>43388569</v>
      </c>
      <c r="U205" s="463">
        <f t="shared" si="136"/>
        <v>39010569</v>
      </c>
      <c r="V205" s="436"/>
      <c r="W205" s="780"/>
      <c r="X205" s="780"/>
      <c r="Y205" s="780"/>
      <c r="Z205" s="780"/>
      <c r="AA205" s="780"/>
      <c r="AB205" s="780"/>
      <c r="AC205" s="780"/>
      <c r="AD205" s="780"/>
      <c r="AE205" s="780"/>
      <c r="AF205" s="780"/>
      <c r="AG205" s="780"/>
      <c r="AH205" s="780"/>
      <c r="AI205" s="780"/>
      <c r="AJ205" s="780"/>
      <c r="AK205" s="780"/>
      <c r="AL205" s="780"/>
      <c r="AM205" s="780"/>
      <c r="AN205" s="780"/>
      <c r="AO205" s="780"/>
      <c r="AP205" s="780"/>
      <c r="AQ205" s="780"/>
      <c r="AR205" s="780"/>
      <c r="AS205" s="780"/>
    </row>
    <row r="206" spans="1:45" ht="27" thickTop="1" thickBot="1" x14ac:dyDescent="0.3">
      <c r="A206" s="220" t="s">
        <v>570</v>
      </c>
      <c r="B206" s="794">
        <f>+B207+B211</f>
        <v>400000000</v>
      </c>
      <c r="C206" s="794">
        <f t="shared" ref="C206:U206" si="139">+C207+C211</f>
        <v>175825520</v>
      </c>
      <c r="D206" s="794">
        <f t="shared" si="139"/>
        <v>65275719</v>
      </c>
      <c r="E206" s="794">
        <f t="shared" si="139"/>
        <v>61902769</v>
      </c>
      <c r="F206" s="794">
        <f t="shared" si="139"/>
        <v>0</v>
      </c>
      <c r="G206" s="794">
        <f t="shared" si="139"/>
        <v>0</v>
      </c>
      <c r="H206" s="794">
        <f t="shared" si="139"/>
        <v>0</v>
      </c>
      <c r="I206" s="794">
        <f t="shared" si="139"/>
        <v>0</v>
      </c>
      <c r="J206" s="794">
        <f t="shared" si="139"/>
        <v>0</v>
      </c>
      <c r="K206" s="794">
        <f t="shared" si="139"/>
        <v>0</v>
      </c>
      <c r="L206" s="794">
        <f t="shared" si="139"/>
        <v>0</v>
      </c>
      <c r="M206" s="794">
        <f t="shared" si="139"/>
        <v>0</v>
      </c>
      <c r="N206" s="794">
        <f t="shared" si="139"/>
        <v>0</v>
      </c>
      <c r="O206" s="794">
        <f t="shared" si="139"/>
        <v>0</v>
      </c>
      <c r="P206" s="794">
        <f t="shared" si="139"/>
        <v>0</v>
      </c>
      <c r="Q206" s="794">
        <f t="shared" si="139"/>
        <v>0</v>
      </c>
      <c r="R206" s="796">
        <f>+R207+R211</f>
        <v>400000000</v>
      </c>
      <c r="S206" s="796">
        <f t="shared" si="139"/>
        <v>175825520</v>
      </c>
      <c r="T206" s="796">
        <f t="shared" si="139"/>
        <v>65275719</v>
      </c>
      <c r="U206" s="463">
        <f t="shared" si="139"/>
        <v>61902769</v>
      </c>
      <c r="V206" s="436"/>
      <c r="W206" s="780"/>
      <c r="X206" s="780"/>
      <c r="Y206" s="780"/>
      <c r="Z206" s="780"/>
      <c r="AA206" s="780"/>
      <c r="AB206" s="780"/>
      <c r="AC206" s="780"/>
      <c r="AD206" s="780"/>
      <c r="AE206" s="780"/>
      <c r="AF206" s="780"/>
      <c r="AG206" s="780"/>
      <c r="AH206" s="780"/>
      <c r="AI206" s="780"/>
      <c r="AJ206" s="780"/>
      <c r="AK206" s="780"/>
      <c r="AL206" s="780"/>
      <c r="AM206" s="780"/>
      <c r="AN206" s="780"/>
      <c r="AO206" s="780"/>
      <c r="AP206" s="780"/>
      <c r="AQ206" s="780"/>
      <c r="AR206" s="780"/>
      <c r="AS206" s="780"/>
    </row>
    <row r="207" spans="1:45" ht="27" thickTop="1" thickBot="1" x14ac:dyDescent="0.3">
      <c r="A207" s="498" t="s">
        <v>571</v>
      </c>
      <c r="B207" s="794">
        <f>+B208</f>
        <v>100000000</v>
      </c>
      <c r="C207" s="794">
        <f t="shared" ref="C207:Q209" si="140">+C208</f>
        <v>65064430</v>
      </c>
      <c r="D207" s="794">
        <f t="shared" si="140"/>
        <v>21938162</v>
      </c>
      <c r="E207" s="794">
        <f t="shared" si="140"/>
        <v>21393212</v>
      </c>
      <c r="F207" s="794">
        <f t="shared" si="140"/>
        <v>0</v>
      </c>
      <c r="G207" s="794">
        <f t="shared" si="140"/>
        <v>0</v>
      </c>
      <c r="H207" s="794">
        <f t="shared" si="140"/>
        <v>0</v>
      </c>
      <c r="I207" s="794">
        <f t="shared" si="140"/>
        <v>0</v>
      </c>
      <c r="J207" s="794">
        <f t="shared" si="140"/>
        <v>0</v>
      </c>
      <c r="K207" s="794">
        <f t="shared" si="140"/>
        <v>0</v>
      </c>
      <c r="L207" s="794">
        <f t="shared" si="140"/>
        <v>0</v>
      </c>
      <c r="M207" s="794">
        <f t="shared" si="140"/>
        <v>0</v>
      </c>
      <c r="N207" s="794">
        <f t="shared" si="140"/>
        <v>0</v>
      </c>
      <c r="O207" s="794">
        <f t="shared" si="140"/>
        <v>0</v>
      </c>
      <c r="P207" s="794">
        <f t="shared" si="140"/>
        <v>0</v>
      </c>
      <c r="Q207" s="794">
        <f t="shared" si="140"/>
        <v>0</v>
      </c>
      <c r="R207" s="796">
        <f>N207+J207+F207+B207</f>
        <v>100000000</v>
      </c>
      <c r="S207" s="796">
        <f t="shared" ref="S207:U207" si="141">O207+K207+G207+C207</f>
        <v>65064430</v>
      </c>
      <c r="T207" s="796">
        <f t="shared" si="141"/>
        <v>21938162</v>
      </c>
      <c r="U207" s="796">
        <f t="shared" si="141"/>
        <v>21393212</v>
      </c>
      <c r="V207" s="436"/>
      <c r="W207" s="780"/>
      <c r="X207" s="780"/>
      <c r="Y207" s="780"/>
      <c r="Z207" s="780"/>
      <c r="AA207" s="780"/>
      <c r="AB207" s="780"/>
      <c r="AC207" s="780"/>
      <c r="AD207" s="780"/>
      <c r="AE207" s="780"/>
      <c r="AF207" s="780"/>
      <c r="AG207" s="780"/>
      <c r="AH207" s="780"/>
      <c r="AI207" s="780"/>
      <c r="AJ207" s="780"/>
      <c r="AK207" s="780"/>
      <c r="AL207" s="780"/>
      <c r="AM207" s="780"/>
      <c r="AN207" s="780"/>
      <c r="AO207" s="780"/>
      <c r="AP207" s="780"/>
      <c r="AQ207" s="780"/>
      <c r="AR207" s="780"/>
      <c r="AS207" s="780"/>
    </row>
    <row r="208" spans="1:45" ht="16.5" thickTop="1" thickBot="1" x14ac:dyDescent="0.3">
      <c r="A208" s="499" t="s">
        <v>779</v>
      </c>
      <c r="B208" s="794">
        <f>+B209</f>
        <v>100000000</v>
      </c>
      <c r="C208" s="794">
        <f t="shared" si="140"/>
        <v>65064430</v>
      </c>
      <c r="D208" s="794">
        <f t="shared" si="140"/>
        <v>21938162</v>
      </c>
      <c r="E208" s="794">
        <f t="shared" si="140"/>
        <v>21393212</v>
      </c>
      <c r="F208" s="814">
        <f t="shared" si="140"/>
        <v>0</v>
      </c>
      <c r="G208" s="814">
        <f t="shared" si="140"/>
        <v>0</v>
      </c>
      <c r="H208" s="814">
        <f t="shared" si="140"/>
        <v>0</v>
      </c>
      <c r="I208" s="814">
        <f t="shared" si="140"/>
        <v>0</v>
      </c>
      <c r="J208" s="814">
        <f t="shared" si="140"/>
        <v>0</v>
      </c>
      <c r="K208" s="814">
        <f t="shared" si="140"/>
        <v>0</v>
      </c>
      <c r="L208" s="814">
        <f t="shared" si="140"/>
        <v>0</v>
      </c>
      <c r="M208" s="814">
        <f t="shared" si="140"/>
        <v>0</v>
      </c>
      <c r="N208" s="814">
        <f t="shared" si="140"/>
        <v>0</v>
      </c>
      <c r="O208" s="814">
        <f t="shared" si="140"/>
        <v>0</v>
      </c>
      <c r="P208" s="814">
        <f t="shared" si="140"/>
        <v>0</v>
      </c>
      <c r="Q208" s="814">
        <f t="shared" si="140"/>
        <v>0</v>
      </c>
      <c r="R208" s="815">
        <f t="shared" ref="R208:U210" si="142">+B208+F208+J208+N208</f>
        <v>100000000</v>
      </c>
      <c r="S208" s="815">
        <f t="shared" si="142"/>
        <v>65064430</v>
      </c>
      <c r="T208" s="815">
        <f t="shared" si="142"/>
        <v>21938162</v>
      </c>
      <c r="U208" s="494">
        <f t="shared" si="142"/>
        <v>21393212</v>
      </c>
      <c r="V208" s="436"/>
      <c r="W208" s="780"/>
      <c r="X208" s="780"/>
      <c r="Y208" s="780"/>
      <c r="Z208" s="780"/>
      <c r="AA208" s="780"/>
      <c r="AB208" s="780"/>
      <c r="AC208" s="780"/>
      <c r="AD208" s="780"/>
      <c r="AE208" s="780"/>
      <c r="AF208" s="780"/>
      <c r="AG208" s="780"/>
      <c r="AH208" s="780"/>
      <c r="AI208" s="780"/>
      <c r="AJ208" s="780"/>
      <c r="AK208" s="780"/>
      <c r="AL208" s="780"/>
      <c r="AM208" s="780"/>
      <c r="AN208" s="780"/>
      <c r="AO208" s="780"/>
      <c r="AP208" s="780"/>
      <c r="AQ208" s="780"/>
      <c r="AR208" s="780"/>
      <c r="AS208" s="780"/>
    </row>
    <row r="209" spans="1:45" ht="16.5" thickTop="1" thickBot="1" x14ac:dyDescent="0.3">
      <c r="A209" s="217" t="s">
        <v>780</v>
      </c>
      <c r="B209" s="794">
        <f>+B210</f>
        <v>100000000</v>
      </c>
      <c r="C209" s="794">
        <f t="shared" si="140"/>
        <v>65064430</v>
      </c>
      <c r="D209" s="794">
        <f t="shared" si="140"/>
        <v>21938162</v>
      </c>
      <c r="E209" s="794">
        <f t="shared" si="140"/>
        <v>21393212</v>
      </c>
      <c r="F209" s="794">
        <f t="shared" si="140"/>
        <v>0</v>
      </c>
      <c r="G209" s="794">
        <f t="shared" si="140"/>
        <v>0</v>
      </c>
      <c r="H209" s="794">
        <f t="shared" si="140"/>
        <v>0</v>
      </c>
      <c r="I209" s="794">
        <f t="shared" si="140"/>
        <v>0</v>
      </c>
      <c r="J209" s="794">
        <f t="shared" si="140"/>
        <v>0</v>
      </c>
      <c r="K209" s="794">
        <f t="shared" si="140"/>
        <v>0</v>
      </c>
      <c r="L209" s="794">
        <f t="shared" si="140"/>
        <v>0</v>
      </c>
      <c r="M209" s="794">
        <f t="shared" si="140"/>
        <v>0</v>
      </c>
      <c r="N209" s="794">
        <f t="shared" si="140"/>
        <v>0</v>
      </c>
      <c r="O209" s="794">
        <f t="shared" si="140"/>
        <v>0</v>
      </c>
      <c r="P209" s="794">
        <f t="shared" si="140"/>
        <v>0</v>
      </c>
      <c r="Q209" s="794">
        <f t="shared" si="140"/>
        <v>0</v>
      </c>
      <c r="R209" s="796">
        <f t="shared" si="142"/>
        <v>100000000</v>
      </c>
      <c r="S209" s="796">
        <f t="shared" si="142"/>
        <v>65064430</v>
      </c>
      <c r="T209" s="796">
        <f t="shared" si="142"/>
        <v>21938162</v>
      </c>
      <c r="U209" s="463">
        <f t="shared" si="142"/>
        <v>21393212</v>
      </c>
      <c r="V209" s="436"/>
      <c r="W209" s="786">
        <f>R209</f>
        <v>100000000</v>
      </c>
      <c r="X209" s="780"/>
      <c r="Y209" s="780"/>
      <c r="Z209" s="780"/>
      <c r="AA209" s="780"/>
      <c r="AB209" s="780"/>
      <c r="AC209" s="780"/>
      <c r="AD209" s="780"/>
      <c r="AE209" s="780"/>
      <c r="AF209" s="780"/>
      <c r="AG209" s="780"/>
      <c r="AH209" s="780"/>
      <c r="AI209" s="780"/>
      <c r="AJ209" s="780"/>
      <c r="AK209" s="780"/>
      <c r="AL209" s="780"/>
      <c r="AM209" s="780"/>
      <c r="AN209" s="780"/>
      <c r="AO209" s="780"/>
      <c r="AP209" s="780"/>
      <c r="AQ209" s="780"/>
      <c r="AR209" s="780"/>
      <c r="AS209" s="780"/>
    </row>
    <row r="210" spans="1:45" ht="16.5" thickTop="1" thickBot="1" x14ac:dyDescent="0.3">
      <c r="A210" s="217" t="s">
        <v>781</v>
      </c>
      <c r="B210" s="794">
        <v>100000000</v>
      </c>
      <c r="C210" s="794">
        <v>65064430</v>
      </c>
      <c r="D210" s="794">
        <v>21938162</v>
      </c>
      <c r="E210" s="794">
        <v>21393212</v>
      </c>
      <c r="F210" s="794"/>
      <c r="G210" s="794"/>
      <c r="H210" s="794"/>
      <c r="I210" s="794"/>
      <c r="J210" s="794"/>
      <c r="K210" s="794"/>
      <c r="L210" s="794"/>
      <c r="M210" s="794"/>
      <c r="N210" s="794"/>
      <c r="O210" s="794"/>
      <c r="P210" s="794"/>
      <c r="Q210" s="794"/>
      <c r="R210" s="796">
        <f t="shared" si="142"/>
        <v>100000000</v>
      </c>
      <c r="S210" s="796">
        <f t="shared" si="142"/>
        <v>65064430</v>
      </c>
      <c r="T210" s="796">
        <f t="shared" si="142"/>
        <v>21938162</v>
      </c>
      <c r="U210" s="463">
        <f t="shared" si="142"/>
        <v>21393212</v>
      </c>
      <c r="V210" s="436"/>
      <c r="W210" s="780"/>
      <c r="X210" s="780"/>
      <c r="Y210" s="780"/>
      <c r="Z210" s="780"/>
      <c r="AA210" s="780"/>
      <c r="AB210" s="780"/>
      <c r="AC210" s="780"/>
      <c r="AD210" s="780"/>
      <c r="AE210" s="780"/>
      <c r="AF210" s="780"/>
      <c r="AG210" s="780"/>
      <c r="AH210" s="780"/>
      <c r="AI210" s="780"/>
      <c r="AJ210" s="780"/>
      <c r="AK210" s="780"/>
      <c r="AL210" s="780"/>
      <c r="AM210" s="780"/>
      <c r="AN210" s="780"/>
      <c r="AO210" s="780"/>
      <c r="AP210" s="780"/>
      <c r="AQ210" s="780"/>
      <c r="AR210" s="780"/>
      <c r="AS210" s="780"/>
    </row>
    <row r="211" spans="1:45" ht="27" thickTop="1" thickBot="1" x14ac:dyDescent="0.3">
      <c r="A211" s="498" t="s">
        <v>589</v>
      </c>
      <c r="B211" s="831">
        <f>+B212</f>
        <v>300000000</v>
      </c>
      <c r="C211" s="831">
        <f t="shared" ref="C211:Q225" si="143">+C212</f>
        <v>110761090</v>
      </c>
      <c r="D211" s="831">
        <f t="shared" si="143"/>
        <v>43337557</v>
      </c>
      <c r="E211" s="831">
        <f t="shared" si="143"/>
        <v>40509557</v>
      </c>
      <c r="F211" s="831">
        <f t="shared" si="143"/>
        <v>0</v>
      </c>
      <c r="G211" s="831">
        <f t="shared" si="143"/>
        <v>0</v>
      </c>
      <c r="H211" s="831">
        <f t="shared" si="143"/>
        <v>0</v>
      </c>
      <c r="I211" s="831">
        <f t="shared" si="143"/>
        <v>0</v>
      </c>
      <c r="J211" s="831">
        <f t="shared" si="143"/>
        <v>0</v>
      </c>
      <c r="K211" s="831">
        <f t="shared" si="143"/>
        <v>0</v>
      </c>
      <c r="L211" s="831">
        <f t="shared" si="143"/>
        <v>0</v>
      </c>
      <c r="M211" s="831">
        <f t="shared" si="143"/>
        <v>0</v>
      </c>
      <c r="N211" s="831">
        <f t="shared" si="143"/>
        <v>0</v>
      </c>
      <c r="O211" s="831">
        <f t="shared" si="143"/>
        <v>0</v>
      </c>
      <c r="P211" s="831">
        <f t="shared" si="143"/>
        <v>0</v>
      </c>
      <c r="Q211" s="831">
        <f t="shared" si="143"/>
        <v>0</v>
      </c>
      <c r="R211" s="832">
        <f t="shared" si="70"/>
        <v>300000000</v>
      </c>
      <c r="S211" s="832">
        <f t="shared" si="70"/>
        <v>110761090</v>
      </c>
      <c r="T211" s="832">
        <f t="shared" si="70"/>
        <v>43337557</v>
      </c>
      <c r="U211" s="511">
        <f t="shared" si="70"/>
        <v>40509557</v>
      </c>
      <c r="V211" s="436"/>
      <c r="W211" s="780"/>
      <c r="X211" s="780"/>
      <c r="Y211" s="780"/>
      <c r="Z211" s="780"/>
      <c r="AA211" s="780"/>
      <c r="AB211" s="780"/>
      <c r="AC211" s="780"/>
      <c r="AD211" s="780"/>
      <c r="AE211" s="780"/>
      <c r="AF211" s="780"/>
      <c r="AG211" s="780"/>
      <c r="AH211" s="780"/>
      <c r="AI211" s="780"/>
      <c r="AJ211" s="780"/>
      <c r="AK211" s="780"/>
      <c r="AL211" s="780"/>
      <c r="AM211" s="780"/>
      <c r="AN211" s="780"/>
      <c r="AO211" s="780"/>
      <c r="AP211" s="780"/>
      <c r="AQ211" s="780"/>
      <c r="AR211" s="780"/>
      <c r="AS211" s="780"/>
    </row>
    <row r="212" spans="1:45" ht="16.5" thickTop="1" thickBot="1" x14ac:dyDescent="0.3">
      <c r="A212" s="499" t="s">
        <v>779</v>
      </c>
      <c r="B212" s="794">
        <f>+B213</f>
        <v>300000000</v>
      </c>
      <c r="C212" s="794">
        <f t="shared" si="143"/>
        <v>110761090</v>
      </c>
      <c r="D212" s="794">
        <f t="shared" si="143"/>
        <v>43337557</v>
      </c>
      <c r="E212" s="794">
        <f t="shared" si="143"/>
        <v>40509557</v>
      </c>
      <c r="F212" s="814">
        <f t="shared" si="143"/>
        <v>0</v>
      </c>
      <c r="G212" s="814">
        <f t="shared" si="143"/>
        <v>0</v>
      </c>
      <c r="H212" s="814">
        <f t="shared" si="143"/>
        <v>0</v>
      </c>
      <c r="I212" s="814">
        <f t="shared" si="143"/>
        <v>0</v>
      </c>
      <c r="J212" s="814">
        <f t="shared" si="143"/>
        <v>0</v>
      </c>
      <c r="K212" s="814">
        <f t="shared" si="143"/>
        <v>0</v>
      </c>
      <c r="L212" s="814">
        <f t="shared" si="143"/>
        <v>0</v>
      </c>
      <c r="M212" s="814">
        <f t="shared" si="143"/>
        <v>0</v>
      </c>
      <c r="N212" s="814">
        <f t="shared" si="143"/>
        <v>0</v>
      </c>
      <c r="O212" s="814">
        <f t="shared" si="143"/>
        <v>0</v>
      </c>
      <c r="P212" s="814">
        <f t="shared" si="143"/>
        <v>0</v>
      </c>
      <c r="Q212" s="814">
        <f t="shared" si="143"/>
        <v>0</v>
      </c>
      <c r="R212" s="815">
        <f t="shared" si="70"/>
        <v>300000000</v>
      </c>
      <c r="S212" s="815">
        <f t="shared" si="70"/>
        <v>110761090</v>
      </c>
      <c r="T212" s="815">
        <f t="shared" si="70"/>
        <v>43337557</v>
      </c>
      <c r="U212" s="494">
        <f t="shared" si="70"/>
        <v>40509557</v>
      </c>
      <c r="V212" s="436"/>
      <c r="W212" s="780"/>
      <c r="X212" s="780"/>
      <c r="Y212" s="780"/>
      <c r="Z212" s="780"/>
      <c r="AA212" s="780"/>
      <c r="AB212" s="780"/>
      <c r="AC212" s="780"/>
      <c r="AD212" s="780"/>
      <c r="AE212" s="780"/>
      <c r="AF212" s="780"/>
      <c r="AG212" s="780"/>
      <c r="AH212" s="780"/>
      <c r="AI212" s="780"/>
      <c r="AJ212" s="780"/>
      <c r="AK212" s="780"/>
      <c r="AL212" s="780"/>
      <c r="AM212" s="780"/>
      <c r="AN212" s="780"/>
      <c r="AO212" s="780"/>
      <c r="AP212" s="780"/>
      <c r="AQ212" s="780"/>
      <c r="AR212" s="780"/>
      <c r="AS212" s="780"/>
    </row>
    <row r="213" spans="1:45" ht="16.5" thickTop="1" thickBot="1" x14ac:dyDescent="0.3">
      <c r="A213" s="217" t="s">
        <v>780</v>
      </c>
      <c r="B213" s="794">
        <f>+B214</f>
        <v>300000000</v>
      </c>
      <c r="C213" s="794">
        <f t="shared" si="143"/>
        <v>110761090</v>
      </c>
      <c r="D213" s="794">
        <f t="shared" si="143"/>
        <v>43337557</v>
      </c>
      <c r="E213" s="794">
        <f t="shared" si="143"/>
        <v>40509557</v>
      </c>
      <c r="F213" s="794">
        <f t="shared" si="143"/>
        <v>0</v>
      </c>
      <c r="G213" s="794">
        <f t="shared" si="143"/>
        <v>0</v>
      </c>
      <c r="H213" s="794">
        <f t="shared" si="143"/>
        <v>0</v>
      </c>
      <c r="I213" s="794">
        <f t="shared" si="143"/>
        <v>0</v>
      </c>
      <c r="J213" s="794">
        <f t="shared" si="143"/>
        <v>0</v>
      </c>
      <c r="K213" s="794">
        <f t="shared" si="143"/>
        <v>0</v>
      </c>
      <c r="L213" s="794">
        <f t="shared" si="143"/>
        <v>0</v>
      </c>
      <c r="M213" s="794">
        <f t="shared" si="143"/>
        <v>0</v>
      </c>
      <c r="N213" s="794">
        <f t="shared" si="143"/>
        <v>0</v>
      </c>
      <c r="O213" s="794">
        <f t="shared" si="143"/>
        <v>0</v>
      </c>
      <c r="P213" s="794">
        <f t="shared" si="143"/>
        <v>0</v>
      </c>
      <c r="Q213" s="794">
        <f t="shared" si="143"/>
        <v>0</v>
      </c>
      <c r="R213" s="796">
        <f t="shared" si="70"/>
        <v>300000000</v>
      </c>
      <c r="S213" s="796">
        <f t="shared" si="70"/>
        <v>110761090</v>
      </c>
      <c r="T213" s="796">
        <f t="shared" si="70"/>
        <v>43337557</v>
      </c>
      <c r="U213" s="463">
        <f t="shared" si="70"/>
        <v>40509557</v>
      </c>
      <c r="V213" s="436"/>
      <c r="W213" s="786">
        <f>R213</f>
        <v>300000000</v>
      </c>
      <c r="X213" s="780"/>
      <c r="Y213" s="780"/>
      <c r="Z213" s="780"/>
      <c r="AA213" s="780"/>
      <c r="AB213" s="780"/>
      <c r="AC213" s="780"/>
      <c r="AD213" s="780"/>
      <c r="AE213" s="780"/>
      <c r="AF213" s="780"/>
      <c r="AG213" s="780"/>
      <c r="AH213" s="780"/>
      <c r="AI213" s="780"/>
      <c r="AJ213" s="780"/>
      <c r="AK213" s="780"/>
      <c r="AL213" s="780"/>
      <c r="AM213" s="780"/>
      <c r="AN213" s="780"/>
      <c r="AO213" s="780"/>
      <c r="AP213" s="780"/>
      <c r="AQ213" s="780"/>
      <c r="AR213" s="780"/>
      <c r="AS213" s="780"/>
    </row>
    <row r="214" spans="1:45" ht="16.5" thickTop="1" thickBot="1" x14ac:dyDescent="0.3">
      <c r="A214" s="217" t="s">
        <v>781</v>
      </c>
      <c r="B214" s="794">
        <v>300000000</v>
      </c>
      <c r="C214" s="794">
        <v>110761090</v>
      </c>
      <c r="D214" s="794">
        <v>43337557</v>
      </c>
      <c r="E214" s="794">
        <v>40509557</v>
      </c>
      <c r="F214" s="794"/>
      <c r="G214" s="794"/>
      <c r="H214" s="794"/>
      <c r="I214" s="794"/>
      <c r="J214" s="794"/>
      <c r="K214" s="794"/>
      <c r="L214" s="794"/>
      <c r="M214" s="794"/>
      <c r="N214" s="794"/>
      <c r="O214" s="794"/>
      <c r="P214" s="794"/>
      <c r="Q214" s="794"/>
      <c r="R214" s="796">
        <f t="shared" si="70"/>
        <v>300000000</v>
      </c>
      <c r="S214" s="796">
        <f t="shared" si="70"/>
        <v>110761090</v>
      </c>
      <c r="T214" s="796">
        <f t="shared" si="70"/>
        <v>43337557</v>
      </c>
      <c r="U214" s="463">
        <f t="shared" si="70"/>
        <v>40509557</v>
      </c>
      <c r="V214" s="436"/>
      <c r="W214" s="780"/>
      <c r="X214" s="780"/>
      <c r="Y214" s="780"/>
      <c r="Z214" s="780"/>
      <c r="AA214" s="780"/>
      <c r="AB214" s="780"/>
      <c r="AC214" s="780"/>
      <c r="AD214" s="780"/>
      <c r="AE214" s="780"/>
      <c r="AF214" s="780"/>
      <c r="AG214" s="780"/>
      <c r="AH214" s="780"/>
      <c r="AI214" s="780"/>
      <c r="AJ214" s="780"/>
      <c r="AK214" s="780"/>
      <c r="AL214" s="780"/>
      <c r="AM214" s="780"/>
      <c r="AN214" s="780"/>
      <c r="AO214" s="780"/>
      <c r="AP214" s="780"/>
      <c r="AQ214" s="780"/>
      <c r="AR214" s="780"/>
      <c r="AS214" s="780"/>
    </row>
    <row r="215" spans="1:45" ht="39.75" thickTop="1" thickBot="1" x14ac:dyDescent="0.3">
      <c r="A215" s="221" t="s">
        <v>787</v>
      </c>
      <c r="B215" s="831">
        <f>+B216</f>
        <v>0</v>
      </c>
      <c r="C215" s="831">
        <f t="shared" ref="C215:E215" si="144">+C216</f>
        <v>0</v>
      </c>
      <c r="D215" s="831">
        <f t="shared" si="144"/>
        <v>0</v>
      </c>
      <c r="E215" s="831">
        <f t="shared" si="144"/>
        <v>0</v>
      </c>
      <c r="F215" s="831">
        <f t="shared" si="143"/>
        <v>0</v>
      </c>
      <c r="G215" s="831">
        <f t="shared" si="143"/>
        <v>0</v>
      </c>
      <c r="H215" s="831">
        <f t="shared" si="143"/>
        <v>0</v>
      </c>
      <c r="I215" s="831">
        <f t="shared" si="143"/>
        <v>0</v>
      </c>
      <c r="J215" s="831">
        <f t="shared" si="143"/>
        <v>0</v>
      </c>
      <c r="K215" s="831">
        <f t="shared" si="143"/>
        <v>0</v>
      </c>
      <c r="L215" s="831">
        <f t="shared" si="143"/>
        <v>0</v>
      </c>
      <c r="M215" s="831">
        <f t="shared" si="143"/>
        <v>0</v>
      </c>
      <c r="N215" s="831"/>
      <c r="O215" s="831"/>
      <c r="P215" s="831"/>
      <c r="Q215" s="831"/>
      <c r="R215" s="832"/>
      <c r="S215" s="832"/>
      <c r="T215" s="832"/>
      <c r="U215" s="511"/>
      <c r="V215" s="436"/>
      <c r="W215" s="780"/>
      <c r="X215" s="780"/>
      <c r="Y215" s="780"/>
      <c r="Z215" s="780"/>
      <c r="AA215" s="780"/>
      <c r="AB215" s="780"/>
      <c r="AC215" s="780"/>
      <c r="AD215" s="780"/>
      <c r="AE215" s="780"/>
      <c r="AF215" s="780"/>
      <c r="AG215" s="780"/>
      <c r="AH215" s="780"/>
      <c r="AI215" s="780"/>
      <c r="AJ215" s="780"/>
      <c r="AK215" s="780"/>
      <c r="AL215" s="780"/>
      <c r="AM215" s="780"/>
      <c r="AN215" s="780"/>
      <c r="AO215" s="780"/>
      <c r="AP215" s="780"/>
      <c r="AQ215" s="780"/>
      <c r="AR215" s="780"/>
      <c r="AS215" s="780"/>
    </row>
    <row r="216" spans="1:45" ht="16.5" thickTop="1" thickBot="1" x14ac:dyDescent="0.3">
      <c r="A216" s="499" t="s">
        <v>779</v>
      </c>
      <c r="B216" s="794">
        <f>+B217</f>
        <v>0</v>
      </c>
      <c r="C216" s="794">
        <f t="shared" si="143"/>
        <v>0</v>
      </c>
      <c r="D216" s="794">
        <f t="shared" si="143"/>
        <v>0</v>
      </c>
      <c r="E216" s="794">
        <f t="shared" si="143"/>
        <v>0</v>
      </c>
      <c r="F216" s="814">
        <f t="shared" si="143"/>
        <v>0</v>
      </c>
      <c r="G216" s="814">
        <f t="shared" si="143"/>
        <v>0</v>
      </c>
      <c r="H216" s="814">
        <f t="shared" si="143"/>
        <v>0</v>
      </c>
      <c r="I216" s="814">
        <f t="shared" si="143"/>
        <v>0</v>
      </c>
      <c r="J216" s="814">
        <f t="shared" si="143"/>
        <v>0</v>
      </c>
      <c r="K216" s="814">
        <f t="shared" si="143"/>
        <v>0</v>
      </c>
      <c r="L216" s="814">
        <f t="shared" si="143"/>
        <v>0</v>
      </c>
      <c r="M216" s="814">
        <f t="shared" si="143"/>
        <v>0</v>
      </c>
      <c r="N216" s="814"/>
      <c r="O216" s="814"/>
      <c r="P216" s="814"/>
      <c r="Q216" s="814"/>
      <c r="R216" s="815"/>
      <c r="S216" s="815"/>
      <c r="T216" s="815"/>
      <c r="U216" s="494"/>
      <c r="V216" s="436"/>
      <c r="W216" s="780"/>
      <c r="X216" s="780"/>
      <c r="Y216" s="780"/>
      <c r="Z216" s="780"/>
      <c r="AA216" s="780"/>
      <c r="AB216" s="780"/>
      <c r="AC216" s="780"/>
      <c r="AD216" s="780"/>
      <c r="AE216" s="780"/>
      <c r="AF216" s="780"/>
      <c r="AG216" s="780"/>
      <c r="AH216" s="780"/>
      <c r="AI216" s="780"/>
      <c r="AJ216" s="780"/>
      <c r="AK216" s="780"/>
      <c r="AL216" s="780"/>
      <c r="AM216" s="780"/>
      <c r="AN216" s="780"/>
      <c r="AO216" s="780"/>
      <c r="AP216" s="780"/>
      <c r="AQ216" s="780"/>
      <c r="AR216" s="780"/>
      <c r="AS216" s="780"/>
    </row>
    <row r="217" spans="1:45" ht="16.5" thickTop="1" thickBot="1" x14ac:dyDescent="0.3">
      <c r="A217" s="217" t="s">
        <v>780</v>
      </c>
      <c r="B217" s="794">
        <f>+B218</f>
        <v>0</v>
      </c>
      <c r="C217" s="794">
        <f t="shared" si="143"/>
        <v>0</v>
      </c>
      <c r="D217" s="794">
        <f t="shared" si="143"/>
        <v>0</v>
      </c>
      <c r="E217" s="794">
        <f t="shared" si="143"/>
        <v>0</v>
      </c>
      <c r="F217" s="794">
        <f t="shared" si="143"/>
        <v>0</v>
      </c>
      <c r="G217" s="794">
        <f t="shared" si="143"/>
        <v>0</v>
      </c>
      <c r="H217" s="794">
        <f t="shared" si="143"/>
        <v>0</v>
      </c>
      <c r="I217" s="794">
        <f t="shared" si="143"/>
        <v>0</v>
      </c>
      <c r="J217" s="794">
        <f t="shared" si="143"/>
        <v>0</v>
      </c>
      <c r="K217" s="794">
        <f t="shared" si="143"/>
        <v>0</v>
      </c>
      <c r="L217" s="794">
        <f t="shared" si="143"/>
        <v>0</v>
      </c>
      <c r="M217" s="794">
        <f t="shared" si="143"/>
        <v>0</v>
      </c>
      <c r="N217" s="794"/>
      <c r="O217" s="794"/>
      <c r="P217" s="794"/>
      <c r="Q217" s="794"/>
      <c r="R217" s="796"/>
      <c r="S217" s="796"/>
      <c r="T217" s="796"/>
      <c r="U217" s="463"/>
      <c r="V217" s="436"/>
      <c r="W217" s="780"/>
      <c r="X217" s="780"/>
      <c r="Y217" s="780"/>
      <c r="Z217" s="780"/>
      <c r="AA217" s="780"/>
      <c r="AB217" s="780"/>
      <c r="AC217" s="780"/>
      <c r="AD217" s="780"/>
      <c r="AE217" s="780"/>
      <c r="AF217" s="780"/>
      <c r="AG217" s="780"/>
      <c r="AH217" s="780"/>
      <c r="AI217" s="780"/>
      <c r="AJ217" s="780"/>
      <c r="AK217" s="780"/>
      <c r="AL217" s="780"/>
      <c r="AM217" s="780"/>
      <c r="AN217" s="780"/>
      <c r="AO217" s="780"/>
      <c r="AP217" s="780"/>
      <c r="AQ217" s="780"/>
      <c r="AR217" s="780"/>
      <c r="AS217" s="780"/>
    </row>
    <row r="218" spans="1:45" ht="16.5" thickTop="1" thickBot="1" x14ac:dyDescent="0.3">
      <c r="A218" s="217" t="s">
        <v>781</v>
      </c>
      <c r="B218" s="794">
        <v>0</v>
      </c>
      <c r="C218" s="794">
        <v>0</v>
      </c>
      <c r="D218" s="794">
        <v>0</v>
      </c>
      <c r="E218" s="794">
        <v>0</v>
      </c>
      <c r="F218" s="794"/>
      <c r="G218" s="794"/>
      <c r="H218" s="794"/>
      <c r="I218" s="794"/>
      <c r="J218" s="794"/>
      <c r="K218" s="794"/>
      <c r="L218" s="794"/>
      <c r="M218" s="794"/>
      <c r="N218" s="780"/>
      <c r="O218" s="780"/>
      <c r="P218" s="780"/>
      <c r="Q218" s="780"/>
      <c r="R218" s="796"/>
      <c r="S218" s="796"/>
      <c r="T218" s="796"/>
      <c r="U218" s="463"/>
      <c r="V218" s="436"/>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row>
    <row r="219" spans="1:45" ht="27" thickTop="1" thickBot="1" x14ac:dyDescent="0.3">
      <c r="A219" s="221" t="s">
        <v>788</v>
      </c>
      <c r="B219" s="831">
        <f>+B220</f>
        <v>0</v>
      </c>
      <c r="C219" s="831">
        <f t="shared" ref="C219:E219" si="145">+C220</f>
        <v>0</v>
      </c>
      <c r="D219" s="831">
        <f t="shared" si="145"/>
        <v>0</v>
      </c>
      <c r="E219" s="831">
        <f t="shared" si="145"/>
        <v>0</v>
      </c>
      <c r="F219" s="831">
        <f t="shared" si="143"/>
        <v>0</v>
      </c>
      <c r="G219" s="831">
        <f t="shared" si="143"/>
        <v>0</v>
      </c>
      <c r="H219" s="831">
        <f t="shared" si="143"/>
        <v>0</v>
      </c>
      <c r="I219" s="831">
        <f t="shared" si="143"/>
        <v>0</v>
      </c>
      <c r="J219" s="831">
        <f t="shared" si="143"/>
        <v>0</v>
      </c>
      <c r="K219" s="831">
        <f t="shared" si="143"/>
        <v>0</v>
      </c>
      <c r="L219" s="831">
        <f t="shared" si="143"/>
        <v>0</v>
      </c>
      <c r="M219" s="831">
        <f t="shared" si="143"/>
        <v>0</v>
      </c>
      <c r="N219" s="831">
        <f t="shared" si="143"/>
        <v>0</v>
      </c>
      <c r="O219" s="831">
        <f t="shared" si="143"/>
        <v>0</v>
      </c>
      <c r="P219" s="831">
        <f t="shared" si="143"/>
        <v>0</v>
      </c>
      <c r="Q219" s="831">
        <f t="shared" si="143"/>
        <v>0</v>
      </c>
      <c r="R219" s="832"/>
      <c r="S219" s="832"/>
      <c r="T219" s="832"/>
      <c r="U219" s="511"/>
      <c r="V219" s="436"/>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row>
    <row r="220" spans="1:45" ht="16.5" thickTop="1" thickBot="1" x14ac:dyDescent="0.3">
      <c r="A220" s="499" t="s">
        <v>779</v>
      </c>
      <c r="B220" s="794">
        <f>+B221</f>
        <v>0</v>
      </c>
      <c r="C220" s="794">
        <f t="shared" si="143"/>
        <v>0</v>
      </c>
      <c r="D220" s="794">
        <f t="shared" si="143"/>
        <v>0</v>
      </c>
      <c r="E220" s="794">
        <f t="shared" si="143"/>
        <v>0</v>
      </c>
      <c r="F220" s="814">
        <f t="shared" si="143"/>
        <v>0</v>
      </c>
      <c r="G220" s="814">
        <f t="shared" si="143"/>
        <v>0</v>
      </c>
      <c r="H220" s="814">
        <f t="shared" si="143"/>
        <v>0</v>
      </c>
      <c r="I220" s="814">
        <f t="shared" si="143"/>
        <v>0</v>
      </c>
      <c r="J220" s="814">
        <f t="shared" si="143"/>
        <v>0</v>
      </c>
      <c r="K220" s="814">
        <f t="shared" si="143"/>
        <v>0</v>
      </c>
      <c r="L220" s="814">
        <f t="shared" si="143"/>
        <v>0</v>
      </c>
      <c r="M220" s="814">
        <f t="shared" si="143"/>
        <v>0</v>
      </c>
      <c r="N220" s="814">
        <f t="shared" si="143"/>
        <v>0</v>
      </c>
      <c r="O220" s="814">
        <f t="shared" si="143"/>
        <v>0</v>
      </c>
      <c r="P220" s="814">
        <f t="shared" si="143"/>
        <v>0</v>
      </c>
      <c r="Q220" s="814">
        <f t="shared" si="143"/>
        <v>0</v>
      </c>
      <c r="R220" s="815"/>
      <c r="S220" s="815"/>
      <c r="T220" s="815"/>
      <c r="U220" s="494"/>
      <c r="V220" s="436"/>
      <c r="W220" s="780"/>
      <c r="X220" s="780"/>
      <c r="Y220" s="780"/>
      <c r="Z220" s="780"/>
      <c r="AA220" s="780"/>
      <c r="AB220" s="780"/>
      <c r="AC220" s="780"/>
      <c r="AD220" s="780"/>
      <c r="AE220" s="780"/>
      <c r="AF220" s="780"/>
      <c r="AG220" s="780"/>
      <c r="AH220" s="780"/>
      <c r="AI220" s="780"/>
      <c r="AJ220" s="780"/>
      <c r="AK220" s="780"/>
      <c r="AL220" s="780"/>
      <c r="AM220" s="780"/>
      <c r="AN220" s="780"/>
      <c r="AO220" s="780"/>
      <c r="AP220" s="780"/>
      <c r="AQ220" s="780"/>
      <c r="AR220" s="780"/>
      <c r="AS220" s="780"/>
    </row>
    <row r="221" spans="1:45" ht="16.5" thickTop="1" thickBot="1" x14ac:dyDescent="0.3">
      <c r="A221" s="217" t="s">
        <v>780</v>
      </c>
      <c r="B221" s="794">
        <f>+B222</f>
        <v>0</v>
      </c>
      <c r="C221" s="794">
        <f t="shared" si="143"/>
        <v>0</v>
      </c>
      <c r="D221" s="794">
        <f t="shared" si="143"/>
        <v>0</v>
      </c>
      <c r="E221" s="794">
        <f t="shared" si="143"/>
        <v>0</v>
      </c>
      <c r="F221" s="794">
        <f t="shared" si="143"/>
        <v>0</v>
      </c>
      <c r="G221" s="794">
        <f t="shared" si="143"/>
        <v>0</v>
      </c>
      <c r="H221" s="794">
        <f t="shared" si="143"/>
        <v>0</v>
      </c>
      <c r="I221" s="794">
        <f t="shared" si="143"/>
        <v>0</v>
      </c>
      <c r="J221" s="794">
        <f t="shared" si="143"/>
        <v>0</v>
      </c>
      <c r="K221" s="794">
        <f t="shared" si="143"/>
        <v>0</v>
      </c>
      <c r="L221" s="794">
        <f t="shared" si="143"/>
        <v>0</v>
      </c>
      <c r="M221" s="794">
        <f t="shared" si="143"/>
        <v>0</v>
      </c>
      <c r="N221" s="794"/>
      <c r="O221" s="794"/>
      <c r="P221" s="794"/>
      <c r="Q221" s="794"/>
      <c r="R221" s="796"/>
      <c r="S221" s="796"/>
      <c r="T221" s="796"/>
      <c r="U221" s="463"/>
      <c r="V221" s="436"/>
      <c r="W221" s="780"/>
      <c r="X221" s="780"/>
      <c r="Y221" s="780"/>
      <c r="Z221" s="780"/>
      <c r="AA221" s="780"/>
      <c r="AB221" s="780"/>
      <c r="AC221" s="780"/>
      <c r="AD221" s="780"/>
      <c r="AE221" s="780"/>
      <c r="AF221" s="780"/>
      <c r="AG221" s="780"/>
      <c r="AH221" s="780"/>
      <c r="AI221" s="780"/>
      <c r="AJ221" s="780"/>
      <c r="AK221" s="780"/>
      <c r="AL221" s="780"/>
      <c r="AM221" s="780"/>
      <c r="AN221" s="780"/>
      <c r="AO221" s="780"/>
      <c r="AP221" s="780"/>
      <c r="AQ221" s="780"/>
      <c r="AR221" s="780"/>
      <c r="AS221" s="780"/>
    </row>
    <row r="222" spans="1:45" ht="16.5" thickTop="1" thickBot="1" x14ac:dyDescent="0.3">
      <c r="A222" s="217" t="s">
        <v>781</v>
      </c>
      <c r="B222" s="794">
        <v>0</v>
      </c>
      <c r="C222" s="794">
        <v>0</v>
      </c>
      <c r="D222" s="794">
        <v>0</v>
      </c>
      <c r="E222" s="794">
        <v>0</v>
      </c>
      <c r="F222" s="794"/>
      <c r="G222" s="794"/>
      <c r="H222" s="794"/>
      <c r="I222" s="794"/>
      <c r="J222" s="794"/>
      <c r="K222" s="794"/>
      <c r="L222" s="794"/>
      <c r="M222" s="794"/>
      <c r="N222" s="794"/>
      <c r="O222" s="794"/>
      <c r="P222" s="794"/>
      <c r="Q222" s="794"/>
      <c r="R222" s="796"/>
      <c r="S222" s="796"/>
      <c r="T222" s="796"/>
      <c r="U222" s="463"/>
      <c r="V222" s="436"/>
      <c r="W222" s="780"/>
      <c r="X222" s="780"/>
      <c r="Y222" s="780"/>
      <c r="Z222" s="780"/>
      <c r="AA222" s="780"/>
      <c r="AB222" s="780"/>
      <c r="AC222" s="780"/>
      <c r="AD222" s="780"/>
      <c r="AE222" s="780"/>
      <c r="AF222" s="780"/>
      <c r="AG222" s="780"/>
      <c r="AH222" s="780"/>
      <c r="AI222" s="780"/>
      <c r="AJ222" s="780"/>
      <c r="AK222" s="780"/>
      <c r="AL222" s="780"/>
      <c r="AM222" s="780"/>
      <c r="AN222" s="780"/>
      <c r="AO222" s="780"/>
      <c r="AP222" s="780"/>
      <c r="AQ222" s="780"/>
      <c r="AR222" s="780"/>
      <c r="AS222" s="780"/>
    </row>
    <row r="223" spans="1:45" ht="39.75" thickTop="1" thickBot="1" x14ac:dyDescent="0.3">
      <c r="A223" s="221" t="s">
        <v>789</v>
      </c>
      <c r="B223" s="831">
        <f>+B224</f>
        <v>0</v>
      </c>
      <c r="C223" s="831">
        <f t="shared" ref="C223:E223" si="146">+C224</f>
        <v>0</v>
      </c>
      <c r="D223" s="831">
        <f t="shared" si="146"/>
        <v>0</v>
      </c>
      <c r="E223" s="831">
        <f t="shared" si="146"/>
        <v>0</v>
      </c>
      <c r="F223" s="831">
        <f t="shared" si="143"/>
        <v>0</v>
      </c>
      <c r="G223" s="831">
        <f t="shared" si="143"/>
        <v>0</v>
      </c>
      <c r="H223" s="831">
        <f t="shared" si="143"/>
        <v>0</v>
      </c>
      <c r="I223" s="831">
        <f t="shared" si="143"/>
        <v>0</v>
      </c>
      <c r="J223" s="831">
        <f t="shared" si="143"/>
        <v>0</v>
      </c>
      <c r="K223" s="831">
        <f t="shared" si="143"/>
        <v>0</v>
      </c>
      <c r="L223" s="831">
        <f t="shared" si="143"/>
        <v>0</v>
      </c>
      <c r="M223" s="831">
        <f t="shared" si="143"/>
        <v>0</v>
      </c>
      <c r="N223" s="834"/>
      <c r="O223" s="834"/>
      <c r="P223" s="834"/>
      <c r="Q223" s="834"/>
      <c r="R223" s="832"/>
      <c r="S223" s="832"/>
      <c r="T223" s="832"/>
      <c r="U223" s="511"/>
      <c r="V223" s="436"/>
      <c r="W223" s="780"/>
      <c r="X223" s="780"/>
      <c r="Y223" s="780"/>
      <c r="Z223" s="780"/>
      <c r="AA223" s="780"/>
      <c r="AB223" s="780"/>
      <c r="AC223" s="780"/>
      <c r="AD223" s="780"/>
      <c r="AE223" s="780"/>
      <c r="AF223" s="780"/>
      <c r="AG223" s="780"/>
      <c r="AH223" s="780"/>
      <c r="AI223" s="780"/>
      <c r="AJ223" s="780"/>
      <c r="AK223" s="780"/>
      <c r="AL223" s="780"/>
      <c r="AM223" s="780"/>
      <c r="AN223" s="780"/>
      <c r="AO223" s="780"/>
      <c r="AP223" s="780"/>
      <c r="AQ223" s="780"/>
      <c r="AR223" s="780"/>
      <c r="AS223" s="780"/>
    </row>
    <row r="224" spans="1:45" ht="16.5" thickTop="1" thickBot="1" x14ac:dyDescent="0.3">
      <c r="A224" s="499" t="s">
        <v>779</v>
      </c>
      <c r="B224" s="794">
        <f>+B225</f>
        <v>0</v>
      </c>
      <c r="C224" s="794">
        <f t="shared" si="143"/>
        <v>0</v>
      </c>
      <c r="D224" s="794">
        <f t="shared" si="143"/>
        <v>0</v>
      </c>
      <c r="E224" s="794">
        <f t="shared" si="143"/>
        <v>0</v>
      </c>
      <c r="F224" s="814">
        <f t="shared" si="143"/>
        <v>0</v>
      </c>
      <c r="G224" s="814">
        <f t="shared" si="143"/>
        <v>0</v>
      </c>
      <c r="H224" s="814">
        <f t="shared" si="143"/>
        <v>0</v>
      </c>
      <c r="I224" s="814">
        <f t="shared" si="143"/>
        <v>0</v>
      </c>
      <c r="J224" s="814">
        <f t="shared" si="143"/>
        <v>0</v>
      </c>
      <c r="K224" s="814">
        <f t="shared" si="143"/>
        <v>0</v>
      </c>
      <c r="L224" s="814">
        <f t="shared" si="143"/>
        <v>0</v>
      </c>
      <c r="M224" s="814">
        <f t="shared" si="143"/>
        <v>0</v>
      </c>
      <c r="N224" s="814"/>
      <c r="O224" s="814"/>
      <c r="P224" s="814"/>
      <c r="Q224" s="814"/>
      <c r="R224" s="815"/>
      <c r="S224" s="815"/>
      <c r="T224" s="815"/>
      <c r="U224" s="494"/>
      <c r="V224" s="436"/>
      <c r="W224" s="780"/>
      <c r="X224" s="780"/>
      <c r="Y224" s="780"/>
      <c r="Z224" s="780"/>
      <c r="AA224" s="780"/>
      <c r="AB224" s="780"/>
      <c r="AC224" s="780"/>
      <c r="AD224" s="780"/>
      <c r="AE224" s="780"/>
      <c r="AF224" s="780"/>
      <c r="AG224" s="780"/>
      <c r="AH224" s="780"/>
      <c r="AI224" s="780"/>
      <c r="AJ224" s="780"/>
      <c r="AK224" s="780"/>
      <c r="AL224" s="780"/>
      <c r="AM224" s="780"/>
      <c r="AN224" s="780"/>
      <c r="AO224" s="780"/>
      <c r="AP224" s="780"/>
      <c r="AQ224" s="780"/>
      <c r="AR224" s="780"/>
      <c r="AS224" s="780"/>
    </row>
    <row r="225" spans="1:45" ht="16.5" thickTop="1" thickBot="1" x14ac:dyDescent="0.3">
      <c r="A225" s="217" t="s">
        <v>780</v>
      </c>
      <c r="B225" s="794">
        <f>+B226</f>
        <v>0</v>
      </c>
      <c r="C225" s="794">
        <f t="shared" si="143"/>
        <v>0</v>
      </c>
      <c r="D225" s="794">
        <f t="shared" si="143"/>
        <v>0</v>
      </c>
      <c r="E225" s="794">
        <f t="shared" si="143"/>
        <v>0</v>
      </c>
      <c r="F225" s="794">
        <f t="shared" si="143"/>
        <v>0</v>
      </c>
      <c r="G225" s="794">
        <f t="shared" si="143"/>
        <v>0</v>
      </c>
      <c r="H225" s="794">
        <f t="shared" si="143"/>
        <v>0</v>
      </c>
      <c r="I225" s="794">
        <f t="shared" si="143"/>
        <v>0</v>
      </c>
      <c r="J225" s="794">
        <f t="shared" si="143"/>
        <v>0</v>
      </c>
      <c r="K225" s="794">
        <f t="shared" si="143"/>
        <v>0</v>
      </c>
      <c r="L225" s="794">
        <f t="shared" si="143"/>
        <v>0</v>
      </c>
      <c r="M225" s="794">
        <f t="shared" si="143"/>
        <v>0</v>
      </c>
      <c r="N225" s="835"/>
      <c r="O225" s="835"/>
      <c r="P225" s="835"/>
      <c r="Q225" s="835"/>
      <c r="R225" s="796"/>
      <c r="S225" s="796"/>
      <c r="T225" s="796"/>
      <c r="U225" s="463"/>
      <c r="V225" s="436"/>
      <c r="W225" s="780"/>
      <c r="X225" s="780"/>
      <c r="Y225" s="780"/>
      <c r="Z225" s="780"/>
      <c r="AA225" s="780"/>
      <c r="AB225" s="780"/>
      <c r="AC225" s="780"/>
      <c r="AD225" s="780"/>
      <c r="AE225" s="780"/>
      <c r="AF225" s="780"/>
      <c r="AG225" s="780"/>
      <c r="AH225" s="780"/>
      <c r="AI225" s="780"/>
      <c r="AJ225" s="780"/>
      <c r="AK225" s="780"/>
      <c r="AL225" s="780"/>
      <c r="AM225" s="780"/>
      <c r="AN225" s="780"/>
      <c r="AO225" s="780"/>
      <c r="AP225" s="780"/>
      <c r="AQ225" s="780"/>
      <c r="AR225" s="780"/>
      <c r="AS225" s="780"/>
    </row>
    <row r="226" spans="1:45" ht="16.5" thickTop="1" thickBot="1" x14ac:dyDescent="0.3">
      <c r="A226" s="217" t="s">
        <v>781</v>
      </c>
      <c r="B226" s="794">
        <v>0</v>
      </c>
      <c r="C226" s="794">
        <v>0</v>
      </c>
      <c r="D226" s="794">
        <v>0</v>
      </c>
      <c r="E226" s="794">
        <v>0</v>
      </c>
      <c r="F226" s="794"/>
      <c r="G226" s="794"/>
      <c r="H226" s="794"/>
      <c r="I226" s="794"/>
      <c r="J226" s="794"/>
      <c r="K226" s="794"/>
      <c r="L226" s="794"/>
      <c r="M226" s="794"/>
      <c r="N226" s="835"/>
      <c r="O226" s="835"/>
      <c r="P226" s="835"/>
      <c r="Q226" s="835"/>
      <c r="R226" s="796"/>
      <c r="S226" s="796"/>
      <c r="T226" s="796"/>
      <c r="U226" s="463"/>
      <c r="V226" s="436"/>
      <c r="W226" s="780"/>
      <c r="X226" s="780"/>
      <c r="Y226" s="780"/>
      <c r="Z226" s="780"/>
      <c r="AA226" s="780"/>
      <c r="AB226" s="780"/>
      <c r="AC226" s="780"/>
      <c r="AD226" s="780"/>
      <c r="AE226" s="780"/>
      <c r="AF226" s="780"/>
      <c r="AG226" s="780"/>
      <c r="AH226" s="780"/>
      <c r="AI226" s="780"/>
      <c r="AJ226" s="780"/>
      <c r="AK226" s="780"/>
      <c r="AL226" s="780"/>
      <c r="AM226" s="780"/>
      <c r="AN226" s="780"/>
      <c r="AO226" s="780"/>
      <c r="AP226" s="780"/>
      <c r="AQ226" s="780"/>
      <c r="AR226" s="780"/>
      <c r="AS226" s="780"/>
    </row>
    <row r="227" spans="1:45" ht="39.75" thickTop="1" thickBot="1" x14ac:dyDescent="0.3">
      <c r="A227" s="221" t="s">
        <v>790</v>
      </c>
      <c r="B227" s="831">
        <f>+B228</f>
        <v>0</v>
      </c>
      <c r="C227" s="831">
        <f t="shared" ref="C227:M229" si="147">+C228</f>
        <v>0</v>
      </c>
      <c r="D227" s="831">
        <f t="shared" si="147"/>
        <v>0</v>
      </c>
      <c r="E227" s="831">
        <f t="shared" si="147"/>
        <v>0</v>
      </c>
      <c r="F227" s="831">
        <f t="shared" si="147"/>
        <v>0</v>
      </c>
      <c r="G227" s="831">
        <f t="shared" si="147"/>
        <v>0</v>
      </c>
      <c r="H227" s="831">
        <f t="shared" si="147"/>
        <v>0</v>
      </c>
      <c r="I227" s="831">
        <f t="shared" si="147"/>
        <v>0</v>
      </c>
      <c r="J227" s="831">
        <f t="shared" si="147"/>
        <v>0</v>
      </c>
      <c r="K227" s="831">
        <f t="shared" si="147"/>
        <v>0</v>
      </c>
      <c r="L227" s="831">
        <f t="shared" si="147"/>
        <v>0</v>
      </c>
      <c r="M227" s="831">
        <f t="shared" si="147"/>
        <v>0</v>
      </c>
      <c r="N227" s="831"/>
      <c r="O227" s="831"/>
      <c r="P227" s="831"/>
      <c r="Q227" s="831"/>
      <c r="R227" s="832"/>
      <c r="S227" s="836"/>
      <c r="T227" s="836"/>
      <c r="U227" s="515"/>
      <c r="V227" s="436"/>
      <c r="W227" s="780"/>
      <c r="X227" s="780"/>
      <c r="Y227" s="780"/>
      <c r="Z227" s="780"/>
      <c r="AA227" s="780"/>
      <c r="AB227" s="780"/>
      <c r="AC227" s="780"/>
      <c r="AD227" s="780"/>
      <c r="AE227" s="780"/>
      <c r="AF227" s="780"/>
      <c r="AG227" s="780"/>
      <c r="AH227" s="780"/>
      <c r="AI227" s="780"/>
      <c r="AJ227" s="780"/>
      <c r="AK227" s="780"/>
      <c r="AL227" s="780"/>
      <c r="AM227" s="780"/>
      <c r="AN227" s="780"/>
      <c r="AO227" s="780"/>
      <c r="AP227" s="780"/>
      <c r="AQ227" s="780"/>
      <c r="AR227" s="780"/>
      <c r="AS227" s="780"/>
    </row>
    <row r="228" spans="1:45" ht="16.5" thickTop="1" thickBot="1" x14ac:dyDescent="0.3">
      <c r="A228" s="499" t="s">
        <v>779</v>
      </c>
      <c r="B228" s="794">
        <f>+B229</f>
        <v>0</v>
      </c>
      <c r="C228" s="794">
        <f t="shared" si="147"/>
        <v>0</v>
      </c>
      <c r="D228" s="794">
        <f t="shared" si="147"/>
        <v>0</v>
      </c>
      <c r="E228" s="794">
        <f t="shared" si="147"/>
        <v>0</v>
      </c>
      <c r="F228" s="814">
        <f t="shared" si="147"/>
        <v>0</v>
      </c>
      <c r="G228" s="814">
        <f t="shared" si="147"/>
        <v>0</v>
      </c>
      <c r="H228" s="814">
        <f t="shared" si="147"/>
        <v>0</v>
      </c>
      <c r="I228" s="814">
        <f t="shared" si="147"/>
        <v>0</v>
      </c>
      <c r="J228" s="814">
        <f t="shared" si="147"/>
        <v>0</v>
      </c>
      <c r="K228" s="814">
        <f t="shared" si="147"/>
        <v>0</v>
      </c>
      <c r="L228" s="814">
        <f t="shared" si="147"/>
        <v>0</v>
      </c>
      <c r="M228" s="814">
        <f t="shared" si="147"/>
        <v>0</v>
      </c>
      <c r="N228" s="814"/>
      <c r="O228" s="814"/>
      <c r="P228" s="814"/>
      <c r="Q228" s="814"/>
      <c r="R228" s="837"/>
      <c r="S228" s="837"/>
      <c r="T228" s="837"/>
      <c r="U228" s="517"/>
      <c r="V228" s="436"/>
      <c r="W228" s="780"/>
      <c r="X228" s="780"/>
      <c r="Y228" s="780"/>
      <c r="Z228" s="780"/>
      <c r="AA228" s="780"/>
      <c r="AB228" s="780"/>
      <c r="AC228" s="780"/>
      <c r="AD228" s="780"/>
      <c r="AE228" s="780"/>
      <c r="AF228" s="780"/>
      <c r="AG228" s="780"/>
      <c r="AH228" s="780"/>
      <c r="AI228" s="780"/>
      <c r="AJ228" s="780"/>
      <c r="AK228" s="780"/>
      <c r="AL228" s="780"/>
      <c r="AM228" s="780"/>
      <c r="AN228" s="780"/>
      <c r="AO228" s="780"/>
      <c r="AP228" s="780"/>
      <c r="AQ228" s="780"/>
      <c r="AR228" s="780"/>
      <c r="AS228" s="780"/>
    </row>
    <row r="229" spans="1:45" ht="16.5" thickTop="1" thickBot="1" x14ac:dyDescent="0.3">
      <c r="A229" s="217" t="s">
        <v>780</v>
      </c>
      <c r="B229" s="794">
        <f>+B230</f>
        <v>0</v>
      </c>
      <c r="C229" s="794">
        <f t="shared" si="147"/>
        <v>0</v>
      </c>
      <c r="D229" s="794">
        <f t="shared" si="147"/>
        <v>0</v>
      </c>
      <c r="E229" s="794">
        <f t="shared" si="147"/>
        <v>0</v>
      </c>
      <c r="F229" s="794">
        <f t="shared" si="147"/>
        <v>0</v>
      </c>
      <c r="G229" s="794">
        <f t="shared" si="147"/>
        <v>0</v>
      </c>
      <c r="H229" s="794">
        <f t="shared" si="147"/>
        <v>0</v>
      </c>
      <c r="I229" s="794">
        <f t="shared" si="147"/>
        <v>0</v>
      </c>
      <c r="J229" s="794">
        <f t="shared" si="147"/>
        <v>0</v>
      </c>
      <c r="K229" s="794">
        <f t="shared" si="147"/>
        <v>0</v>
      </c>
      <c r="L229" s="794">
        <f t="shared" si="147"/>
        <v>0</v>
      </c>
      <c r="M229" s="794">
        <f t="shared" si="147"/>
        <v>0</v>
      </c>
      <c r="N229" s="794"/>
      <c r="O229" s="794"/>
      <c r="P229" s="794"/>
      <c r="Q229" s="794"/>
      <c r="R229" s="838"/>
      <c r="S229" s="838"/>
      <c r="T229" s="838"/>
      <c r="U229" s="839"/>
      <c r="V229" s="436"/>
      <c r="W229" s="780"/>
      <c r="X229" s="780"/>
      <c r="Y229" s="780"/>
      <c r="Z229" s="780"/>
      <c r="AA229" s="780"/>
      <c r="AB229" s="780"/>
      <c r="AC229" s="780"/>
      <c r="AD229" s="780"/>
      <c r="AE229" s="780"/>
      <c r="AF229" s="780"/>
      <c r="AG229" s="780"/>
      <c r="AH229" s="780"/>
      <c r="AI229" s="780"/>
      <c r="AJ229" s="780"/>
      <c r="AK229" s="780"/>
      <c r="AL229" s="780"/>
      <c r="AM229" s="780"/>
      <c r="AN229" s="780"/>
      <c r="AO229" s="780"/>
      <c r="AP229" s="780"/>
      <c r="AQ229" s="780"/>
      <c r="AR229" s="780"/>
      <c r="AS229" s="780"/>
    </row>
    <row r="230" spans="1:45" ht="16.5" thickTop="1" thickBot="1" x14ac:dyDescent="0.3">
      <c r="A230" s="217" t="s">
        <v>781</v>
      </c>
      <c r="B230" s="794">
        <v>0</v>
      </c>
      <c r="C230" s="794">
        <v>0</v>
      </c>
      <c r="D230" s="794">
        <v>0</v>
      </c>
      <c r="E230" s="794">
        <v>0</v>
      </c>
      <c r="F230" s="794"/>
      <c r="G230" s="794"/>
      <c r="H230" s="794"/>
      <c r="I230" s="794"/>
      <c r="J230" s="794"/>
      <c r="K230" s="794"/>
      <c r="L230" s="794"/>
      <c r="M230" s="794"/>
      <c r="N230" s="780"/>
      <c r="O230" s="780"/>
      <c r="P230" s="780"/>
      <c r="Q230" s="780"/>
      <c r="R230" s="796"/>
      <c r="S230" s="796"/>
      <c r="T230" s="796"/>
      <c r="U230" s="463"/>
      <c r="V230" s="436"/>
      <c r="W230" s="780"/>
      <c r="X230" s="780"/>
      <c r="Y230" s="780"/>
      <c r="Z230" s="780"/>
      <c r="AA230" s="780"/>
      <c r="AB230" s="780"/>
      <c r="AC230" s="780"/>
      <c r="AD230" s="780"/>
      <c r="AE230" s="780"/>
      <c r="AF230" s="780"/>
      <c r="AG230" s="780"/>
      <c r="AH230" s="780"/>
      <c r="AI230" s="780"/>
      <c r="AJ230" s="780"/>
      <c r="AK230" s="780"/>
      <c r="AL230" s="780"/>
      <c r="AM230" s="780"/>
      <c r="AN230" s="780"/>
      <c r="AO230" s="780"/>
      <c r="AP230" s="780"/>
      <c r="AQ230" s="780"/>
      <c r="AR230" s="780"/>
      <c r="AS230" s="780"/>
    </row>
    <row r="231" spans="1:45" ht="16.5" thickTop="1" thickBot="1" x14ac:dyDescent="0.3">
      <c r="A231" s="221" t="s">
        <v>791</v>
      </c>
      <c r="B231" s="831">
        <f>+B232</f>
        <v>0</v>
      </c>
      <c r="C231" s="831">
        <f t="shared" ref="C231:M233" si="148">+C232</f>
        <v>0</v>
      </c>
      <c r="D231" s="831">
        <f t="shared" si="148"/>
        <v>0</v>
      </c>
      <c r="E231" s="831">
        <f t="shared" si="148"/>
        <v>0</v>
      </c>
      <c r="F231" s="831">
        <f t="shared" si="148"/>
        <v>0</v>
      </c>
      <c r="G231" s="831">
        <f t="shared" si="148"/>
        <v>0</v>
      </c>
      <c r="H231" s="831">
        <f t="shared" si="148"/>
        <v>0</v>
      </c>
      <c r="I231" s="831">
        <f t="shared" si="148"/>
        <v>0</v>
      </c>
      <c r="J231" s="831">
        <f t="shared" si="148"/>
        <v>0</v>
      </c>
      <c r="K231" s="831">
        <f t="shared" si="148"/>
        <v>0</v>
      </c>
      <c r="L231" s="831">
        <f t="shared" si="148"/>
        <v>0</v>
      </c>
      <c r="M231" s="831">
        <f t="shared" si="148"/>
        <v>0</v>
      </c>
      <c r="N231" s="831"/>
      <c r="O231" s="831"/>
      <c r="P231" s="831"/>
      <c r="Q231" s="831"/>
      <c r="R231" s="832"/>
      <c r="S231" s="832"/>
      <c r="T231" s="832"/>
      <c r="U231" s="511"/>
      <c r="V231" s="436"/>
      <c r="W231" s="780"/>
      <c r="X231" s="780"/>
      <c r="Y231" s="780"/>
      <c r="Z231" s="780"/>
      <c r="AA231" s="780"/>
      <c r="AB231" s="780"/>
      <c r="AC231" s="780"/>
      <c r="AD231" s="780"/>
      <c r="AE231" s="780"/>
      <c r="AF231" s="780"/>
      <c r="AG231" s="780"/>
      <c r="AH231" s="780"/>
      <c r="AI231" s="780"/>
      <c r="AJ231" s="780"/>
      <c r="AK231" s="780"/>
      <c r="AL231" s="780"/>
      <c r="AM231" s="780"/>
      <c r="AN231" s="780"/>
      <c r="AO231" s="780"/>
      <c r="AP231" s="780"/>
      <c r="AQ231" s="780"/>
      <c r="AR231" s="780"/>
      <c r="AS231" s="780"/>
    </row>
    <row r="232" spans="1:45" ht="16.5" thickTop="1" thickBot="1" x14ac:dyDescent="0.3">
      <c r="A232" s="499" t="s">
        <v>779</v>
      </c>
      <c r="B232" s="794">
        <f>+B233</f>
        <v>0</v>
      </c>
      <c r="C232" s="794">
        <f t="shared" si="148"/>
        <v>0</v>
      </c>
      <c r="D232" s="794">
        <f t="shared" si="148"/>
        <v>0</v>
      </c>
      <c r="E232" s="794">
        <f t="shared" si="148"/>
        <v>0</v>
      </c>
      <c r="F232" s="814">
        <f t="shared" si="148"/>
        <v>0</v>
      </c>
      <c r="G232" s="814">
        <f t="shared" si="148"/>
        <v>0</v>
      </c>
      <c r="H232" s="814">
        <f t="shared" si="148"/>
        <v>0</v>
      </c>
      <c r="I232" s="814">
        <f t="shared" si="148"/>
        <v>0</v>
      </c>
      <c r="J232" s="814">
        <f t="shared" si="148"/>
        <v>0</v>
      </c>
      <c r="K232" s="814">
        <f t="shared" si="148"/>
        <v>0</v>
      </c>
      <c r="L232" s="814">
        <f t="shared" si="148"/>
        <v>0</v>
      </c>
      <c r="M232" s="814">
        <f t="shared" si="148"/>
        <v>0</v>
      </c>
      <c r="N232" s="814"/>
      <c r="O232" s="814"/>
      <c r="P232" s="814"/>
      <c r="Q232" s="814"/>
      <c r="R232" s="815"/>
      <c r="S232" s="815"/>
      <c r="T232" s="815"/>
      <c r="U232" s="494"/>
      <c r="V232" s="436"/>
      <c r="W232" s="780"/>
      <c r="X232" s="780"/>
      <c r="Y232" s="780"/>
      <c r="Z232" s="780"/>
      <c r="AA232" s="780"/>
      <c r="AB232" s="780"/>
      <c r="AC232" s="780"/>
      <c r="AD232" s="780"/>
      <c r="AE232" s="780"/>
      <c r="AF232" s="780"/>
      <c r="AG232" s="780"/>
      <c r="AH232" s="780"/>
      <c r="AI232" s="780"/>
      <c r="AJ232" s="780"/>
      <c r="AK232" s="780"/>
      <c r="AL232" s="780"/>
      <c r="AM232" s="780"/>
      <c r="AN232" s="780"/>
      <c r="AO232" s="780"/>
      <c r="AP232" s="780"/>
      <c r="AQ232" s="780"/>
      <c r="AR232" s="780"/>
      <c r="AS232" s="780"/>
    </row>
    <row r="233" spans="1:45" ht="16.5" thickTop="1" thickBot="1" x14ac:dyDescent="0.3">
      <c r="A233" s="217" t="s">
        <v>780</v>
      </c>
      <c r="B233" s="794">
        <f>+B234</f>
        <v>0</v>
      </c>
      <c r="C233" s="794">
        <f t="shared" si="148"/>
        <v>0</v>
      </c>
      <c r="D233" s="794">
        <f t="shared" si="148"/>
        <v>0</v>
      </c>
      <c r="E233" s="794">
        <f t="shared" si="148"/>
        <v>0</v>
      </c>
      <c r="F233" s="794">
        <f t="shared" si="148"/>
        <v>0</v>
      </c>
      <c r="G233" s="794">
        <f t="shared" si="148"/>
        <v>0</v>
      </c>
      <c r="H233" s="794">
        <f t="shared" si="148"/>
        <v>0</v>
      </c>
      <c r="I233" s="794">
        <f t="shared" si="148"/>
        <v>0</v>
      </c>
      <c r="J233" s="794">
        <f t="shared" si="148"/>
        <v>0</v>
      </c>
      <c r="K233" s="794">
        <f t="shared" si="148"/>
        <v>0</v>
      </c>
      <c r="L233" s="794">
        <f t="shared" si="148"/>
        <v>0</v>
      </c>
      <c r="M233" s="794">
        <f t="shared" si="148"/>
        <v>0</v>
      </c>
      <c r="N233" s="794"/>
      <c r="O233" s="794"/>
      <c r="P233" s="794"/>
      <c r="Q233" s="794"/>
      <c r="R233" s="796"/>
      <c r="S233" s="796"/>
      <c r="T233" s="796"/>
      <c r="U233" s="463"/>
      <c r="V233" s="436"/>
      <c r="W233" s="780"/>
      <c r="X233" s="780"/>
      <c r="Y233" s="780"/>
      <c r="Z233" s="780"/>
      <c r="AA233" s="780"/>
      <c r="AB233" s="780"/>
      <c r="AC233" s="780"/>
      <c r="AD233" s="780"/>
      <c r="AE233" s="780"/>
      <c r="AF233" s="780"/>
      <c r="AG233" s="780"/>
      <c r="AH233" s="780"/>
      <c r="AI233" s="780"/>
      <c r="AJ233" s="780"/>
      <c r="AK233" s="780"/>
      <c r="AL233" s="780"/>
      <c r="AM233" s="780"/>
      <c r="AN233" s="780"/>
      <c r="AO233" s="780"/>
      <c r="AP233" s="780"/>
      <c r="AQ233" s="780"/>
      <c r="AR233" s="780"/>
      <c r="AS233" s="780"/>
    </row>
    <row r="234" spans="1:45" ht="16.5" thickTop="1" thickBot="1" x14ac:dyDescent="0.3">
      <c r="A234" s="217" t="s">
        <v>781</v>
      </c>
      <c r="B234" s="794">
        <v>0</v>
      </c>
      <c r="C234" s="794">
        <v>0</v>
      </c>
      <c r="D234" s="794">
        <v>0</v>
      </c>
      <c r="E234" s="794">
        <v>0</v>
      </c>
      <c r="F234" s="794"/>
      <c r="G234" s="794"/>
      <c r="H234" s="794"/>
      <c r="I234" s="794"/>
      <c r="J234" s="794"/>
      <c r="K234" s="794"/>
      <c r="L234" s="794"/>
      <c r="M234" s="794"/>
      <c r="N234" s="780"/>
      <c r="O234" s="780"/>
      <c r="P234" s="780"/>
      <c r="Q234" s="780"/>
      <c r="R234" s="796"/>
      <c r="S234" s="796"/>
      <c r="T234" s="796"/>
      <c r="U234" s="463"/>
      <c r="V234" s="436"/>
      <c r="W234" s="780"/>
      <c r="X234" s="780"/>
      <c r="Y234" s="780"/>
      <c r="Z234" s="780"/>
      <c r="AA234" s="780"/>
      <c r="AB234" s="780"/>
      <c r="AC234" s="780"/>
      <c r="AD234" s="780"/>
      <c r="AE234" s="780"/>
      <c r="AF234" s="780"/>
      <c r="AG234" s="780"/>
      <c r="AH234" s="780"/>
      <c r="AI234" s="780"/>
      <c r="AJ234" s="780"/>
      <c r="AK234" s="780"/>
      <c r="AL234" s="780"/>
      <c r="AM234" s="780"/>
      <c r="AN234" s="780"/>
      <c r="AO234" s="780"/>
      <c r="AP234" s="780"/>
      <c r="AQ234" s="780"/>
      <c r="AR234" s="780"/>
      <c r="AS234" s="780"/>
    </row>
    <row r="235" spans="1:45" ht="16.5" thickTop="1" thickBot="1" x14ac:dyDescent="0.3">
      <c r="A235" s="221" t="s">
        <v>792</v>
      </c>
      <c r="B235" s="831">
        <f>+B236</f>
        <v>0</v>
      </c>
      <c r="C235" s="831">
        <f t="shared" ref="C235:Q237" si="149">+C236</f>
        <v>0</v>
      </c>
      <c r="D235" s="831">
        <f t="shared" si="149"/>
        <v>0</v>
      </c>
      <c r="E235" s="831">
        <f t="shared" si="149"/>
        <v>0</v>
      </c>
      <c r="F235" s="831">
        <f t="shared" si="149"/>
        <v>0</v>
      </c>
      <c r="G235" s="831">
        <f t="shared" si="149"/>
        <v>0</v>
      </c>
      <c r="H235" s="831">
        <f t="shared" si="149"/>
        <v>0</v>
      </c>
      <c r="I235" s="831">
        <f t="shared" si="149"/>
        <v>0</v>
      </c>
      <c r="J235" s="831">
        <f t="shared" si="149"/>
        <v>0</v>
      </c>
      <c r="K235" s="831">
        <f t="shared" si="149"/>
        <v>0</v>
      </c>
      <c r="L235" s="831">
        <f t="shared" si="149"/>
        <v>0</v>
      </c>
      <c r="M235" s="831">
        <f t="shared" si="149"/>
        <v>0</v>
      </c>
      <c r="N235" s="831">
        <f t="shared" si="149"/>
        <v>0</v>
      </c>
      <c r="O235" s="831">
        <f t="shared" si="149"/>
        <v>0</v>
      </c>
      <c r="P235" s="831">
        <f t="shared" si="149"/>
        <v>0</v>
      </c>
      <c r="Q235" s="831">
        <f t="shared" si="149"/>
        <v>0</v>
      </c>
      <c r="R235" s="840">
        <f t="shared" ref="R235:U238" si="150">+B235+F235+J235+N235</f>
        <v>0</v>
      </c>
      <c r="S235" s="840">
        <f t="shared" si="150"/>
        <v>0</v>
      </c>
      <c r="T235" s="840">
        <f t="shared" si="150"/>
        <v>0</v>
      </c>
      <c r="U235" s="219">
        <f t="shared" si="150"/>
        <v>0</v>
      </c>
      <c r="V235" s="436"/>
      <c r="W235" s="780"/>
      <c r="X235" s="780"/>
      <c r="Y235" s="780"/>
      <c r="Z235" s="780"/>
      <c r="AA235" s="780"/>
      <c r="AB235" s="780"/>
      <c r="AC235" s="780"/>
      <c r="AD235" s="780"/>
      <c r="AE235" s="780"/>
      <c r="AF235" s="780"/>
      <c r="AG235" s="780"/>
      <c r="AH235" s="780"/>
      <c r="AI235" s="780"/>
      <c r="AJ235" s="780"/>
      <c r="AK235" s="780"/>
      <c r="AL235" s="780"/>
      <c r="AM235" s="780"/>
      <c r="AN235" s="780"/>
      <c r="AO235" s="780"/>
      <c r="AP235" s="780"/>
      <c r="AQ235" s="780"/>
      <c r="AR235" s="780"/>
      <c r="AS235" s="780"/>
    </row>
    <row r="236" spans="1:45" ht="16.5" thickTop="1" thickBot="1" x14ac:dyDescent="0.3">
      <c r="A236" s="499" t="s">
        <v>779</v>
      </c>
      <c r="B236" s="794">
        <f>+B237</f>
        <v>0</v>
      </c>
      <c r="C236" s="794">
        <f t="shared" si="149"/>
        <v>0</v>
      </c>
      <c r="D236" s="794">
        <f t="shared" si="149"/>
        <v>0</v>
      </c>
      <c r="E236" s="794">
        <f t="shared" si="149"/>
        <v>0</v>
      </c>
      <c r="F236" s="814">
        <f t="shared" si="149"/>
        <v>0</v>
      </c>
      <c r="G236" s="814">
        <f t="shared" si="149"/>
        <v>0</v>
      </c>
      <c r="H236" s="814">
        <f t="shared" si="149"/>
        <v>0</v>
      </c>
      <c r="I236" s="814">
        <f t="shared" si="149"/>
        <v>0</v>
      </c>
      <c r="J236" s="814">
        <f t="shared" si="149"/>
        <v>0</v>
      </c>
      <c r="K236" s="814">
        <f t="shared" si="149"/>
        <v>0</v>
      </c>
      <c r="L236" s="814">
        <f t="shared" si="149"/>
        <v>0</v>
      </c>
      <c r="M236" s="814">
        <f t="shared" si="149"/>
        <v>0</v>
      </c>
      <c r="N236" s="814">
        <f t="shared" si="149"/>
        <v>0</v>
      </c>
      <c r="O236" s="814">
        <f t="shared" si="149"/>
        <v>0</v>
      </c>
      <c r="P236" s="814">
        <f t="shared" si="149"/>
        <v>0</v>
      </c>
      <c r="Q236" s="814">
        <f t="shared" si="149"/>
        <v>0</v>
      </c>
      <c r="R236" s="802">
        <f t="shared" si="150"/>
        <v>0</v>
      </c>
      <c r="S236" s="802">
        <f t="shared" si="150"/>
        <v>0</v>
      </c>
      <c r="T236" s="802">
        <f t="shared" si="150"/>
        <v>0</v>
      </c>
      <c r="U236" s="475">
        <f t="shared" si="150"/>
        <v>0</v>
      </c>
      <c r="V236" s="436"/>
      <c r="W236" s="780"/>
      <c r="X236" s="780"/>
      <c r="Y236" s="780"/>
      <c r="Z236" s="780"/>
      <c r="AA236" s="780"/>
      <c r="AB236" s="780"/>
      <c r="AC236" s="780"/>
      <c r="AD236" s="780"/>
      <c r="AE236" s="780"/>
      <c r="AF236" s="780"/>
      <c r="AG236" s="780"/>
      <c r="AH236" s="780"/>
      <c r="AI236" s="780"/>
      <c r="AJ236" s="780"/>
      <c r="AK236" s="780"/>
      <c r="AL236" s="780"/>
      <c r="AM236" s="780"/>
      <c r="AN236" s="780"/>
      <c r="AO236" s="780"/>
      <c r="AP236" s="780"/>
      <c r="AQ236" s="780"/>
      <c r="AR236" s="780"/>
      <c r="AS236" s="780"/>
    </row>
    <row r="237" spans="1:45" ht="16.5" thickTop="1" thickBot="1" x14ac:dyDescent="0.3">
      <c r="A237" s="217" t="s">
        <v>780</v>
      </c>
      <c r="B237" s="794">
        <f>+B238</f>
        <v>0</v>
      </c>
      <c r="C237" s="794">
        <f t="shared" si="149"/>
        <v>0</v>
      </c>
      <c r="D237" s="794">
        <f t="shared" si="149"/>
        <v>0</v>
      </c>
      <c r="E237" s="794">
        <f t="shared" si="149"/>
        <v>0</v>
      </c>
      <c r="F237" s="794">
        <f t="shared" si="149"/>
        <v>0</v>
      </c>
      <c r="G237" s="794">
        <f t="shared" si="149"/>
        <v>0</v>
      </c>
      <c r="H237" s="794">
        <f t="shared" si="149"/>
        <v>0</v>
      </c>
      <c r="I237" s="794">
        <f t="shared" si="149"/>
        <v>0</v>
      </c>
      <c r="J237" s="794">
        <f t="shared" si="149"/>
        <v>0</v>
      </c>
      <c r="K237" s="794">
        <f t="shared" si="149"/>
        <v>0</v>
      </c>
      <c r="L237" s="794">
        <f t="shared" si="149"/>
        <v>0</v>
      </c>
      <c r="M237" s="794">
        <f t="shared" si="149"/>
        <v>0</v>
      </c>
      <c r="N237" s="794">
        <f t="shared" si="149"/>
        <v>0</v>
      </c>
      <c r="O237" s="794">
        <f t="shared" si="149"/>
        <v>0</v>
      </c>
      <c r="P237" s="794">
        <f t="shared" si="149"/>
        <v>0</v>
      </c>
      <c r="Q237" s="794">
        <f t="shared" si="149"/>
        <v>0</v>
      </c>
      <c r="R237" s="792">
        <f t="shared" si="150"/>
        <v>0</v>
      </c>
      <c r="S237" s="792">
        <f t="shared" si="150"/>
        <v>0</v>
      </c>
      <c r="T237" s="792">
        <f t="shared" si="150"/>
        <v>0</v>
      </c>
      <c r="U237" s="213">
        <f t="shared" si="150"/>
        <v>0</v>
      </c>
      <c r="V237" s="436"/>
      <c r="W237" s="780"/>
      <c r="X237" s="780"/>
      <c r="Y237" s="780"/>
      <c r="Z237" s="780"/>
      <c r="AA237" s="780"/>
      <c r="AB237" s="780"/>
      <c r="AC237" s="780"/>
      <c r="AD237" s="780"/>
      <c r="AE237" s="780"/>
      <c r="AF237" s="780"/>
      <c r="AG237" s="780"/>
      <c r="AH237" s="780"/>
      <c r="AI237" s="780"/>
      <c r="AJ237" s="780"/>
      <c r="AK237" s="780"/>
      <c r="AL237" s="780"/>
      <c r="AM237" s="780"/>
      <c r="AN237" s="780"/>
      <c r="AO237" s="780"/>
      <c r="AP237" s="780"/>
      <c r="AQ237" s="780"/>
      <c r="AR237" s="780"/>
      <c r="AS237" s="780"/>
    </row>
    <row r="238" spans="1:45" ht="16.5" thickTop="1" thickBot="1" x14ac:dyDescent="0.3">
      <c r="A238" s="217" t="s">
        <v>781</v>
      </c>
      <c r="B238" s="794">
        <v>0</v>
      </c>
      <c r="C238" s="794">
        <v>0</v>
      </c>
      <c r="D238" s="794">
        <v>0</v>
      </c>
      <c r="E238" s="794">
        <v>0</v>
      </c>
      <c r="F238" s="794"/>
      <c r="G238" s="794"/>
      <c r="H238" s="794"/>
      <c r="I238" s="794"/>
      <c r="J238" s="794"/>
      <c r="K238" s="794"/>
      <c r="L238" s="794"/>
      <c r="M238" s="794"/>
      <c r="N238" s="794">
        <v>0</v>
      </c>
      <c r="O238" s="794">
        <v>0</v>
      </c>
      <c r="P238" s="794">
        <v>0</v>
      </c>
      <c r="Q238" s="794">
        <v>0</v>
      </c>
      <c r="R238" s="792">
        <f t="shared" si="150"/>
        <v>0</v>
      </c>
      <c r="S238" s="792">
        <f>+C238+G238+K238+O238</f>
        <v>0</v>
      </c>
      <c r="T238" s="792">
        <f t="shared" si="150"/>
        <v>0</v>
      </c>
      <c r="U238" s="213">
        <f t="shared" si="150"/>
        <v>0</v>
      </c>
      <c r="V238" s="436"/>
      <c r="W238" s="780"/>
      <c r="X238" s="780"/>
      <c r="Y238" s="780"/>
      <c r="Z238" s="780"/>
      <c r="AA238" s="780"/>
      <c r="AB238" s="780"/>
      <c r="AC238" s="780"/>
      <c r="AD238" s="780"/>
      <c r="AE238" s="780"/>
      <c r="AF238" s="780"/>
      <c r="AG238" s="780"/>
      <c r="AH238" s="780"/>
      <c r="AI238" s="780"/>
      <c r="AJ238" s="780"/>
      <c r="AK238" s="780"/>
      <c r="AL238" s="780"/>
      <c r="AM238" s="780"/>
      <c r="AN238" s="780"/>
      <c r="AO238" s="780"/>
      <c r="AP238" s="780"/>
      <c r="AQ238" s="780"/>
      <c r="AR238" s="780"/>
      <c r="AS238" s="780"/>
    </row>
    <row r="239" spans="1:45" ht="39.75" thickTop="1" thickBot="1" x14ac:dyDescent="0.3">
      <c r="A239" s="221" t="s">
        <v>793</v>
      </c>
      <c r="B239" s="831">
        <f>+B240</f>
        <v>0</v>
      </c>
      <c r="C239" s="831">
        <f t="shared" ref="C239:Q245" si="151">+C240</f>
        <v>0</v>
      </c>
      <c r="D239" s="831">
        <f t="shared" si="151"/>
        <v>0</v>
      </c>
      <c r="E239" s="831">
        <f>+E240</f>
        <v>0</v>
      </c>
      <c r="F239" s="831">
        <f>+F240</f>
        <v>0</v>
      </c>
      <c r="G239" s="831">
        <f t="shared" si="151"/>
        <v>0</v>
      </c>
      <c r="H239" s="831">
        <f t="shared" si="151"/>
        <v>0</v>
      </c>
      <c r="I239" s="831">
        <f t="shared" si="151"/>
        <v>0</v>
      </c>
      <c r="J239" s="831">
        <f t="shared" si="151"/>
        <v>0</v>
      </c>
      <c r="K239" s="831">
        <f t="shared" si="151"/>
        <v>0</v>
      </c>
      <c r="L239" s="831">
        <f t="shared" si="151"/>
        <v>0</v>
      </c>
      <c r="M239" s="831">
        <f t="shared" si="151"/>
        <v>0</v>
      </c>
      <c r="N239" s="831"/>
      <c r="O239" s="831"/>
      <c r="P239" s="831"/>
      <c r="Q239" s="831"/>
      <c r="R239" s="832"/>
      <c r="S239" s="832"/>
      <c r="T239" s="832"/>
      <c r="U239" s="511"/>
      <c r="V239" s="436"/>
      <c r="W239" s="780"/>
      <c r="X239" s="780"/>
      <c r="Y239" s="780"/>
      <c r="Z239" s="780"/>
      <c r="AA239" s="780"/>
      <c r="AB239" s="780"/>
      <c r="AC239" s="780"/>
      <c r="AD239" s="780"/>
      <c r="AE239" s="780"/>
      <c r="AF239" s="780"/>
      <c r="AG239" s="780"/>
      <c r="AH239" s="780"/>
      <c r="AI239" s="780"/>
      <c r="AJ239" s="780"/>
      <c r="AK239" s="780"/>
      <c r="AL239" s="780"/>
      <c r="AM239" s="780"/>
      <c r="AN239" s="780"/>
      <c r="AO239" s="780"/>
      <c r="AP239" s="780"/>
      <c r="AQ239" s="780"/>
      <c r="AR239" s="780"/>
      <c r="AS239" s="780"/>
    </row>
    <row r="240" spans="1:45" ht="16.5" thickTop="1" thickBot="1" x14ac:dyDescent="0.3">
      <c r="A240" s="499" t="s">
        <v>779</v>
      </c>
      <c r="B240" s="794">
        <f>+B241</f>
        <v>0</v>
      </c>
      <c r="C240" s="794">
        <f t="shared" si="151"/>
        <v>0</v>
      </c>
      <c r="D240" s="794">
        <f t="shared" si="151"/>
        <v>0</v>
      </c>
      <c r="E240" s="794">
        <f t="shared" si="151"/>
        <v>0</v>
      </c>
      <c r="F240" s="814">
        <f>+F241</f>
        <v>0</v>
      </c>
      <c r="G240" s="814">
        <f t="shared" si="151"/>
        <v>0</v>
      </c>
      <c r="H240" s="814">
        <f t="shared" si="151"/>
        <v>0</v>
      </c>
      <c r="I240" s="814">
        <f t="shared" si="151"/>
        <v>0</v>
      </c>
      <c r="J240" s="814">
        <f t="shared" si="151"/>
        <v>0</v>
      </c>
      <c r="K240" s="814">
        <f t="shared" si="151"/>
        <v>0</v>
      </c>
      <c r="L240" s="814">
        <f t="shared" si="151"/>
        <v>0</v>
      </c>
      <c r="M240" s="814">
        <f t="shared" si="151"/>
        <v>0</v>
      </c>
      <c r="N240" s="814"/>
      <c r="O240" s="814"/>
      <c r="P240" s="814"/>
      <c r="Q240" s="814"/>
      <c r="R240" s="815"/>
      <c r="S240" s="815"/>
      <c r="T240" s="815"/>
      <c r="U240" s="494"/>
      <c r="V240" s="436"/>
      <c r="W240" s="780"/>
      <c r="X240" s="780"/>
      <c r="Y240" s="780"/>
      <c r="Z240" s="780"/>
      <c r="AA240" s="780"/>
      <c r="AB240" s="780"/>
      <c r="AC240" s="780"/>
      <c r="AD240" s="780"/>
      <c r="AE240" s="780"/>
      <c r="AF240" s="780"/>
      <c r="AG240" s="780"/>
      <c r="AH240" s="780"/>
      <c r="AI240" s="780"/>
      <c r="AJ240" s="780"/>
      <c r="AK240" s="780"/>
      <c r="AL240" s="780"/>
      <c r="AM240" s="780"/>
      <c r="AN240" s="780"/>
      <c r="AO240" s="780"/>
      <c r="AP240" s="780"/>
      <c r="AQ240" s="780"/>
      <c r="AR240" s="780"/>
      <c r="AS240" s="780"/>
    </row>
    <row r="241" spans="1:45" ht="16.5" thickTop="1" thickBot="1" x14ac:dyDescent="0.3">
      <c r="A241" s="217" t="s">
        <v>780</v>
      </c>
      <c r="B241" s="794">
        <f>+B242</f>
        <v>0</v>
      </c>
      <c r="C241" s="794">
        <f t="shared" si="151"/>
        <v>0</v>
      </c>
      <c r="D241" s="794">
        <f t="shared" si="151"/>
        <v>0</v>
      </c>
      <c r="E241" s="794">
        <f>+E242</f>
        <v>0</v>
      </c>
      <c r="F241" s="794">
        <f t="shared" si="151"/>
        <v>0</v>
      </c>
      <c r="G241" s="794">
        <f t="shared" si="151"/>
        <v>0</v>
      </c>
      <c r="H241" s="794">
        <f t="shared" si="151"/>
        <v>0</v>
      </c>
      <c r="I241" s="794">
        <f t="shared" si="151"/>
        <v>0</v>
      </c>
      <c r="J241" s="794">
        <f t="shared" si="151"/>
        <v>0</v>
      </c>
      <c r="K241" s="794">
        <f t="shared" si="151"/>
        <v>0</v>
      </c>
      <c r="L241" s="794">
        <f t="shared" si="151"/>
        <v>0</v>
      </c>
      <c r="M241" s="794">
        <f t="shared" si="151"/>
        <v>0</v>
      </c>
      <c r="N241" s="794"/>
      <c r="O241" s="794"/>
      <c r="P241" s="794"/>
      <c r="Q241" s="794"/>
      <c r="R241" s="796"/>
      <c r="S241" s="796"/>
      <c r="T241" s="796"/>
      <c r="U241" s="463"/>
      <c r="V241" s="436"/>
      <c r="W241" s="780"/>
      <c r="X241" s="780"/>
      <c r="Y241" s="780"/>
      <c r="Z241" s="780"/>
      <c r="AA241" s="780"/>
      <c r="AB241" s="780"/>
      <c r="AC241" s="780"/>
      <c r="AD241" s="780"/>
      <c r="AE241" s="780"/>
      <c r="AF241" s="780"/>
      <c r="AG241" s="780"/>
      <c r="AH241" s="780"/>
      <c r="AI241" s="780"/>
      <c r="AJ241" s="780"/>
      <c r="AK241" s="780"/>
      <c r="AL241" s="780"/>
      <c r="AM241" s="780"/>
      <c r="AN241" s="780"/>
      <c r="AO241" s="780"/>
      <c r="AP241" s="780"/>
      <c r="AQ241" s="780"/>
      <c r="AR241" s="780"/>
      <c r="AS241" s="780"/>
    </row>
    <row r="242" spans="1:45" ht="16.5" thickTop="1" thickBot="1" x14ac:dyDescent="0.3">
      <c r="A242" s="217" t="s">
        <v>781</v>
      </c>
      <c r="B242" s="794">
        <v>0</v>
      </c>
      <c r="C242" s="794">
        <v>0</v>
      </c>
      <c r="D242" s="794">
        <v>0</v>
      </c>
      <c r="E242" s="794">
        <v>0</v>
      </c>
      <c r="F242" s="794">
        <v>0</v>
      </c>
      <c r="G242" s="794">
        <v>0</v>
      </c>
      <c r="H242" s="794">
        <v>0</v>
      </c>
      <c r="I242" s="794"/>
      <c r="J242" s="794"/>
      <c r="K242" s="794"/>
      <c r="L242" s="794"/>
      <c r="M242" s="794"/>
      <c r="N242" s="780"/>
      <c r="O242" s="780"/>
      <c r="P242" s="780"/>
      <c r="Q242" s="780"/>
      <c r="R242" s="796"/>
      <c r="S242" s="796"/>
      <c r="T242" s="796"/>
      <c r="U242" s="463"/>
      <c r="V242" s="436"/>
      <c r="W242" s="780"/>
      <c r="X242" s="780"/>
      <c r="Y242" s="780"/>
      <c r="Z242" s="780"/>
      <c r="AA242" s="780"/>
      <c r="AB242" s="780"/>
      <c r="AC242" s="780"/>
      <c r="AD242" s="780"/>
      <c r="AE242" s="780"/>
      <c r="AF242" s="780"/>
      <c r="AG242" s="780"/>
      <c r="AH242" s="780"/>
      <c r="AI242" s="780"/>
      <c r="AJ242" s="780"/>
      <c r="AK242" s="780"/>
      <c r="AL242" s="780"/>
      <c r="AM242" s="780"/>
      <c r="AN242" s="780"/>
      <c r="AO242" s="780"/>
      <c r="AP242" s="780"/>
      <c r="AQ242" s="780"/>
      <c r="AR242" s="780"/>
      <c r="AS242" s="780"/>
    </row>
    <row r="243" spans="1:45" ht="27" thickTop="1" thickBot="1" x14ac:dyDescent="0.3">
      <c r="A243" s="222" t="s">
        <v>794</v>
      </c>
      <c r="B243" s="831">
        <f>+B244</f>
        <v>0</v>
      </c>
      <c r="C243" s="831">
        <f>+C244</f>
        <v>0</v>
      </c>
      <c r="D243" s="831">
        <f t="shared" si="151"/>
        <v>0</v>
      </c>
      <c r="E243" s="831">
        <f>+E244</f>
        <v>0</v>
      </c>
      <c r="F243" s="831">
        <f>+F244</f>
        <v>0</v>
      </c>
      <c r="G243" s="831">
        <f t="shared" si="151"/>
        <v>0</v>
      </c>
      <c r="H243" s="831">
        <f t="shared" si="151"/>
        <v>0</v>
      </c>
      <c r="I243" s="831">
        <f t="shared" si="151"/>
        <v>0</v>
      </c>
      <c r="J243" s="831">
        <f t="shared" si="151"/>
        <v>0</v>
      </c>
      <c r="K243" s="831">
        <f t="shared" si="151"/>
        <v>0</v>
      </c>
      <c r="L243" s="831">
        <f t="shared" si="151"/>
        <v>0</v>
      </c>
      <c r="M243" s="831">
        <f t="shared" si="151"/>
        <v>0</v>
      </c>
      <c r="N243" s="831">
        <f t="shared" si="151"/>
        <v>0</v>
      </c>
      <c r="O243" s="831">
        <f t="shared" si="151"/>
        <v>0</v>
      </c>
      <c r="P243" s="831">
        <f t="shared" si="151"/>
        <v>0</v>
      </c>
      <c r="Q243" s="831">
        <f t="shared" si="151"/>
        <v>0</v>
      </c>
      <c r="R243" s="832"/>
      <c r="S243" s="832"/>
      <c r="T243" s="832"/>
      <c r="U243" s="511"/>
      <c r="V243" s="436"/>
      <c r="W243" s="780"/>
      <c r="X243" s="780"/>
      <c r="Y243" s="780"/>
      <c r="Z243" s="780"/>
      <c r="AA243" s="780"/>
      <c r="AB243" s="780"/>
      <c r="AC243" s="780"/>
      <c r="AD243" s="780"/>
      <c r="AE243" s="780"/>
      <c r="AF243" s="780"/>
      <c r="AG243" s="780"/>
      <c r="AH243" s="780"/>
      <c r="AI243" s="780"/>
      <c r="AJ243" s="780"/>
      <c r="AK243" s="780"/>
      <c r="AL243" s="780"/>
      <c r="AM243" s="780"/>
      <c r="AN243" s="780"/>
      <c r="AO243" s="780"/>
      <c r="AP243" s="780"/>
      <c r="AQ243" s="780"/>
      <c r="AR243" s="780"/>
      <c r="AS243" s="780"/>
    </row>
    <row r="244" spans="1:45" ht="16.5" thickTop="1" thickBot="1" x14ac:dyDescent="0.3">
      <c r="A244" s="499" t="s">
        <v>779</v>
      </c>
      <c r="B244" s="794">
        <f>+B245</f>
        <v>0</v>
      </c>
      <c r="C244" s="794">
        <f t="shared" si="151"/>
        <v>0</v>
      </c>
      <c r="D244" s="794">
        <f t="shared" si="151"/>
        <v>0</v>
      </c>
      <c r="E244" s="794">
        <f t="shared" si="151"/>
        <v>0</v>
      </c>
      <c r="F244" s="814">
        <f>+F245</f>
        <v>0</v>
      </c>
      <c r="G244" s="814">
        <f t="shared" si="151"/>
        <v>0</v>
      </c>
      <c r="H244" s="814">
        <f t="shared" si="151"/>
        <v>0</v>
      </c>
      <c r="I244" s="814">
        <f t="shared" si="151"/>
        <v>0</v>
      </c>
      <c r="J244" s="814">
        <f t="shared" si="151"/>
        <v>0</v>
      </c>
      <c r="K244" s="814">
        <f t="shared" si="151"/>
        <v>0</v>
      </c>
      <c r="L244" s="814">
        <f t="shared" si="151"/>
        <v>0</v>
      </c>
      <c r="M244" s="814">
        <f t="shared" si="151"/>
        <v>0</v>
      </c>
      <c r="N244" s="814">
        <f t="shared" si="151"/>
        <v>0</v>
      </c>
      <c r="O244" s="814">
        <f t="shared" si="151"/>
        <v>0</v>
      </c>
      <c r="P244" s="814">
        <f t="shared" si="151"/>
        <v>0</v>
      </c>
      <c r="Q244" s="814">
        <f t="shared" si="151"/>
        <v>0</v>
      </c>
      <c r="R244" s="815"/>
      <c r="S244" s="815"/>
      <c r="T244" s="815"/>
      <c r="U244" s="494"/>
      <c r="V244" s="436"/>
      <c r="W244" s="780"/>
      <c r="X244" s="780"/>
      <c r="Y244" s="780"/>
      <c r="Z244" s="780"/>
      <c r="AA244" s="780"/>
      <c r="AB244" s="780"/>
      <c r="AC244" s="780"/>
      <c r="AD244" s="780"/>
      <c r="AE244" s="780"/>
      <c r="AF244" s="780"/>
      <c r="AG244" s="780"/>
      <c r="AH244" s="780"/>
      <c r="AI244" s="780"/>
      <c r="AJ244" s="780"/>
      <c r="AK244" s="780"/>
      <c r="AL244" s="780"/>
      <c r="AM244" s="780"/>
      <c r="AN244" s="780"/>
      <c r="AO244" s="780"/>
      <c r="AP244" s="780"/>
      <c r="AQ244" s="780"/>
      <c r="AR244" s="780"/>
      <c r="AS244" s="780"/>
    </row>
    <row r="245" spans="1:45" ht="16.5" thickTop="1" thickBot="1" x14ac:dyDescent="0.3">
      <c r="A245" s="217" t="s">
        <v>780</v>
      </c>
      <c r="B245" s="794">
        <f>+B246</f>
        <v>0</v>
      </c>
      <c r="C245" s="794">
        <f t="shared" si="151"/>
        <v>0</v>
      </c>
      <c r="D245" s="794">
        <f t="shared" si="151"/>
        <v>0</v>
      </c>
      <c r="E245" s="794">
        <f t="shared" si="151"/>
        <v>0</v>
      </c>
      <c r="F245" s="794">
        <f t="shared" si="151"/>
        <v>0</v>
      </c>
      <c r="G245" s="794">
        <f t="shared" si="151"/>
        <v>0</v>
      </c>
      <c r="H245" s="794">
        <f t="shared" si="151"/>
        <v>0</v>
      </c>
      <c r="I245" s="794">
        <f t="shared" si="151"/>
        <v>0</v>
      </c>
      <c r="J245" s="794">
        <f t="shared" si="151"/>
        <v>0</v>
      </c>
      <c r="K245" s="794">
        <f t="shared" si="151"/>
        <v>0</v>
      </c>
      <c r="L245" s="794">
        <f t="shared" si="151"/>
        <v>0</v>
      </c>
      <c r="M245" s="794">
        <f t="shared" si="151"/>
        <v>0</v>
      </c>
      <c r="N245" s="794"/>
      <c r="O245" s="794"/>
      <c r="P245" s="794"/>
      <c r="Q245" s="794"/>
      <c r="R245" s="796"/>
      <c r="S245" s="796"/>
      <c r="T245" s="796"/>
      <c r="U245" s="463"/>
      <c r="V245" s="436"/>
      <c r="W245" s="780"/>
      <c r="X245" s="780"/>
      <c r="Y245" s="780"/>
      <c r="Z245" s="780"/>
      <c r="AA245" s="780"/>
      <c r="AB245" s="780"/>
      <c r="AC245" s="780"/>
      <c r="AD245" s="780"/>
      <c r="AE245" s="780"/>
      <c r="AF245" s="780"/>
      <c r="AG245" s="780"/>
      <c r="AH245" s="780"/>
      <c r="AI245" s="780"/>
      <c r="AJ245" s="780"/>
      <c r="AK245" s="780"/>
      <c r="AL245" s="780"/>
      <c r="AM245" s="780"/>
      <c r="AN245" s="780"/>
      <c r="AO245" s="780"/>
      <c r="AP245" s="780"/>
      <c r="AQ245" s="780"/>
      <c r="AR245" s="780"/>
      <c r="AS245" s="780"/>
    </row>
    <row r="246" spans="1:45" ht="16.5" thickTop="1" thickBot="1" x14ac:dyDescent="0.3">
      <c r="A246" s="217" t="s">
        <v>781</v>
      </c>
      <c r="B246" s="794">
        <v>0</v>
      </c>
      <c r="C246" s="794">
        <v>0</v>
      </c>
      <c r="D246" s="794">
        <v>0</v>
      </c>
      <c r="E246" s="794">
        <v>0</v>
      </c>
      <c r="F246" s="794"/>
      <c r="G246" s="794">
        <v>0</v>
      </c>
      <c r="H246" s="794">
        <v>0</v>
      </c>
      <c r="I246" s="794"/>
      <c r="J246" s="794"/>
      <c r="K246" s="794"/>
      <c r="L246" s="794"/>
      <c r="M246" s="794"/>
      <c r="N246" s="780"/>
      <c r="O246" s="780"/>
      <c r="P246" s="780"/>
      <c r="Q246" s="780"/>
      <c r="R246" s="796"/>
      <c r="S246" s="796"/>
      <c r="T246" s="796"/>
      <c r="U246" s="463"/>
      <c r="V246" s="436"/>
      <c r="W246" s="780"/>
      <c r="X246" s="780"/>
      <c r="Y246" s="780"/>
      <c r="Z246" s="780"/>
      <c r="AA246" s="780"/>
      <c r="AB246" s="780"/>
      <c r="AC246" s="780"/>
      <c r="AD246" s="780"/>
      <c r="AE246" s="780"/>
      <c r="AF246" s="780"/>
      <c r="AG246" s="780"/>
      <c r="AH246" s="780"/>
      <c r="AI246" s="780"/>
      <c r="AJ246" s="780"/>
      <c r="AK246" s="780"/>
      <c r="AL246" s="780"/>
      <c r="AM246" s="780"/>
      <c r="AN246" s="780"/>
      <c r="AO246" s="780"/>
      <c r="AP246" s="780"/>
      <c r="AQ246" s="780"/>
      <c r="AR246" s="780"/>
      <c r="AS246" s="780"/>
    </row>
    <row r="247" spans="1:45" ht="16.5" thickTop="1" thickBot="1" x14ac:dyDescent="0.3">
      <c r="A247" s="523" t="s">
        <v>795</v>
      </c>
      <c r="B247" s="524">
        <f>B4+B39+B49</f>
        <v>23970000000</v>
      </c>
      <c r="C247" s="524">
        <f t="shared" ref="C247:Q247" si="152">C4+C39+C49</f>
        <v>12033998827</v>
      </c>
      <c r="D247" s="524">
        <f t="shared" si="152"/>
        <v>3700263692</v>
      </c>
      <c r="E247" s="524">
        <f>E4+E39+E49</f>
        <v>3440211894</v>
      </c>
      <c r="F247" s="524">
        <f>F4+F39+F49</f>
        <v>3064751000</v>
      </c>
      <c r="G247" s="524">
        <f t="shared" si="152"/>
        <v>2046066745</v>
      </c>
      <c r="H247" s="524">
        <f t="shared" si="152"/>
        <v>2031402637</v>
      </c>
      <c r="I247" s="524">
        <f t="shared" si="152"/>
        <v>2031402637</v>
      </c>
      <c r="J247" s="524">
        <f t="shared" si="152"/>
        <v>0</v>
      </c>
      <c r="K247" s="524">
        <f t="shared" si="152"/>
        <v>0</v>
      </c>
      <c r="L247" s="524">
        <f t="shared" si="152"/>
        <v>0</v>
      </c>
      <c r="M247" s="524">
        <f t="shared" si="152"/>
        <v>0</v>
      </c>
      <c r="N247" s="524">
        <f>N4+N39+N49</f>
        <v>28540926653</v>
      </c>
      <c r="O247" s="524">
        <f>O4+O39+O49</f>
        <v>5973286993</v>
      </c>
      <c r="P247" s="524">
        <f t="shared" si="152"/>
        <v>187867273</v>
      </c>
      <c r="Q247" s="524">
        <f t="shared" si="152"/>
        <v>121067627</v>
      </c>
      <c r="R247" s="524">
        <f>R4+R39+R49</f>
        <v>55575677653</v>
      </c>
      <c r="S247" s="524">
        <f t="shared" ref="S247:U247" si="153">S4+S39+S49</f>
        <v>20053352565</v>
      </c>
      <c r="T247" s="524">
        <f t="shared" si="153"/>
        <v>5919533602</v>
      </c>
      <c r="U247" s="524">
        <f t="shared" si="153"/>
        <v>5592682158</v>
      </c>
      <c r="V247" s="436"/>
      <c r="W247" s="780"/>
      <c r="X247" s="780"/>
      <c r="Y247" s="780"/>
      <c r="Z247" s="780"/>
      <c r="AA247" s="780"/>
      <c r="AB247" s="780"/>
      <c r="AC247" s="780"/>
      <c r="AD247" s="780"/>
      <c r="AE247" s="780"/>
      <c r="AF247" s="780"/>
      <c r="AG247" s="780"/>
      <c r="AH247" s="780"/>
      <c r="AI247" s="780"/>
      <c r="AJ247" s="780"/>
      <c r="AK247" s="780"/>
      <c r="AL247" s="780"/>
      <c r="AM247" s="780"/>
      <c r="AN247" s="780"/>
      <c r="AO247" s="780"/>
      <c r="AP247" s="780"/>
      <c r="AQ247" s="780"/>
      <c r="AR247" s="780"/>
      <c r="AS247" s="780"/>
    </row>
    <row r="248" spans="1:45" ht="15.75" thickTop="1" x14ac:dyDescent="0.25">
      <c r="R248" s="534">
        <f>R247-R4</f>
        <v>44592327330</v>
      </c>
      <c r="W248" s="534">
        <f>SUM(W52:W247)</f>
        <v>44592327330</v>
      </c>
    </row>
    <row r="249" spans="1:45" x14ac:dyDescent="0.25">
      <c r="N249" s="534"/>
    </row>
    <row r="250" spans="1:45" x14ac:dyDescent="0.25">
      <c r="N250" s="534"/>
    </row>
  </sheetData>
  <mergeCells count="6">
    <mergeCell ref="R2:U2"/>
    <mergeCell ref="A2:A3"/>
    <mergeCell ref="B2:E2"/>
    <mergeCell ref="F2:I2"/>
    <mergeCell ref="J2:M2"/>
    <mergeCell ref="N2:Q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33"/>
  <sheetViews>
    <sheetView topLeftCell="K417" workbookViewId="0">
      <selection activeCell="K429" sqref="A1:Z532"/>
    </sheetView>
  </sheetViews>
  <sheetFormatPr baseColWidth="10" defaultRowHeight="15" x14ac:dyDescent="0.25"/>
  <cols>
    <col min="1" max="10" width="0" hidden="1" customWidth="1"/>
    <col min="11" max="11" width="56" customWidth="1"/>
    <col min="12" max="12" width="19.85546875" bestFit="1" customWidth="1"/>
    <col min="13" max="13" width="20.5703125" bestFit="1" customWidth="1"/>
    <col min="14" max="14" width="17.5703125" bestFit="1" customWidth="1"/>
    <col min="15" max="15" width="21.140625" bestFit="1" customWidth="1"/>
    <col min="16" max="16" width="24.140625" bestFit="1" customWidth="1"/>
    <col min="17" max="17" width="28.28515625" customWidth="1"/>
    <col min="18" max="18" width="18" bestFit="1" customWidth="1"/>
    <col min="19" max="19" width="17.28515625" bestFit="1" customWidth="1"/>
    <col min="20" max="20" width="21.5703125" customWidth="1"/>
    <col min="21" max="21" width="19.28515625" bestFit="1" customWidth="1"/>
    <col min="22" max="22" width="14" customWidth="1"/>
    <col min="23" max="23" width="26.85546875" customWidth="1"/>
    <col min="24" max="25" width="0" hidden="1" customWidth="1"/>
    <col min="26" max="26" width="19" customWidth="1"/>
  </cols>
  <sheetData>
    <row r="1" spans="1:26" x14ac:dyDescent="0.25">
      <c r="A1" s="1271" t="s">
        <v>1612</v>
      </c>
      <c r="B1" s="1272"/>
      <c r="C1" s="1272"/>
      <c r="D1" s="1272"/>
      <c r="E1" s="1272"/>
      <c r="F1" s="1273"/>
      <c r="G1" s="1273"/>
      <c r="H1" s="1273"/>
      <c r="I1" s="1272"/>
      <c r="J1" s="1272"/>
      <c r="K1" s="1272"/>
      <c r="L1" s="1272"/>
      <c r="M1" s="1272"/>
      <c r="N1" s="1272"/>
      <c r="O1" s="1272"/>
      <c r="P1" s="1272"/>
      <c r="Q1" s="1272"/>
      <c r="R1" s="1272"/>
      <c r="S1" s="1272"/>
      <c r="T1" s="1272"/>
      <c r="U1" s="1272"/>
      <c r="V1" s="1272"/>
      <c r="W1" s="1274"/>
      <c r="X1" s="843"/>
      <c r="Y1" s="843"/>
      <c r="Z1" s="843"/>
    </row>
    <row r="2" spans="1:26" x14ac:dyDescent="0.25">
      <c r="A2" s="1275" t="s">
        <v>796</v>
      </c>
      <c r="B2" s="1276"/>
      <c r="C2" s="1276"/>
      <c r="D2" s="1276"/>
      <c r="E2" s="1276"/>
      <c r="F2" s="1277"/>
      <c r="G2" s="1277"/>
      <c r="H2" s="1277"/>
      <c r="I2" s="1276"/>
      <c r="J2" s="1276"/>
      <c r="K2" s="1276"/>
      <c r="L2" s="1276"/>
      <c r="M2" s="1276"/>
      <c r="N2" s="1276"/>
      <c r="O2" s="1276"/>
      <c r="P2" s="1276"/>
      <c r="Q2" s="1276"/>
      <c r="R2" s="1276"/>
      <c r="S2" s="1276"/>
      <c r="T2" s="1276"/>
      <c r="U2" s="1276"/>
      <c r="V2" s="1276"/>
      <c r="W2" s="1278"/>
      <c r="X2" s="843"/>
      <c r="Y2" s="843"/>
      <c r="Z2" s="843"/>
    </row>
    <row r="3" spans="1:26" ht="15.75" thickBot="1" x14ac:dyDescent="0.3">
      <c r="A3" s="1279" t="s">
        <v>1729</v>
      </c>
      <c r="B3" s="1280"/>
      <c r="C3" s="1280"/>
      <c r="D3" s="1280"/>
      <c r="E3" s="1280"/>
      <c r="F3" s="1281"/>
      <c r="G3" s="1281"/>
      <c r="H3" s="1281"/>
      <c r="I3" s="1280"/>
      <c r="J3" s="1280"/>
      <c r="K3" s="1280"/>
      <c r="L3" s="1280"/>
      <c r="M3" s="1280"/>
      <c r="N3" s="1280"/>
      <c r="O3" s="1280"/>
      <c r="P3" s="1280"/>
      <c r="Q3" s="1280"/>
      <c r="R3" s="1280"/>
      <c r="S3" s="1280"/>
      <c r="T3" s="1280"/>
      <c r="U3" s="1280"/>
      <c r="V3" s="1280"/>
      <c r="W3" s="1282"/>
      <c r="X3" s="843"/>
      <c r="Y3" s="843"/>
      <c r="Z3" s="843"/>
    </row>
    <row r="4" spans="1:26" ht="18" thickTop="1" thickBot="1" x14ac:dyDescent="0.3">
      <c r="A4" s="1283" t="s">
        <v>797</v>
      </c>
      <c r="B4" s="1284"/>
      <c r="C4" s="1284"/>
      <c r="D4" s="1284"/>
      <c r="E4" s="1284"/>
      <c r="F4" s="1284"/>
      <c r="G4" s="1284"/>
      <c r="H4" s="1284"/>
      <c r="I4" s="1285"/>
      <c r="J4" s="844"/>
      <c r="K4" s="1286" t="s">
        <v>798</v>
      </c>
      <c r="L4" s="1286" t="s">
        <v>799</v>
      </c>
      <c r="M4" s="1288" t="s">
        <v>800</v>
      </c>
      <c r="N4" s="1288"/>
      <c r="O4" s="1286" t="s">
        <v>801</v>
      </c>
      <c r="P4" s="1289" t="s">
        <v>802</v>
      </c>
      <c r="Q4" s="1290"/>
      <c r="R4" s="1290"/>
      <c r="S4" s="1291"/>
      <c r="T4" s="1292" t="s">
        <v>803</v>
      </c>
      <c r="U4" s="1286" t="s">
        <v>804</v>
      </c>
      <c r="V4" s="1292" t="s">
        <v>805</v>
      </c>
      <c r="W4" s="1286" t="s">
        <v>806</v>
      </c>
      <c r="X4" s="1267" t="s">
        <v>807</v>
      </c>
      <c r="Y4" s="1269" t="s">
        <v>808</v>
      </c>
      <c r="Z4" s="843"/>
    </row>
    <row r="5" spans="1:26" ht="35.25" thickTop="1" thickBot="1" x14ac:dyDescent="0.3">
      <c r="A5" s="845" t="s">
        <v>715</v>
      </c>
      <c r="B5" s="845" t="s">
        <v>716</v>
      </c>
      <c r="C5" s="846" t="s">
        <v>717</v>
      </c>
      <c r="D5" s="845" t="s">
        <v>718</v>
      </c>
      <c r="E5" s="845" t="s">
        <v>719</v>
      </c>
      <c r="F5" s="845" t="s">
        <v>720</v>
      </c>
      <c r="G5" s="845" t="s">
        <v>721</v>
      </c>
      <c r="H5" s="847" t="s">
        <v>809</v>
      </c>
      <c r="I5" s="848" t="s">
        <v>810</v>
      </c>
      <c r="J5" s="848"/>
      <c r="K5" s="1287"/>
      <c r="L5" s="1287"/>
      <c r="M5" s="849" t="s">
        <v>811</v>
      </c>
      <c r="N5" s="850" t="s">
        <v>812</v>
      </c>
      <c r="O5" s="1287"/>
      <c r="P5" s="851" t="s">
        <v>813</v>
      </c>
      <c r="Q5" s="849" t="s">
        <v>814</v>
      </c>
      <c r="R5" s="849" t="s">
        <v>815</v>
      </c>
      <c r="S5" s="851" t="s">
        <v>816</v>
      </c>
      <c r="T5" s="1286"/>
      <c r="U5" s="1287"/>
      <c r="V5" s="1286"/>
      <c r="W5" s="1287"/>
      <c r="X5" s="1268"/>
      <c r="Y5" s="1270"/>
      <c r="Z5" s="852"/>
    </row>
    <row r="6" spans="1:26" ht="16.5" thickTop="1" thickBot="1" x14ac:dyDescent="0.3">
      <c r="A6" s="853" t="s">
        <v>817</v>
      </c>
      <c r="B6" s="853"/>
      <c r="C6" s="853"/>
      <c r="D6" s="853"/>
      <c r="E6" s="853"/>
      <c r="F6" s="853"/>
      <c r="G6" s="853"/>
      <c r="H6" s="854"/>
      <c r="I6" s="855"/>
      <c r="J6" s="855"/>
      <c r="K6" s="856" t="s">
        <v>818</v>
      </c>
      <c r="L6" s="857">
        <f>+L7+L512+L519+L525+L526</f>
        <v>38687252110.25</v>
      </c>
      <c r="M6" s="857">
        <f>+M7+M512+M519+M525+M526</f>
        <v>16888425542</v>
      </c>
      <c r="N6" s="857">
        <f t="shared" ref="N6:U6" si="0">+N7+N512+N519+N525+N526</f>
        <v>0</v>
      </c>
      <c r="O6" s="857">
        <f>L6+M6-N6</f>
        <v>55575677652.25</v>
      </c>
      <c r="P6" s="857">
        <f>+P7+P512+P519+P525+P526</f>
        <v>10318350323</v>
      </c>
      <c r="Q6" s="857">
        <f>+Q7+Q512+Q519+Q525+Q526</f>
        <v>44592327329.25</v>
      </c>
      <c r="R6" s="857">
        <f t="shared" si="0"/>
        <v>665000000</v>
      </c>
      <c r="S6" s="857">
        <f t="shared" si="0"/>
        <v>0</v>
      </c>
      <c r="T6" s="857">
        <f t="shared" si="0"/>
        <v>18080264395.169998</v>
      </c>
      <c r="U6" s="857">
        <f t="shared" si="0"/>
        <v>14228212459.610001</v>
      </c>
      <c r="V6" s="858">
        <f t="shared" ref="V6:V12" si="1">U6/T6</f>
        <v>0.78694714571823166</v>
      </c>
      <c r="W6" s="857"/>
      <c r="X6" s="859"/>
      <c r="Y6" s="859"/>
      <c r="Z6" s="860"/>
    </row>
    <row r="7" spans="1:26" ht="16.5" thickTop="1" thickBot="1" x14ac:dyDescent="0.3">
      <c r="A7" s="861" t="s">
        <v>817</v>
      </c>
      <c r="B7" s="861" t="s">
        <v>817</v>
      </c>
      <c r="C7" s="861"/>
      <c r="D7" s="861"/>
      <c r="E7" s="861"/>
      <c r="F7" s="861"/>
      <c r="G7" s="861"/>
      <c r="H7" s="862"/>
      <c r="I7" s="863"/>
      <c r="J7" s="863"/>
      <c r="K7" s="864" t="s">
        <v>819</v>
      </c>
      <c r="L7" s="865">
        <f>+L8+L227</f>
        <v>23970000000</v>
      </c>
      <c r="M7" s="865">
        <f>+M8+M227</f>
        <v>0</v>
      </c>
      <c r="N7" s="865">
        <f t="shared" ref="N7:U7" si="2">+N8+N227</f>
        <v>0</v>
      </c>
      <c r="O7" s="865">
        <f>+O8+O227</f>
        <v>23970000000</v>
      </c>
      <c r="P7" s="865">
        <f t="shared" si="2"/>
        <v>7253599323</v>
      </c>
      <c r="Q7" s="865">
        <f t="shared" si="2"/>
        <v>16051400677</v>
      </c>
      <c r="R7" s="865">
        <f t="shared" si="2"/>
        <v>665000000</v>
      </c>
      <c r="S7" s="865">
        <f t="shared" si="2"/>
        <v>0</v>
      </c>
      <c r="T7" s="865">
        <f t="shared" si="2"/>
        <v>18080264395.169998</v>
      </c>
      <c r="U7" s="865">
        <f t="shared" si="2"/>
        <v>12513212459.610001</v>
      </c>
      <c r="V7" s="866">
        <f t="shared" si="1"/>
        <v>0.69209233814925897</v>
      </c>
      <c r="W7" s="865"/>
      <c r="X7" s="867"/>
      <c r="Y7" s="867"/>
      <c r="Z7" s="868"/>
    </row>
    <row r="8" spans="1:26" ht="16.5" thickTop="1" thickBot="1" x14ac:dyDescent="0.3">
      <c r="A8" s="869">
        <v>1</v>
      </c>
      <c r="B8" s="870" t="s">
        <v>817</v>
      </c>
      <c r="C8" s="870" t="s">
        <v>817</v>
      </c>
      <c r="D8" s="870"/>
      <c r="E8" s="870"/>
      <c r="F8" s="870"/>
      <c r="G8" s="870"/>
      <c r="H8" s="871"/>
      <c r="I8" s="871"/>
      <c r="J8" s="871"/>
      <c r="K8" s="872" t="s">
        <v>820</v>
      </c>
      <c r="L8" s="873">
        <f>+L9+L24</f>
        <v>23970000000</v>
      </c>
      <c r="M8" s="873">
        <f t="shared" ref="M8:U8" si="3">+M9+M24</f>
        <v>0</v>
      </c>
      <c r="N8" s="873">
        <f t="shared" si="3"/>
        <v>0</v>
      </c>
      <c r="O8" s="873">
        <f>+O9+O24</f>
        <v>23970000000</v>
      </c>
      <c r="P8" s="873">
        <f t="shared" si="3"/>
        <v>7253599323</v>
      </c>
      <c r="Q8" s="873">
        <f t="shared" si="3"/>
        <v>16051400677</v>
      </c>
      <c r="R8" s="873">
        <f t="shared" si="3"/>
        <v>665000000</v>
      </c>
      <c r="S8" s="873">
        <f t="shared" si="3"/>
        <v>0</v>
      </c>
      <c r="T8" s="873">
        <f t="shared" si="3"/>
        <v>17880833702.549999</v>
      </c>
      <c r="U8" s="873">
        <f t="shared" si="3"/>
        <v>12313781766.99</v>
      </c>
      <c r="V8" s="874">
        <f t="shared" si="1"/>
        <v>0.68865814490707566</v>
      </c>
      <c r="W8" s="873"/>
      <c r="X8" s="875"/>
      <c r="Y8" s="875"/>
      <c r="Z8" s="876"/>
    </row>
    <row r="9" spans="1:26" ht="16.5" thickTop="1" thickBot="1" x14ac:dyDescent="0.3">
      <c r="A9" s="877">
        <v>1</v>
      </c>
      <c r="B9" s="878" t="s">
        <v>817</v>
      </c>
      <c r="C9" s="878" t="s">
        <v>817</v>
      </c>
      <c r="D9" s="878" t="s">
        <v>735</v>
      </c>
      <c r="E9" s="878"/>
      <c r="F9" s="878"/>
      <c r="G9" s="878"/>
      <c r="H9" s="879"/>
      <c r="I9" s="879"/>
      <c r="J9" s="879"/>
      <c r="K9" s="880" t="s">
        <v>821</v>
      </c>
      <c r="L9" s="881">
        <f>+L10</f>
        <v>18000000000</v>
      </c>
      <c r="M9" s="881">
        <f t="shared" ref="M9:U9" si="4">+M10</f>
        <v>0</v>
      </c>
      <c r="N9" s="881">
        <f t="shared" si="4"/>
        <v>0</v>
      </c>
      <c r="O9" s="881">
        <f>+O10</f>
        <v>18000000000</v>
      </c>
      <c r="P9" s="881">
        <f t="shared" si="4"/>
        <v>6068599323</v>
      </c>
      <c r="Q9" s="881">
        <f t="shared" si="4"/>
        <v>11931400677</v>
      </c>
      <c r="R9" s="881">
        <f t="shared" si="4"/>
        <v>0</v>
      </c>
      <c r="S9" s="881">
        <f t="shared" si="4"/>
        <v>0</v>
      </c>
      <c r="T9" s="881">
        <f t="shared" si="4"/>
        <v>10365332953.860001</v>
      </c>
      <c r="U9" s="881">
        <f t="shared" si="4"/>
        <v>10637318690.73</v>
      </c>
      <c r="V9" s="882">
        <f t="shared" si="1"/>
        <v>1.0262399421302442</v>
      </c>
      <c r="W9" s="881"/>
      <c r="X9" s="883"/>
      <c r="Y9" s="883"/>
      <c r="Z9" s="884"/>
    </row>
    <row r="10" spans="1:26" ht="16.5" thickTop="1" thickBot="1" x14ac:dyDescent="0.3">
      <c r="A10" s="885">
        <v>1</v>
      </c>
      <c r="B10" s="886" t="s">
        <v>817</v>
      </c>
      <c r="C10" s="886" t="s">
        <v>817</v>
      </c>
      <c r="D10" s="886" t="s">
        <v>735</v>
      </c>
      <c r="E10" s="886" t="s">
        <v>735</v>
      </c>
      <c r="F10" s="886"/>
      <c r="G10" s="886"/>
      <c r="H10" s="887"/>
      <c r="I10" s="887"/>
      <c r="J10" s="887"/>
      <c r="K10" s="888" t="s">
        <v>822</v>
      </c>
      <c r="L10" s="889">
        <f>+L11+L20</f>
        <v>18000000000</v>
      </c>
      <c r="M10" s="889">
        <f t="shared" ref="M10:U10" si="5">+M11+M20</f>
        <v>0</v>
      </c>
      <c r="N10" s="889">
        <f t="shared" si="5"/>
        <v>0</v>
      </c>
      <c r="O10" s="889">
        <f t="shared" si="5"/>
        <v>18000000000</v>
      </c>
      <c r="P10" s="889">
        <f t="shared" si="5"/>
        <v>6068599323</v>
      </c>
      <c r="Q10" s="889">
        <f t="shared" si="5"/>
        <v>11931400677</v>
      </c>
      <c r="R10" s="889">
        <f t="shared" si="5"/>
        <v>0</v>
      </c>
      <c r="S10" s="889">
        <f t="shared" si="5"/>
        <v>0</v>
      </c>
      <c r="T10" s="889">
        <f t="shared" si="5"/>
        <v>10365332953.860001</v>
      </c>
      <c r="U10" s="889">
        <f t="shared" si="5"/>
        <v>10637318690.73</v>
      </c>
      <c r="V10" s="890">
        <f t="shared" si="1"/>
        <v>1.0262399421302442</v>
      </c>
      <c r="W10" s="889"/>
      <c r="X10" s="891"/>
      <c r="Y10" s="891"/>
      <c r="Z10" s="892"/>
    </row>
    <row r="11" spans="1:26" ht="16.5" thickTop="1" thickBot="1" x14ac:dyDescent="0.3">
      <c r="A11" s="893">
        <v>1</v>
      </c>
      <c r="B11" s="893">
        <v>1</v>
      </c>
      <c r="C11" s="893">
        <v>1</v>
      </c>
      <c r="D11" s="894" t="s">
        <v>735</v>
      </c>
      <c r="E11" s="894" t="s">
        <v>735</v>
      </c>
      <c r="F11" s="894" t="s">
        <v>823</v>
      </c>
      <c r="G11" s="894"/>
      <c r="H11" s="895"/>
      <c r="I11" s="895"/>
      <c r="J11" s="895"/>
      <c r="K11" s="896" t="s">
        <v>824</v>
      </c>
      <c r="L11" s="897">
        <f>+L12+L16</f>
        <v>18000000000</v>
      </c>
      <c r="M11" s="897">
        <f t="shared" ref="M11:U11" si="6">+M12+M16</f>
        <v>0</v>
      </c>
      <c r="N11" s="897">
        <f t="shared" si="6"/>
        <v>0</v>
      </c>
      <c r="O11" s="897">
        <f t="shared" si="6"/>
        <v>18000000000</v>
      </c>
      <c r="P11" s="897">
        <f t="shared" si="6"/>
        <v>6068599323</v>
      </c>
      <c r="Q11" s="897">
        <f t="shared" si="6"/>
        <v>11931400677</v>
      </c>
      <c r="R11" s="897">
        <f t="shared" si="6"/>
        <v>0</v>
      </c>
      <c r="S11" s="897">
        <f t="shared" si="6"/>
        <v>0</v>
      </c>
      <c r="T11" s="897">
        <f t="shared" si="6"/>
        <v>10365332953.860001</v>
      </c>
      <c r="U11" s="897">
        <f t="shared" si="6"/>
        <v>10637318690.73</v>
      </c>
      <c r="V11" s="898">
        <f t="shared" si="1"/>
        <v>1.0262399421302442</v>
      </c>
      <c r="W11" s="897"/>
      <c r="X11" s="899"/>
      <c r="Y11" s="899"/>
      <c r="Z11" s="900"/>
    </row>
    <row r="12" spans="1:26" ht="16.5" thickTop="1" thickBot="1" x14ac:dyDescent="0.3">
      <c r="A12" s="901">
        <v>1</v>
      </c>
      <c r="B12" s="901">
        <v>1</v>
      </c>
      <c r="C12" s="901">
        <v>1</v>
      </c>
      <c r="D12" s="902" t="s">
        <v>735</v>
      </c>
      <c r="E12" s="902" t="s">
        <v>735</v>
      </c>
      <c r="F12" s="902" t="s">
        <v>823</v>
      </c>
      <c r="G12" s="902" t="s">
        <v>735</v>
      </c>
      <c r="H12" s="902"/>
      <c r="I12" s="902"/>
      <c r="J12" s="902"/>
      <c r="K12" s="903" t="s">
        <v>825</v>
      </c>
      <c r="L12" s="904">
        <f>SUBTOTAL(9,L13:L15)</f>
        <v>6000000000</v>
      </c>
      <c r="M12" s="904">
        <f t="shared" ref="M12:U12" si="7">SUBTOTAL(9,M13:M15)</f>
        <v>0</v>
      </c>
      <c r="N12" s="904">
        <f t="shared" si="7"/>
        <v>0</v>
      </c>
      <c r="O12" s="904">
        <f t="shared" si="7"/>
        <v>6000000000</v>
      </c>
      <c r="P12" s="904">
        <f t="shared" si="7"/>
        <v>2040000000</v>
      </c>
      <c r="Q12" s="904">
        <f t="shared" si="7"/>
        <v>3960000000</v>
      </c>
      <c r="R12" s="904">
        <f t="shared" si="7"/>
        <v>0</v>
      </c>
      <c r="S12" s="904">
        <f t="shared" si="7"/>
        <v>0</v>
      </c>
      <c r="T12" s="904">
        <f t="shared" si="7"/>
        <v>2423128214</v>
      </c>
      <c r="U12" s="904">
        <f t="shared" si="7"/>
        <v>2695113950.8699999</v>
      </c>
      <c r="V12" s="905">
        <f t="shared" si="1"/>
        <v>1.1122457059013882</v>
      </c>
      <c r="W12" s="904"/>
      <c r="X12" s="906"/>
      <c r="Y12" s="906"/>
      <c r="Z12" s="907"/>
    </row>
    <row r="13" spans="1:26" ht="16.5" thickTop="1" thickBot="1" x14ac:dyDescent="0.3">
      <c r="A13" s="908">
        <v>1</v>
      </c>
      <c r="B13" s="908">
        <v>1</v>
      </c>
      <c r="C13" s="908">
        <v>1</v>
      </c>
      <c r="D13" s="909" t="s">
        <v>735</v>
      </c>
      <c r="E13" s="909" t="s">
        <v>735</v>
      </c>
      <c r="F13" s="909" t="s">
        <v>823</v>
      </c>
      <c r="G13" s="909" t="s">
        <v>735</v>
      </c>
      <c r="H13" s="909" t="s">
        <v>817</v>
      </c>
      <c r="I13" s="909"/>
      <c r="J13" s="909"/>
      <c r="K13" s="910" t="s">
        <v>826</v>
      </c>
      <c r="L13" s="904">
        <v>4500000000</v>
      </c>
      <c r="M13" s="904">
        <v>0</v>
      </c>
      <c r="N13" s="904"/>
      <c r="O13" s="911">
        <f>+L13+M13-N13</f>
        <v>4500000000</v>
      </c>
      <c r="P13" s="912">
        <f>O13*34%</f>
        <v>1530000000</v>
      </c>
      <c r="Q13" s="912">
        <f>O13*66%</f>
        <v>2970000000</v>
      </c>
      <c r="R13" s="904">
        <v>0</v>
      </c>
      <c r="S13" s="904">
        <v>0</v>
      </c>
      <c r="T13" s="911">
        <v>2304736478</v>
      </c>
      <c r="U13" s="911">
        <v>2053166191.8699999</v>
      </c>
      <c r="V13" s="905">
        <f>U13/T13</f>
        <v>0.89084639891311679</v>
      </c>
      <c r="W13" s="904"/>
      <c r="X13" s="906"/>
      <c r="Y13" s="906"/>
      <c r="Z13" s="843"/>
    </row>
    <row r="14" spans="1:26" ht="16.5" thickTop="1" thickBot="1" x14ac:dyDescent="0.3">
      <c r="A14" s="908">
        <v>1</v>
      </c>
      <c r="B14" s="908">
        <v>1</v>
      </c>
      <c r="C14" s="908">
        <v>1</v>
      </c>
      <c r="D14" s="909" t="s">
        <v>735</v>
      </c>
      <c r="E14" s="909" t="s">
        <v>735</v>
      </c>
      <c r="F14" s="909" t="s">
        <v>823</v>
      </c>
      <c r="G14" s="909" t="s">
        <v>735</v>
      </c>
      <c r="H14" s="909" t="s">
        <v>734</v>
      </c>
      <c r="I14" s="909"/>
      <c r="J14" s="909"/>
      <c r="K14" s="910" t="s">
        <v>827</v>
      </c>
      <c r="L14" s="904">
        <v>0</v>
      </c>
      <c r="M14" s="904"/>
      <c r="N14" s="904"/>
      <c r="O14" s="904">
        <f t="shared" ref="O14:O15" si="8">+L14+M14-N14</f>
        <v>0</v>
      </c>
      <c r="P14" s="904"/>
      <c r="Q14" s="904"/>
      <c r="R14" s="904"/>
      <c r="S14" s="904"/>
      <c r="T14" s="904">
        <v>0</v>
      </c>
      <c r="U14" s="904">
        <v>0</v>
      </c>
      <c r="V14" s="905" t="e">
        <f t="shared" ref="V14:V15" si="9">U14/T14</f>
        <v>#DIV/0!</v>
      </c>
      <c r="W14" s="904"/>
      <c r="X14" s="906"/>
      <c r="Y14" s="906"/>
      <c r="Z14" s="843"/>
    </row>
    <row r="15" spans="1:26" ht="16.5" thickTop="1" thickBot="1" x14ac:dyDescent="0.3">
      <c r="A15" s="908">
        <v>1</v>
      </c>
      <c r="B15" s="908">
        <v>1</v>
      </c>
      <c r="C15" s="908">
        <v>1</v>
      </c>
      <c r="D15" s="909" t="s">
        <v>735</v>
      </c>
      <c r="E15" s="909" t="s">
        <v>735</v>
      </c>
      <c r="F15" s="909" t="s">
        <v>823</v>
      </c>
      <c r="G15" s="909" t="s">
        <v>735</v>
      </c>
      <c r="H15" s="909" t="s">
        <v>828</v>
      </c>
      <c r="I15" s="909"/>
      <c r="J15" s="909"/>
      <c r="K15" s="910" t="s">
        <v>829</v>
      </c>
      <c r="L15" s="904">
        <v>1500000000</v>
      </c>
      <c r="M15" s="904"/>
      <c r="N15" s="904"/>
      <c r="O15" s="904">
        <f t="shared" si="8"/>
        <v>1500000000</v>
      </c>
      <c r="P15" s="904">
        <f>O15*34%</f>
        <v>510000000.00000006</v>
      </c>
      <c r="Q15" s="904">
        <f>O15*66%</f>
        <v>990000000</v>
      </c>
      <c r="R15" s="904"/>
      <c r="S15" s="904"/>
      <c r="T15" s="904">
        <v>118391736</v>
      </c>
      <c r="U15" s="904">
        <v>641947759</v>
      </c>
      <c r="V15" s="905">
        <f t="shared" si="9"/>
        <v>5.4222345299506376</v>
      </c>
      <c r="W15" s="904"/>
      <c r="X15" s="906"/>
      <c r="Y15" s="906"/>
      <c r="Z15" s="843"/>
    </row>
    <row r="16" spans="1:26" ht="16.5" thickTop="1" thickBot="1" x14ac:dyDescent="0.3">
      <c r="A16" s="901">
        <v>1</v>
      </c>
      <c r="B16" s="901">
        <v>1</v>
      </c>
      <c r="C16" s="901">
        <v>1</v>
      </c>
      <c r="D16" s="902" t="s">
        <v>735</v>
      </c>
      <c r="E16" s="902" t="s">
        <v>735</v>
      </c>
      <c r="F16" s="902" t="s">
        <v>823</v>
      </c>
      <c r="G16" s="902" t="s">
        <v>738</v>
      </c>
      <c r="H16" s="902"/>
      <c r="I16" s="902"/>
      <c r="J16" s="902"/>
      <c r="K16" s="903" t="s">
        <v>830</v>
      </c>
      <c r="L16" s="904">
        <f>SUBTOTAL(9,L17:L19)</f>
        <v>12000000000</v>
      </c>
      <c r="M16" s="904">
        <f t="shared" ref="M16:U16" si="10">SUBTOTAL(9,M17:M19)</f>
        <v>0</v>
      </c>
      <c r="N16" s="904">
        <f t="shared" si="10"/>
        <v>0</v>
      </c>
      <c r="O16" s="904">
        <f t="shared" si="10"/>
        <v>12000000000</v>
      </c>
      <c r="P16" s="904">
        <f t="shared" si="10"/>
        <v>4028599323</v>
      </c>
      <c r="Q16" s="904">
        <f t="shared" si="10"/>
        <v>7971400677</v>
      </c>
      <c r="R16" s="904">
        <f t="shared" si="10"/>
        <v>0</v>
      </c>
      <c r="S16" s="904">
        <f t="shared" si="10"/>
        <v>0</v>
      </c>
      <c r="T16" s="904">
        <f t="shared" si="10"/>
        <v>7942204739.8599997</v>
      </c>
      <c r="U16" s="904">
        <f t="shared" si="10"/>
        <v>7942204739.8599997</v>
      </c>
      <c r="V16" s="905">
        <f>U16/T16</f>
        <v>1</v>
      </c>
      <c r="W16" s="904"/>
      <c r="X16" s="906"/>
      <c r="Y16" s="906"/>
      <c r="Z16" s="913"/>
    </row>
    <row r="17" spans="1:26" ht="16.5" thickTop="1" thickBot="1" x14ac:dyDescent="0.3">
      <c r="A17" s="908">
        <v>1</v>
      </c>
      <c r="B17" s="908">
        <v>1</v>
      </c>
      <c r="C17" s="908">
        <v>1</v>
      </c>
      <c r="D17" s="909" t="s">
        <v>735</v>
      </c>
      <c r="E17" s="909" t="s">
        <v>735</v>
      </c>
      <c r="F17" s="909" t="s">
        <v>823</v>
      </c>
      <c r="G17" s="909" t="s">
        <v>738</v>
      </c>
      <c r="H17" s="909" t="s">
        <v>817</v>
      </c>
      <c r="I17" s="909"/>
      <c r="J17" s="909"/>
      <c r="K17" s="910" t="s">
        <v>831</v>
      </c>
      <c r="L17" s="911">
        <v>8500000000</v>
      </c>
      <c r="M17" s="911"/>
      <c r="N17" s="911"/>
      <c r="O17" s="904">
        <f>+L17+M17-N17</f>
        <v>8500000000</v>
      </c>
      <c r="P17" s="911">
        <v>2838599323</v>
      </c>
      <c r="Q17" s="911">
        <v>5661400677</v>
      </c>
      <c r="R17" s="911"/>
      <c r="S17" s="911"/>
      <c r="T17" s="911">
        <v>7942204739.8599997</v>
      </c>
      <c r="U17" s="911">
        <v>7942204739.8599997</v>
      </c>
      <c r="V17" s="905">
        <f t="shared" ref="V17:V19" si="11">U17/T17</f>
        <v>1</v>
      </c>
      <c r="W17" s="911"/>
      <c r="X17" s="906"/>
      <c r="Y17" s="906"/>
      <c r="Z17" s="843"/>
    </row>
    <row r="18" spans="1:26" ht="16.5" thickTop="1" thickBot="1" x14ac:dyDescent="0.3">
      <c r="A18" s="908">
        <v>1</v>
      </c>
      <c r="B18" s="908">
        <v>1</v>
      </c>
      <c r="C18" s="908">
        <v>1</v>
      </c>
      <c r="D18" s="909" t="s">
        <v>735</v>
      </c>
      <c r="E18" s="909" t="s">
        <v>735</v>
      </c>
      <c r="F18" s="909" t="s">
        <v>823</v>
      </c>
      <c r="G18" s="909" t="s">
        <v>738</v>
      </c>
      <c r="H18" s="909" t="s">
        <v>734</v>
      </c>
      <c r="I18" s="909"/>
      <c r="J18" s="909"/>
      <c r="K18" s="910" t="s">
        <v>832</v>
      </c>
      <c r="L18" s="911"/>
      <c r="M18" s="911"/>
      <c r="N18" s="911"/>
      <c r="O18" s="904">
        <f>+L18+M18-N18</f>
        <v>0</v>
      </c>
      <c r="P18" s="911"/>
      <c r="Q18" s="911"/>
      <c r="R18" s="911"/>
      <c r="S18" s="911"/>
      <c r="T18" s="911"/>
      <c r="U18" s="911"/>
      <c r="V18" s="905" t="e">
        <f t="shared" si="11"/>
        <v>#DIV/0!</v>
      </c>
      <c r="W18" s="911"/>
      <c r="X18" s="906"/>
      <c r="Y18" s="906"/>
      <c r="Z18" s="843"/>
    </row>
    <row r="19" spans="1:26" ht="16.5" thickTop="1" thickBot="1" x14ac:dyDescent="0.3">
      <c r="A19" s="908">
        <v>1</v>
      </c>
      <c r="B19" s="908">
        <v>1</v>
      </c>
      <c r="C19" s="908">
        <v>1</v>
      </c>
      <c r="D19" s="909" t="s">
        <v>735</v>
      </c>
      <c r="E19" s="909" t="s">
        <v>735</v>
      </c>
      <c r="F19" s="909" t="s">
        <v>823</v>
      </c>
      <c r="G19" s="909" t="s">
        <v>738</v>
      </c>
      <c r="H19" s="909" t="s">
        <v>828</v>
      </c>
      <c r="I19" s="909"/>
      <c r="J19" s="909"/>
      <c r="K19" s="910" t="s">
        <v>833</v>
      </c>
      <c r="L19" s="911">
        <v>3500000000</v>
      </c>
      <c r="M19" s="911"/>
      <c r="N19" s="911"/>
      <c r="O19" s="904">
        <f>+L19+M19-N19</f>
        <v>3500000000</v>
      </c>
      <c r="P19" s="911">
        <f>O19*34%</f>
        <v>1190000000</v>
      </c>
      <c r="Q19" s="911">
        <f>O19*66%</f>
        <v>2310000000</v>
      </c>
      <c r="R19" s="911"/>
      <c r="S19" s="911"/>
      <c r="T19" s="911"/>
      <c r="U19" s="911"/>
      <c r="V19" s="905" t="e">
        <f t="shared" si="11"/>
        <v>#DIV/0!</v>
      </c>
      <c r="W19" s="911"/>
      <c r="X19" s="906"/>
      <c r="Y19" s="906"/>
      <c r="Z19" s="843"/>
    </row>
    <row r="20" spans="1:26" ht="16.5" thickTop="1" thickBot="1" x14ac:dyDescent="0.3">
      <c r="A20" s="901">
        <v>1</v>
      </c>
      <c r="B20" s="901">
        <v>1</v>
      </c>
      <c r="C20" s="901">
        <v>1</v>
      </c>
      <c r="D20" s="902" t="s">
        <v>735</v>
      </c>
      <c r="E20" s="902" t="s">
        <v>735</v>
      </c>
      <c r="F20" s="902" t="s">
        <v>834</v>
      </c>
      <c r="G20" s="914"/>
      <c r="H20" s="902"/>
      <c r="I20" s="902"/>
      <c r="J20" s="902"/>
      <c r="K20" s="903" t="s">
        <v>835</v>
      </c>
      <c r="L20" s="904">
        <f>SUBTOTAL(9,L21:L23)</f>
        <v>0</v>
      </c>
      <c r="M20" s="904">
        <f t="shared" ref="M20:V20" si="12">SUBTOTAL(9,M21:M23)</f>
        <v>0</v>
      </c>
      <c r="N20" s="904">
        <f t="shared" si="12"/>
        <v>0</v>
      </c>
      <c r="O20" s="904">
        <f t="shared" si="12"/>
        <v>0</v>
      </c>
      <c r="P20" s="904">
        <f t="shared" si="12"/>
        <v>0</v>
      </c>
      <c r="Q20" s="904">
        <f t="shared" si="12"/>
        <v>0</v>
      </c>
      <c r="R20" s="904">
        <f t="shared" si="12"/>
        <v>0</v>
      </c>
      <c r="S20" s="904">
        <f t="shared" si="12"/>
        <v>0</v>
      </c>
      <c r="T20" s="904">
        <f t="shared" si="12"/>
        <v>0</v>
      </c>
      <c r="U20" s="904">
        <f t="shared" si="12"/>
        <v>0</v>
      </c>
      <c r="V20" s="904">
        <f t="shared" si="12"/>
        <v>0</v>
      </c>
      <c r="W20" s="904">
        <f t="shared" ref="W20:W76" si="13">SUBTOTAL(9,P20:S20)</f>
        <v>0</v>
      </c>
      <c r="X20" s="906"/>
      <c r="Y20" s="906"/>
      <c r="Z20" s="913">
        <f t="shared" ref="Z20:Z76" si="14">W20-O20</f>
        <v>0</v>
      </c>
    </row>
    <row r="21" spans="1:26" ht="16.5" thickTop="1" thickBot="1" x14ac:dyDescent="0.3">
      <c r="A21" s="908">
        <v>1</v>
      </c>
      <c r="B21" s="908">
        <v>1</v>
      </c>
      <c r="C21" s="908">
        <v>1</v>
      </c>
      <c r="D21" s="909" t="s">
        <v>735</v>
      </c>
      <c r="E21" s="909" t="s">
        <v>735</v>
      </c>
      <c r="F21" s="909" t="s">
        <v>834</v>
      </c>
      <c r="G21" s="915">
        <v>1</v>
      </c>
      <c r="H21" s="909"/>
      <c r="I21" s="909"/>
      <c r="J21" s="909"/>
      <c r="K21" s="910" t="s">
        <v>836</v>
      </c>
      <c r="L21" s="911"/>
      <c r="M21" s="911"/>
      <c r="N21" s="911"/>
      <c r="O21" s="904">
        <f>+L21+M21-N21</f>
        <v>0</v>
      </c>
      <c r="P21" s="911"/>
      <c r="Q21" s="911"/>
      <c r="R21" s="911"/>
      <c r="S21" s="911"/>
      <c r="T21" s="911"/>
      <c r="U21" s="911"/>
      <c r="V21" s="911"/>
      <c r="W21" s="911">
        <f t="shared" si="13"/>
        <v>0</v>
      </c>
      <c r="X21" s="906"/>
      <c r="Y21" s="906"/>
      <c r="Z21" s="843">
        <f t="shared" si="14"/>
        <v>0</v>
      </c>
    </row>
    <row r="22" spans="1:26" ht="24" thickTop="1" thickBot="1" x14ac:dyDescent="0.3">
      <c r="A22" s="908">
        <v>1</v>
      </c>
      <c r="B22" s="908">
        <v>1</v>
      </c>
      <c r="C22" s="908">
        <v>1</v>
      </c>
      <c r="D22" s="909" t="s">
        <v>735</v>
      </c>
      <c r="E22" s="909" t="s">
        <v>735</v>
      </c>
      <c r="F22" s="909" t="s">
        <v>834</v>
      </c>
      <c r="G22" s="915">
        <v>2</v>
      </c>
      <c r="H22" s="909"/>
      <c r="I22" s="909"/>
      <c r="J22" s="909"/>
      <c r="K22" s="910" t="s">
        <v>837</v>
      </c>
      <c r="L22" s="911"/>
      <c r="M22" s="911"/>
      <c r="N22" s="911"/>
      <c r="O22" s="904">
        <f>+L22+M22-N22</f>
        <v>0</v>
      </c>
      <c r="P22" s="911"/>
      <c r="Q22" s="911"/>
      <c r="R22" s="911"/>
      <c r="S22" s="911"/>
      <c r="T22" s="911"/>
      <c r="U22" s="911"/>
      <c r="V22" s="911"/>
      <c r="W22" s="911">
        <f t="shared" si="13"/>
        <v>0</v>
      </c>
      <c r="X22" s="906"/>
      <c r="Y22" s="906"/>
      <c r="Z22" s="843">
        <f t="shared" si="14"/>
        <v>0</v>
      </c>
    </row>
    <row r="23" spans="1:26" ht="24" thickTop="1" thickBot="1" x14ac:dyDescent="0.3">
      <c r="A23" s="908">
        <v>1</v>
      </c>
      <c r="B23" s="908">
        <v>1</v>
      </c>
      <c r="C23" s="908">
        <v>1</v>
      </c>
      <c r="D23" s="909" t="s">
        <v>735</v>
      </c>
      <c r="E23" s="909" t="s">
        <v>735</v>
      </c>
      <c r="F23" s="909" t="s">
        <v>834</v>
      </c>
      <c r="G23" s="915">
        <v>3</v>
      </c>
      <c r="H23" s="909"/>
      <c r="I23" s="909"/>
      <c r="J23" s="909"/>
      <c r="K23" s="910" t="s">
        <v>838</v>
      </c>
      <c r="L23" s="911"/>
      <c r="M23" s="911"/>
      <c r="N23" s="911"/>
      <c r="O23" s="904">
        <f>+L23+M23-N23</f>
        <v>0</v>
      </c>
      <c r="P23" s="911"/>
      <c r="Q23" s="911"/>
      <c r="R23" s="911"/>
      <c r="S23" s="911"/>
      <c r="T23" s="911"/>
      <c r="U23" s="911"/>
      <c r="V23" s="911"/>
      <c r="W23" s="911">
        <f t="shared" si="13"/>
        <v>0</v>
      </c>
      <c r="X23" s="906"/>
      <c r="Y23" s="906"/>
      <c r="Z23" s="843">
        <f t="shared" si="14"/>
        <v>0</v>
      </c>
    </row>
    <row r="24" spans="1:26" ht="16.5" thickTop="1" thickBot="1" x14ac:dyDescent="0.3">
      <c r="A24" s="877">
        <v>1</v>
      </c>
      <c r="B24" s="878" t="s">
        <v>817</v>
      </c>
      <c r="C24" s="878" t="s">
        <v>817</v>
      </c>
      <c r="D24" s="878" t="s">
        <v>738</v>
      </c>
      <c r="E24" s="878"/>
      <c r="F24" s="878"/>
      <c r="G24" s="916"/>
      <c r="H24" s="879"/>
      <c r="I24" s="879"/>
      <c r="J24" s="879"/>
      <c r="K24" s="880" t="s">
        <v>839</v>
      </c>
      <c r="L24" s="881">
        <f>+L25+L36+L77+L101+L187</f>
        <v>5970000000</v>
      </c>
      <c r="M24" s="881">
        <f>+M25+M36+M77+M101+M187</f>
        <v>0</v>
      </c>
      <c r="N24" s="881">
        <f t="shared" ref="N24:U24" si="15">+N25+N36+N77+N101+N187</f>
        <v>0</v>
      </c>
      <c r="O24" s="881">
        <f t="shared" si="15"/>
        <v>5970000000</v>
      </c>
      <c r="P24" s="881">
        <f t="shared" si="15"/>
        <v>1185000000</v>
      </c>
      <c r="Q24" s="881">
        <f t="shared" si="15"/>
        <v>4120000000</v>
      </c>
      <c r="R24" s="881">
        <f>+R25+R36+R77+R101+R187</f>
        <v>665000000</v>
      </c>
      <c r="S24" s="881">
        <f t="shared" si="15"/>
        <v>0</v>
      </c>
      <c r="T24" s="881">
        <f t="shared" si="15"/>
        <v>7515500748.6899996</v>
      </c>
      <c r="U24" s="881">
        <f t="shared" si="15"/>
        <v>1676463076.26</v>
      </c>
      <c r="V24" s="882">
        <f t="shared" ref="V24:V28" si="16">U24/T24</f>
        <v>0.22306738197747081</v>
      </c>
      <c r="W24" s="881"/>
      <c r="X24" s="883"/>
      <c r="Y24" s="883"/>
      <c r="Z24" s="884"/>
    </row>
    <row r="25" spans="1:26" ht="16.5" thickTop="1" thickBot="1" x14ac:dyDescent="0.3">
      <c r="A25" s="917">
        <v>1</v>
      </c>
      <c r="B25" s="887" t="s">
        <v>817</v>
      </c>
      <c r="C25" s="887" t="s">
        <v>817</v>
      </c>
      <c r="D25" s="887" t="s">
        <v>738</v>
      </c>
      <c r="E25" s="887" t="s">
        <v>735</v>
      </c>
      <c r="F25" s="887"/>
      <c r="G25" s="918"/>
      <c r="H25" s="887"/>
      <c r="I25" s="887"/>
      <c r="J25" s="887"/>
      <c r="K25" s="888" t="s">
        <v>840</v>
      </c>
      <c r="L25" s="889">
        <f>+L26</f>
        <v>900000000</v>
      </c>
      <c r="M25" s="889">
        <f t="shared" ref="M25:U26" si="17">+M26</f>
        <v>0</v>
      </c>
      <c r="N25" s="889">
        <f t="shared" si="17"/>
        <v>0</v>
      </c>
      <c r="O25" s="889">
        <f t="shared" si="17"/>
        <v>900000000</v>
      </c>
      <c r="P25" s="889">
        <f t="shared" si="17"/>
        <v>90000000</v>
      </c>
      <c r="Q25" s="889">
        <f t="shared" si="17"/>
        <v>630000000</v>
      </c>
      <c r="R25" s="889">
        <f t="shared" si="17"/>
        <v>180000000</v>
      </c>
      <c r="S25" s="889">
        <f t="shared" si="17"/>
        <v>0</v>
      </c>
      <c r="T25" s="889">
        <f t="shared" si="17"/>
        <v>121764984</v>
      </c>
      <c r="U25" s="889">
        <f t="shared" si="17"/>
        <v>121764984</v>
      </c>
      <c r="V25" s="890">
        <f t="shared" si="16"/>
        <v>1</v>
      </c>
      <c r="W25" s="889"/>
      <c r="X25" s="891"/>
      <c r="Y25" s="891"/>
      <c r="Z25" s="892"/>
    </row>
    <row r="26" spans="1:26" ht="16.5" thickTop="1" thickBot="1" x14ac:dyDescent="0.3">
      <c r="A26" s="919">
        <v>1</v>
      </c>
      <c r="B26" s="895" t="s">
        <v>817</v>
      </c>
      <c r="C26" s="895" t="s">
        <v>817</v>
      </c>
      <c r="D26" s="895" t="s">
        <v>738</v>
      </c>
      <c r="E26" s="895" t="s">
        <v>735</v>
      </c>
      <c r="F26" s="895" t="s">
        <v>841</v>
      </c>
      <c r="G26" s="920"/>
      <c r="H26" s="895"/>
      <c r="I26" s="895"/>
      <c r="J26" s="895"/>
      <c r="K26" s="896" t="s">
        <v>842</v>
      </c>
      <c r="L26" s="897">
        <f>+L27</f>
        <v>900000000</v>
      </c>
      <c r="M26" s="897">
        <f t="shared" si="17"/>
        <v>0</v>
      </c>
      <c r="N26" s="897">
        <f t="shared" si="17"/>
        <v>0</v>
      </c>
      <c r="O26" s="897">
        <f t="shared" si="17"/>
        <v>900000000</v>
      </c>
      <c r="P26" s="897">
        <f t="shared" si="17"/>
        <v>90000000</v>
      </c>
      <c r="Q26" s="897">
        <f t="shared" si="17"/>
        <v>630000000</v>
      </c>
      <c r="R26" s="897">
        <f t="shared" si="17"/>
        <v>180000000</v>
      </c>
      <c r="S26" s="897">
        <f t="shared" si="17"/>
        <v>0</v>
      </c>
      <c r="T26" s="897">
        <f t="shared" si="17"/>
        <v>121764984</v>
      </c>
      <c r="U26" s="897">
        <f t="shared" si="17"/>
        <v>121764984</v>
      </c>
      <c r="V26" s="898">
        <f t="shared" si="16"/>
        <v>1</v>
      </c>
      <c r="W26" s="897"/>
      <c r="X26" s="899"/>
      <c r="Y26" s="899"/>
      <c r="Z26" s="900"/>
    </row>
    <row r="27" spans="1:26" ht="16.5" thickTop="1" thickBot="1" x14ac:dyDescent="0.3">
      <c r="A27" s="901">
        <v>1</v>
      </c>
      <c r="B27" s="902" t="s">
        <v>817</v>
      </c>
      <c r="C27" s="902" t="s">
        <v>817</v>
      </c>
      <c r="D27" s="902" t="s">
        <v>738</v>
      </c>
      <c r="E27" s="902" t="s">
        <v>735</v>
      </c>
      <c r="F27" s="902" t="s">
        <v>841</v>
      </c>
      <c r="G27" s="914">
        <v>64</v>
      </c>
      <c r="H27" s="902"/>
      <c r="I27" s="902"/>
      <c r="J27" s="902"/>
      <c r="K27" s="903" t="s">
        <v>843</v>
      </c>
      <c r="L27" s="904">
        <f>+L28+L32</f>
        <v>900000000</v>
      </c>
      <c r="M27" s="904">
        <f t="shared" ref="M27:U27" si="18">+M28+M32</f>
        <v>0</v>
      </c>
      <c r="N27" s="904">
        <f t="shared" si="18"/>
        <v>0</v>
      </c>
      <c r="O27" s="904">
        <f t="shared" si="18"/>
        <v>900000000</v>
      </c>
      <c r="P27" s="904">
        <f t="shared" si="18"/>
        <v>90000000</v>
      </c>
      <c r="Q27" s="904">
        <f t="shared" si="18"/>
        <v>630000000</v>
      </c>
      <c r="R27" s="904">
        <f t="shared" si="18"/>
        <v>180000000</v>
      </c>
      <c r="S27" s="904">
        <f t="shared" si="18"/>
        <v>0</v>
      </c>
      <c r="T27" s="904">
        <f t="shared" si="18"/>
        <v>121764984</v>
      </c>
      <c r="U27" s="904">
        <f t="shared" si="18"/>
        <v>121764984</v>
      </c>
      <c r="V27" s="905">
        <f t="shared" si="16"/>
        <v>1</v>
      </c>
      <c r="W27" s="904"/>
      <c r="X27" s="906"/>
      <c r="Y27" s="906"/>
      <c r="Z27" s="913"/>
    </row>
    <row r="28" spans="1:26" ht="24" thickTop="1" thickBot="1" x14ac:dyDescent="0.3">
      <c r="A28" s="901">
        <v>1</v>
      </c>
      <c r="B28" s="902" t="s">
        <v>817</v>
      </c>
      <c r="C28" s="902" t="s">
        <v>817</v>
      </c>
      <c r="D28" s="902" t="s">
        <v>738</v>
      </c>
      <c r="E28" s="902" t="s">
        <v>735</v>
      </c>
      <c r="F28" s="902" t="s">
        <v>841</v>
      </c>
      <c r="G28" s="914">
        <v>64</v>
      </c>
      <c r="H28" s="902" t="s">
        <v>735</v>
      </c>
      <c r="I28" s="902"/>
      <c r="J28" s="902"/>
      <c r="K28" s="903" t="s">
        <v>844</v>
      </c>
      <c r="L28" s="904">
        <f>SUBTOTAL(9,L29:L31)</f>
        <v>900000000</v>
      </c>
      <c r="M28" s="904">
        <f t="shared" ref="M28:U28" si="19">SUBTOTAL(9,M29:M31)</f>
        <v>0</v>
      </c>
      <c r="N28" s="904">
        <f t="shared" si="19"/>
        <v>0</v>
      </c>
      <c r="O28" s="904">
        <f t="shared" si="19"/>
        <v>900000000</v>
      </c>
      <c r="P28" s="904">
        <f t="shared" si="19"/>
        <v>90000000</v>
      </c>
      <c r="Q28" s="904">
        <f t="shared" si="19"/>
        <v>630000000</v>
      </c>
      <c r="R28" s="904">
        <f>R29</f>
        <v>180000000</v>
      </c>
      <c r="S28" s="904">
        <f t="shared" si="19"/>
        <v>0</v>
      </c>
      <c r="T28" s="904">
        <f t="shared" si="19"/>
        <v>121764984</v>
      </c>
      <c r="U28" s="904">
        <f t="shared" si="19"/>
        <v>121764984</v>
      </c>
      <c r="V28" s="905">
        <f t="shared" si="16"/>
        <v>1</v>
      </c>
      <c r="W28" s="904"/>
      <c r="X28" s="906"/>
      <c r="Y28" s="906"/>
      <c r="Z28" s="913"/>
    </row>
    <row r="29" spans="1:26" ht="24" thickTop="1" thickBot="1" x14ac:dyDescent="0.3">
      <c r="A29" s="908">
        <v>1</v>
      </c>
      <c r="B29" s="909" t="s">
        <v>817</v>
      </c>
      <c r="C29" s="909" t="s">
        <v>817</v>
      </c>
      <c r="D29" s="909" t="s">
        <v>738</v>
      </c>
      <c r="E29" s="909" t="s">
        <v>735</v>
      </c>
      <c r="F29" s="909" t="s">
        <v>841</v>
      </c>
      <c r="G29" s="915">
        <v>64</v>
      </c>
      <c r="H29" s="909" t="s">
        <v>735</v>
      </c>
      <c r="I29" s="909" t="s">
        <v>817</v>
      </c>
      <c r="J29" s="909"/>
      <c r="K29" s="910" t="s">
        <v>845</v>
      </c>
      <c r="L29" s="911">
        <v>900000000</v>
      </c>
      <c r="M29" s="911"/>
      <c r="N29" s="911"/>
      <c r="O29" s="911">
        <f>+L29+M29-N29</f>
        <v>900000000</v>
      </c>
      <c r="P29" s="911">
        <f>O29*10%</f>
        <v>90000000</v>
      </c>
      <c r="Q29" s="911">
        <f>O29*70%</f>
        <v>630000000</v>
      </c>
      <c r="R29" s="911">
        <f>O29*20%</f>
        <v>180000000</v>
      </c>
      <c r="S29" s="911">
        <v>0</v>
      </c>
      <c r="T29" s="911">
        <v>121764984</v>
      </c>
      <c r="U29" s="911">
        <v>121764984</v>
      </c>
      <c r="V29" s="905">
        <f>U29/T29</f>
        <v>1</v>
      </c>
      <c r="W29" s="911"/>
      <c r="X29" s="906"/>
      <c r="Y29" s="906"/>
      <c r="Z29" s="843"/>
    </row>
    <row r="30" spans="1:26" ht="24" thickTop="1" thickBot="1" x14ac:dyDescent="0.3">
      <c r="A30" s="908">
        <v>1</v>
      </c>
      <c r="B30" s="909" t="s">
        <v>817</v>
      </c>
      <c r="C30" s="909" t="s">
        <v>817</v>
      </c>
      <c r="D30" s="909" t="s">
        <v>738</v>
      </c>
      <c r="E30" s="909" t="s">
        <v>735</v>
      </c>
      <c r="F30" s="909" t="s">
        <v>841</v>
      </c>
      <c r="G30" s="915">
        <v>64</v>
      </c>
      <c r="H30" s="909" t="s">
        <v>735</v>
      </c>
      <c r="I30" s="909" t="s">
        <v>734</v>
      </c>
      <c r="J30" s="909"/>
      <c r="K30" s="910" t="s">
        <v>846</v>
      </c>
      <c r="L30" s="911"/>
      <c r="M30" s="911"/>
      <c r="N30" s="911"/>
      <c r="O30" s="904">
        <f>+L30+M30-N30</f>
        <v>0</v>
      </c>
      <c r="P30" s="911"/>
      <c r="Q30" s="911"/>
      <c r="R30" s="911"/>
      <c r="S30" s="911"/>
      <c r="T30" s="911"/>
      <c r="U30" s="911"/>
      <c r="V30" s="911"/>
      <c r="W30" s="911">
        <f t="shared" si="13"/>
        <v>0</v>
      </c>
      <c r="X30" s="906"/>
      <c r="Y30" s="906"/>
      <c r="Z30" s="843">
        <f t="shared" si="14"/>
        <v>0</v>
      </c>
    </row>
    <row r="31" spans="1:26" ht="24" thickTop="1" thickBot="1" x14ac:dyDescent="0.3">
      <c r="A31" s="908">
        <v>1</v>
      </c>
      <c r="B31" s="909" t="s">
        <v>817</v>
      </c>
      <c r="C31" s="909" t="s">
        <v>817</v>
      </c>
      <c r="D31" s="909" t="s">
        <v>738</v>
      </c>
      <c r="E31" s="909" t="s">
        <v>735</v>
      </c>
      <c r="F31" s="909" t="s">
        <v>841</v>
      </c>
      <c r="G31" s="915">
        <v>64</v>
      </c>
      <c r="H31" s="909" t="s">
        <v>735</v>
      </c>
      <c r="I31" s="909" t="s">
        <v>828</v>
      </c>
      <c r="J31" s="909"/>
      <c r="K31" s="910" t="s">
        <v>847</v>
      </c>
      <c r="L31" s="911"/>
      <c r="M31" s="911"/>
      <c r="N31" s="911"/>
      <c r="O31" s="904">
        <f>+L31+M31-N31</f>
        <v>0</v>
      </c>
      <c r="P31" s="911"/>
      <c r="Q31" s="911"/>
      <c r="R31" s="911"/>
      <c r="S31" s="911"/>
      <c r="T31" s="911"/>
      <c r="U31" s="911"/>
      <c r="V31" s="911"/>
      <c r="W31" s="911">
        <f t="shared" si="13"/>
        <v>0</v>
      </c>
      <c r="X31" s="906"/>
      <c r="Y31" s="906"/>
      <c r="Z31" s="843">
        <f t="shared" si="14"/>
        <v>0</v>
      </c>
    </row>
    <row r="32" spans="1:26" ht="24" thickTop="1" thickBot="1" x14ac:dyDescent="0.3">
      <c r="A32" s="901">
        <v>1</v>
      </c>
      <c r="B32" s="902" t="s">
        <v>817</v>
      </c>
      <c r="C32" s="902" t="s">
        <v>817</v>
      </c>
      <c r="D32" s="902" t="s">
        <v>738</v>
      </c>
      <c r="E32" s="902" t="s">
        <v>735</v>
      </c>
      <c r="F32" s="902" t="s">
        <v>841</v>
      </c>
      <c r="G32" s="914">
        <v>64</v>
      </c>
      <c r="H32" s="902" t="s">
        <v>738</v>
      </c>
      <c r="I32" s="902"/>
      <c r="J32" s="902"/>
      <c r="K32" s="903" t="s">
        <v>848</v>
      </c>
      <c r="L32" s="904">
        <f>SUBTOTAL(9,L33:L35)</f>
        <v>0</v>
      </c>
      <c r="M32" s="904">
        <f t="shared" ref="M32:V32" si="20">SUBTOTAL(9,M33:M35)</f>
        <v>0</v>
      </c>
      <c r="N32" s="904">
        <f t="shared" si="20"/>
        <v>0</v>
      </c>
      <c r="O32" s="904">
        <f t="shared" si="20"/>
        <v>0</v>
      </c>
      <c r="P32" s="904">
        <f t="shared" si="20"/>
        <v>0</v>
      </c>
      <c r="Q32" s="904">
        <f t="shared" si="20"/>
        <v>0</v>
      </c>
      <c r="R32" s="904">
        <f t="shared" si="20"/>
        <v>0</v>
      </c>
      <c r="S32" s="904">
        <f t="shared" si="20"/>
        <v>0</v>
      </c>
      <c r="T32" s="904">
        <f t="shared" si="20"/>
        <v>0</v>
      </c>
      <c r="U32" s="904">
        <f t="shared" si="20"/>
        <v>0</v>
      </c>
      <c r="V32" s="904">
        <f t="shared" si="20"/>
        <v>0</v>
      </c>
      <c r="W32" s="904">
        <f t="shared" si="13"/>
        <v>0</v>
      </c>
      <c r="X32" s="906"/>
      <c r="Y32" s="906"/>
      <c r="Z32" s="913">
        <f t="shared" si="14"/>
        <v>0</v>
      </c>
    </row>
    <row r="33" spans="1:26" ht="24" thickTop="1" thickBot="1" x14ac:dyDescent="0.3">
      <c r="A33" s="908">
        <v>1</v>
      </c>
      <c r="B33" s="909" t="s">
        <v>817</v>
      </c>
      <c r="C33" s="909" t="s">
        <v>817</v>
      </c>
      <c r="D33" s="909" t="s">
        <v>738</v>
      </c>
      <c r="E33" s="909" t="s">
        <v>735</v>
      </c>
      <c r="F33" s="909" t="s">
        <v>841</v>
      </c>
      <c r="G33" s="915">
        <v>64</v>
      </c>
      <c r="H33" s="909" t="s">
        <v>738</v>
      </c>
      <c r="I33" s="909" t="s">
        <v>817</v>
      </c>
      <c r="J33" s="909"/>
      <c r="K33" s="910" t="s">
        <v>849</v>
      </c>
      <c r="L33" s="911"/>
      <c r="M33" s="911"/>
      <c r="N33" s="911"/>
      <c r="O33" s="904">
        <f>+L33+M33-N33</f>
        <v>0</v>
      </c>
      <c r="P33" s="911"/>
      <c r="Q33" s="911"/>
      <c r="R33" s="911"/>
      <c r="S33" s="911"/>
      <c r="T33" s="911"/>
      <c r="U33" s="911"/>
      <c r="V33" s="911"/>
      <c r="W33" s="911">
        <f t="shared" si="13"/>
        <v>0</v>
      </c>
      <c r="X33" s="906"/>
      <c r="Y33" s="906"/>
      <c r="Z33" s="843">
        <f t="shared" si="14"/>
        <v>0</v>
      </c>
    </row>
    <row r="34" spans="1:26" ht="24" thickTop="1" thickBot="1" x14ac:dyDescent="0.3">
      <c r="A34" s="908">
        <v>1</v>
      </c>
      <c r="B34" s="909" t="s">
        <v>817</v>
      </c>
      <c r="C34" s="909" t="s">
        <v>817</v>
      </c>
      <c r="D34" s="909" t="s">
        <v>738</v>
      </c>
      <c r="E34" s="909" t="s">
        <v>735</v>
      </c>
      <c r="F34" s="909" t="s">
        <v>841</v>
      </c>
      <c r="G34" s="915">
        <v>64</v>
      </c>
      <c r="H34" s="909" t="s">
        <v>738</v>
      </c>
      <c r="I34" s="909" t="s">
        <v>734</v>
      </c>
      <c r="J34" s="909"/>
      <c r="K34" s="910" t="s">
        <v>850</v>
      </c>
      <c r="L34" s="911"/>
      <c r="M34" s="911"/>
      <c r="N34" s="911"/>
      <c r="O34" s="904">
        <f>+L34+M34-N34</f>
        <v>0</v>
      </c>
      <c r="P34" s="911"/>
      <c r="Q34" s="911"/>
      <c r="R34" s="911"/>
      <c r="S34" s="911"/>
      <c r="T34" s="911"/>
      <c r="U34" s="911"/>
      <c r="V34" s="911"/>
      <c r="W34" s="911">
        <f t="shared" si="13"/>
        <v>0</v>
      </c>
      <c r="X34" s="906"/>
      <c r="Y34" s="906"/>
      <c r="Z34" s="843">
        <f t="shared" si="14"/>
        <v>0</v>
      </c>
    </row>
    <row r="35" spans="1:26" ht="24" thickTop="1" thickBot="1" x14ac:dyDescent="0.3">
      <c r="A35" s="908">
        <v>1</v>
      </c>
      <c r="B35" s="909" t="s">
        <v>817</v>
      </c>
      <c r="C35" s="909" t="s">
        <v>817</v>
      </c>
      <c r="D35" s="909" t="s">
        <v>738</v>
      </c>
      <c r="E35" s="909" t="s">
        <v>735</v>
      </c>
      <c r="F35" s="909" t="s">
        <v>841</v>
      </c>
      <c r="G35" s="915">
        <v>64</v>
      </c>
      <c r="H35" s="909" t="s">
        <v>738</v>
      </c>
      <c r="I35" s="909" t="s">
        <v>828</v>
      </c>
      <c r="J35" s="909"/>
      <c r="K35" s="910" t="s">
        <v>851</v>
      </c>
      <c r="L35" s="911"/>
      <c r="M35" s="911"/>
      <c r="N35" s="911"/>
      <c r="O35" s="904">
        <f>+L35+M35-N35</f>
        <v>0</v>
      </c>
      <c r="P35" s="911"/>
      <c r="Q35" s="911"/>
      <c r="R35" s="911"/>
      <c r="S35" s="911"/>
      <c r="T35" s="911"/>
      <c r="U35" s="911"/>
      <c r="V35" s="911"/>
      <c r="W35" s="911">
        <f t="shared" si="13"/>
        <v>0</v>
      </c>
      <c r="X35" s="906"/>
      <c r="Y35" s="906"/>
      <c r="Z35" s="843">
        <f t="shared" si="14"/>
        <v>0</v>
      </c>
    </row>
    <row r="36" spans="1:26" ht="16.5" thickTop="1" thickBot="1" x14ac:dyDescent="0.3">
      <c r="A36" s="917">
        <v>1</v>
      </c>
      <c r="B36" s="887" t="s">
        <v>817</v>
      </c>
      <c r="C36" s="887" t="s">
        <v>817</v>
      </c>
      <c r="D36" s="887" t="s">
        <v>738</v>
      </c>
      <c r="E36" s="887" t="s">
        <v>738</v>
      </c>
      <c r="F36" s="887"/>
      <c r="G36" s="918"/>
      <c r="H36" s="887"/>
      <c r="I36" s="887"/>
      <c r="J36" s="887"/>
      <c r="K36" s="888" t="s">
        <v>852</v>
      </c>
      <c r="L36" s="889">
        <f>+L37+L41+L45+L49+L53+L57+L61+L65+L69+L73</f>
        <v>4750000000</v>
      </c>
      <c r="M36" s="889">
        <f t="shared" ref="M36:U36" si="21">+M37+M41+M45+M49+M53+M57+M61+M65+M69+M73</f>
        <v>0</v>
      </c>
      <c r="N36" s="889">
        <f t="shared" si="21"/>
        <v>0</v>
      </c>
      <c r="O36" s="889">
        <f t="shared" si="21"/>
        <v>4750000000</v>
      </c>
      <c r="P36" s="889">
        <f t="shared" si="21"/>
        <v>785000000</v>
      </c>
      <c r="Q36" s="904">
        <f t="shared" si="21"/>
        <v>3490000000</v>
      </c>
      <c r="R36" s="904">
        <f t="shared" si="21"/>
        <v>475000000</v>
      </c>
      <c r="S36" s="889">
        <f t="shared" si="21"/>
        <v>0</v>
      </c>
      <c r="T36" s="889">
        <f t="shared" si="21"/>
        <v>7236247188.3699999</v>
      </c>
      <c r="U36" s="889">
        <f t="shared" si="21"/>
        <v>1397209515.9400001</v>
      </c>
      <c r="V36" s="890">
        <f t="shared" ref="V36:V41" si="22">U36/T36</f>
        <v>0.1930848241593483</v>
      </c>
      <c r="W36" s="889"/>
      <c r="X36" s="891"/>
      <c r="Y36" s="891"/>
      <c r="Z36" s="892"/>
    </row>
    <row r="37" spans="1:26" ht="16.5" thickTop="1" thickBot="1" x14ac:dyDescent="0.3">
      <c r="A37" s="919">
        <v>1</v>
      </c>
      <c r="B37" s="895" t="s">
        <v>817</v>
      </c>
      <c r="C37" s="895" t="s">
        <v>817</v>
      </c>
      <c r="D37" s="895" t="s">
        <v>738</v>
      </c>
      <c r="E37" s="895" t="s">
        <v>738</v>
      </c>
      <c r="F37" s="895" t="s">
        <v>853</v>
      </c>
      <c r="G37" s="920"/>
      <c r="H37" s="895"/>
      <c r="I37" s="895"/>
      <c r="J37" s="895"/>
      <c r="K37" s="896" t="s">
        <v>854</v>
      </c>
      <c r="L37" s="897">
        <f>SUBTOTAL(9,L38:L40)</f>
        <v>0</v>
      </c>
      <c r="M37" s="897">
        <f t="shared" ref="M37:U37" si="23">SUBTOTAL(9,M38:M40)</f>
        <v>0</v>
      </c>
      <c r="N37" s="897">
        <f t="shared" si="23"/>
        <v>0</v>
      </c>
      <c r="O37" s="897">
        <f t="shared" si="23"/>
        <v>0</v>
      </c>
      <c r="P37" s="897">
        <f t="shared" si="23"/>
        <v>0</v>
      </c>
      <c r="Q37" s="897">
        <f t="shared" si="23"/>
        <v>0</v>
      </c>
      <c r="R37" s="897">
        <f t="shared" si="23"/>
        <v>0</v>
      </c>
      <c r="S37" s="897">
        <f t="shared" si="23"/>
        <v>0</v>
      </c>
      <c r="T37" s="897">
        <f t="shared" si="23"/>
        <v>0</v>
      </c>
      <c r="U37" s="897">
        <f t="shared" si="23"/>
        <v>0</v>
      </c>
      <c r="V37" s="898" t="e">
        <f t="shared" si="22"/>
        <v>#DIV/0!</v>
      </c>
      <c r="W37" s="897">
        <f t="shared" si="13"/>
        <v>0</v>
      </c>
      <c r="X37" s="899"/>
      <c r="Y37" s="899"/>
      <c r="Z37" s="900">
        <f t="shared" si="14"/>
        <v>0</v>
      </c>
    </row>
    <row r="38" spans="1:26" ht="16.5" thickTop="1" thickBot="1" x14ac:dyDescent="0.3">
      <c r="A38" s="908">
        <v>1</v>
      </c>
      <c r="B38" s="909" t="s">
        <v>817</v>
      </c>
      <c r="C38" s="909" t="s">
        <v>817</v>
      </c>
      <c r="D38" s="909" t="s">
        <v>738</v>
      </c>
      <c r="E38" s="909" t="s">
        <v>738</v>
      </c>
      <c r="F38" s="909" t="s">
        <v>853</v>
      </c>
      <c r="G38" s="915">
        <v>1</v>
      </c>
      <c r="H38" s="909"/>
      <c r="I38" s="909"/>
      <c r="J38" s="909"/>
      <c r="K38" s="910" t="s">
        <v>855</v>
      </c>
      <c r="L38" s="911"/>
      <c r="M38" s="911"/>
      <c r="N38" s="911"/>
      <c r="O38" s="904">
        <f>+L38+M38-N38</f>
        <v>0</v>
      </c>
      <c r="P38" s="911"/>
      <c r="Q38" s="911"/>
      <c r="R38" s="911"/>
      <c r="S38" s="911"/>
      <c r="T38" s="911"/>
      <c r="U38" s="911"/>
      <c r="V38" s="905" t="e">
        <f t="shared" si="22"/>
        <v>#DIV/0!</v>
      </c>
      <c r="W38" s="911">
        <f t="shared" si="13"/>
        <v>0</v>
      </c>
      <c r="X38" s="906"/>
      <c r="Y38" s="906"/>
      <c r="Z38" s="843">
        <f t="shared" si="14"/>
        <v>0</v>
      </c>
    </row>
    <row r="39" spans="1:26" ht="16.5" thickTop="1" thickBot="1" x14ac:dyDescent="0.3">
      <c r="A39" s="908">
        <v>1</v>
      </c>
      <c r="B39" s="909" t="s">
        <v>817</v>
      </c>
      <c r="C39" s="909" t="s">
        <v>817</v>
      </c>
      <c r="D39" s="909" t="s">
        <v>738</v>
      </c>
      <c r="E39" s="909" t="s">
        <v>738</v>
      </c>
      <c r="F39" s="909" t="s">
        <v>853</v>
      </c>
      <c r="G39" s="915">
        <v>2</v>
      </c>
      <c r="H39" s="909"/>
      <c r="I39" s="909"/>
      <c r="J39" s="909"/>
      <c r="K39" s="910" t="s">
        <v>856</v>
      </c>
      <c r="L39" s="911"/>
      <c r="M39" s="911"/>
      <c r="N39" s="911"/>
      <c r="O39" s="904">
        <f>+L39+M39-N39</f>
        <v>0</v>
      </c>
      <c r="P39" s="911"/>
      <c r="Q39" s="911"/>
      <c r="R39" s="911"/>
      <c r="S39" s="911"/>
      <c r="T39" s="911"/>
      <c r="U39" s="911"/>
      <c r="V39" s="905" t="e">
        <f t="shared" si="22"/>
        <v>#DIV/0!</v>
      </c>
      <c r="W39" s="911">
        <f t="shared" si="13"/>
        <v>0</v>
      </c>
      <c r="X39" s="906"/>
      <c r="Y39" s="906"/>
      <c r="Z39" s="843">
        <f t="shared" si="14"/>
        <v>0</v>
      </c>
    </row>
    <row r="40" spans="1:26" ht="16.5" thickTop="1" thickBot="1" x14ac:dyDescent="0.3">
      <c r="A40" s="908">
        <v>1</v>
      </c>
      <c r="B40" s="909" t="s">
        <v>817</v>
      </c>
      <c r="C40" s="909" t="s">
        <v>817</v>
      </c>
      <c r="D40" s="909" t="s">
        <v>738</v>
      </c>
      <c r="E40" s="909" t="s">
        <v>738</v>
      </c>
      <c r="F40" s="909" t="s">
        <v>853</v>
      </c>
      <c r="G40" s="915">
        <v>3</v>
      </c>
      <c r="H40" s="909"/>
      <c r="I40" s="909"/>
      <c r="J40" s="909"/>
      <c r="K40" s="910" t="s">
        <v>857</v>
      </c>
      <c r="L40" s="911"/>
      <c r="M40" s="911"/>
      <c r="N40" s="911"/>
      <c r="O40" s="904">
        <f>+L40+M40-N40</f>
        <v>0</v>
      </c>
      <c r="P40" s="911"/>
      <c r="Q40" s="911"/>
      <c r="R40" s="911"/>
      <c r="S40" s="911"/>
      <c r="T40" s="911"/>
      <c r="U40" s="911"/>
      <c r="V40" s="905" t="e">
        <f t="shared" si="22"/>
        <v>#DIV/0!</v>
      </c>
      <c r="W40" s="911">
        <f t="shared" si="13"/>
        <v>0</v>
      </c>
      <c r="X40" s="906"/>
      <c r="Y40" s="906"/>
      <c r="Z40" s="843">
        <f t="shared" si="14"/>
        <v>0</v>
      </c>
    </row>
    <row r="41" spans="1:26" ht="16.5" thickTop="1" thickBot="1" x14ac:dyDescent="0.3">
      <c r="A41" s="919">
        <v>1</v>
      </c>
      <c r="B41" s="895" t="s">
        <v>817</v>
      </c>
      <c r="C41" s="895" t="s">
        <v>817</v>
      </c>
      <c r="D41" s="895" t="s">
        <v>738</v>
      </c>
      <c r="E41" s="895" t="s">
        <v>738</v>
      </c>
      <c r="F41" s="895" t="s">
        <v>858</v>
      </c>
      <c r="G41" s="920"/>
      <c r="H41" s="895"/>
      <c r="I41" s="895"/>
      <c r="J41" s="895"/>
      <c r="K41" s="896" t="s">
        <v>859</v>
      </c>
      <c r="L41" s="897">
        <f>SUBTOTAL(9,L42:L44)</f>
        <v>500000000</v>
      </c>
      <c r="M41" s="897">
        <f t="shared" ref="M41:U41" si="24">SUBTOTAL(9,M42:M44)</f>
        <v>0</v>
      </c>
      <c r="N41" s="897">
        <f t="shared" si="24"/>
        <v>0</v>
      </c>
      <c r="O41" s="897">
        <f t="shared" si="24"/>
        <v>500000000</v>
      </c>
      <c r="P41" s="897">
        <f t="shared" si="24"/>
        <v>225000000</v>
      </c>
      <c r="Q41" s="904">
        <f t="shared" si="24"/>
        <v>225000000</v>
      </c>
      <c r="R41" s="904">
        <f t="shared" si="24"/>
        <v>50000000</v>
      </c>
      <c r="S41" s="897">
        <f t="shared" si="24"/>
        <v>0</v>
      </c>
      <c r="T41" s="897">
        <f t="shared" si="24"/>
        <v>260811065.91999999</v>
      </c>
      <c r="U41" s="897">
        <f t="shared" si="24"/>
        <v>260811065.91999999</v>
      </c>
      <c r="V41" s="898">
        <f t="shared" si="22"/>
        <v>1</v>
      </c>
      <c r="W41" s="897"/>
      <c r="X41" s="899"/>
      <c r="Y41" s="899"/>
      <c r="Z41" s="900"/>
    </row>
    <row r="42" spans="1:26" ht="24" thickTop="1" thickBot="1" x14ac:dyDescent="0.3">
      <c r="A42" s="908">
        <v>1</v>
      </c>
      <c r="B42" s="909" t="s">
        <v>817</v>
      </c>
      <c r="C42" s="909" t="s">
        <v>817</v>
      </c>
      <c r="D42" s="909" t="s">
        <v>738</v>
      </c>
      <c r="E42" s="909" t="s">
        <v>738</v>
      </c>
      <c r="F42" s="909" t="s">
        <v>858</v>
      </c>
      <c r="G42" s="915">
        <v>1</v>
      </c>
      <c r="H42" s="909"/>
      <c r="I42" s="909"/>
      <c r="J42" s="909"/>
      <c r="K42" s="910" t="s">
        <v>860</v>
      </c>
      <c r="L42" s="911">
        <v>500000000</v>
      </c>
      <c r="M42" s="911"/>
      <c r="N42" s="911"/>
      <c r="O42" s="911">
        <f>+L42+M42-N42</f>
        <v>500000000</v>
      </c>
      <c r="P42" s="911">
        <f>O42*45%</f>
        <v>225000000</v>
      </c>
      <c r="Q42" s="911">
        <f>O42*45%</f>
        <v>225000000</v>
      </c>
      <c r="R42" s="911">
        <f>O42*10%</f>
        <v>50000000</v>
      </c>
      <c r="S42" s="911">
        <v>0</v>
      </c>
      <c r="T42" s="911">
        <v>260811065.91999999</v>
      </c>
      <c r="U42" s="911">
        <v>260811065.91999999</v>
      </c>
      <c r="V42" s="905">
        <f>U42/T42</f>
        <v>1</v>
      </c>
      <c r="W42" s="911"/>
      <c r="X42" s="906"/>
      <c r="Y42" s="906"/>
      <c r="Z42" s="843"/>
    </row>
    <row r="43" spans="1:26" ht="24" thickTop="1" thickBot="1" x14ac:dyDescent="0.3">
      <c r="A43" s="908">
        <v>1</v>
      </c>
      <c r="B43" s="909" t="s">
        <v>817</v>
      </c>
      <c r="C43" s="909" t="s">
        <v>817</v>
      </c>
      <c r="D43" s="909" t="s">
        <v>738</v>
      </c>
      <c r="E43" s="909" t="s">
        <v>738</v>
      </c>
      <c r="F43" s="909" t="s">
        <v>858</v>
      </c>
      <c r="G43" s="915">
        <v>2</v>
      </c>
      <c r="H43" s="909"/>
      <c r="I43" s="909"/>
      <c r="J43" s="909"/>
      <c r="K43" s="910" t="s">
        <v>861</v>
      </c>
      <c r="L43" s="911"/>
      <c r="M43" s="911"/>
      <c r="N43" s="911"/>
      <c r="O43" s="904">
        <f>+L43+M43-N43</f>
        <v>0</v>
      </c>
      <c r="P43" s="911"/>
      <c r="Q43" s="911"/>
      <c r="R43" s="911"/>
      <c r="S43" s="911"/>
      <c r="T43" s="911"/>
      <c r="U43" s="911"/>
      <c r="V43" s="911"/>
      <c r="W43" s="911">
        <f t="shared" si="13"/>
        <v>0</v>
      </c>
      <c r="X43" s="906"/>
      <c r="Y43" s="906"/>
      <c r="Z43" s="843">
        <f t="shared" si="14"/>
        <v>0</v>
      </c>
    </row>
    <row r="44" spans="1:26" ht="24" thickTop="1" thickBot="1" x14ac:dyDescent="0.3">
      <c r="A44" s="908">
        <v>1</v>
      </c>
      <c r="B44" s="909" t="s">
        <v>817</v>
      </c>
      <c r="C44" s="909" t="s">
        <v>817</v>
      </c>
      <c r="D44" s="909" t="s">
        <v>738</v>
      </c>
      <c r="E44" s="909" t="s">
        <v>738</v>
      </c>
      <c r="F44" s="909" t="s">
        <v>858</v>
      </c>
      <c r="G44" s="915">
        <v>3</v>
      </c>
      <c r="H44" s="909"/>
      <c r="I44" s="909"/>
      <c r="J44" s="909"/>
      <c r="K44" s="910" t="s">
        <v>862</v>
      </c>
      <c r="L44" s="911"/>
      <c r="M44" s="911"/>
      <c r="N44" s="911"/>
      <c r="O44" s="904">
        <f>+L44+M44-N44</f>
        <v>0</v>
      </c>
      <c r="P44" s="911"/>
      <c r="Q44" s="911"/>
      <c r="R44" s="911"/>
      <c r="S44" s="911"/>
      <c r="T44" s="911"/>
      <c r="U44" s="911"/>
      <c r="V44" s="911"/>
      <c r="W44" s="911">
        <f t="shared" si="13"/>
        <v>0</v>
      </c>
      <c r="X44" s="906"/>
      <c r="Y44" s="906"/>
      <c r="Z44" s="843">
        <f t="shared" si="14"/>
        <v>0</v>
      </c>
    </row>
    <row r="45" spans="1:26" ht="16.5" thickTop="1" thickBot="1" x14ac:dyDescent="0.3">
      <c r="A45" s="919">
        <v>1</v>
      </c>
      <c r="B45" s="895" t="s">
        <v>817</v>
      </c>
      <c r="C45" s="895" t="s">
        <v>817</v>
      </c>
      <c r="D45" s="895" t="s">
        <v>738</v>
      </c>
      <c r="E45" s="895" t="s">
        <v>738</v>
      </c>
      <c r="F45" s="895" t="s">
        <v>863</v>
      </c>
      <c r="G45" s="920"/>
      <c r="H45" s="895"/>
      <c r="I45" s="895"/>
      <c r="J45" s="895"/>
      <c r="K45" s="896" t="s">
        <v>864</v>
      </c>
      <c r="L45" s="897">
        <f>SUBTOTAL(9,L46:L48)</f>
        <v>450000000</v>
      </c>
      <c r="M45" s="897">
        <f t="shared" ref="M45:U45" si="25">SUBTOTAL(9,M46:M48)</f>
        <v>0</v>
      </c>
      <c r="N45" s="897">
        <f t="shared" si="25"/>
        <v>0</v>
      </c>
      <c r="O45" s="897">
        <f t="shared" si="25"/>
        <v>450000000</v>
      </c>
      <c r="P45" s="897">
        <f t="shared" si="25"/>
        <v>180000000</v>
      </c>
      <c r="Q45" s="904">
        <f t="shared" si="25"/>
        <v>225000000</v>
      </c>
      <c r="R45" s="904">
        <f t="shared" si="25"/>
        <v>45000000</v>
      </c>
      <c r="S45" s="897">
        <f t="shared" si="25"/>
        <v>0</v>
      </c>
      <c r="T45" s="897">
        <f t="shared" si="25"/>
        <v>229673636</v>
      </c>
      <c r="U45" s="904">
        <f t="shared" si="25"/>
        <v>98320240</v>
      </c>
      <c r="V45" s="898">
        <f>U45/T45</f>
        <v>0.42808674827614956</v>
      </c>
      <c r="W45" s="897"/>
      <c r="X45" s="899"/>
      <c r="Y45" s="899"/>
      <c r="Z45" s="900"/>
    </row>
    <row r="46" spans="1:26" ht="24" thickTop="1" thickBot="1" x14ac:dyDescent="0.3">
      <c r="A46" s="908">
        <v>1</v>
      </c>
      <c r="B46" s="909" t="s">
        <v>817</v>
      </c>
      <c r="C46" s="909" t="s">
        <v>817</v>
      </c>
      <c r="D46" s="909" t="s">
        <v>738</v>
      </c>
      <c r="E46" s="909" t="s">
        <v>738</v>
      </c>
      <c r="F46" s="909" t="s">
        <v>863</v>
      </c>
      <c r="G46" s="915">
        <v>1</v>
      </c>
      <c r="H46" s="909"/>
      <c r="I46" s="909"/>
      <c r="J46" s="909"/>
      <c r="K46" s="910" t="s">
        <v>865</v>
      </c>
      <c r="L46" s="904">
        <v>400000000</v>
      </c>
      <c r="M46" s="904"/>
      <c r="N46" s="904"/>
      <c r="O46" s="911">
        <f>+L46+M46-N46</f>
        <v>400000000</v>
      </c>
      <c r="P46" s="904">
        <f>O46*40%</f>
        <v>160000000</v>
      </c>
      <c r="Q46" s="911">
        <f>O46*50%</f>
        <v>200000000</v>
      </c>
      <c r="R46" s="911">
        <f>O46*10%</f>
        <v>40000000</v>
      </c>
      <c r="S46" s="904">
        <v>0</v>
      </c>
      <c r="T46" s="911">
        <v>206404542</v>
      </c>
      <c r="U46" s="911">
        <v>75051146</v>
      </c>
      <c r="V46" s="905">
        <f>U46/T46</f>
        <v>0.3636118918352097</v>
      </c>
      <c r="W46" s="904"/>
      <c r="X46" s="906"/>
      <c r="Y46" s="906"/>
      <c r="Z46" s="843"/>
    </row>
    <row r="47" spans="1:26" ht="24" thickTop="1" thickBot="1" x14ac:dyDescent="0.3">
      <c r="A47" s="908">
        <v>1</v>
      </c>
      <c r="B47" s="909" t="s">
        <v>817</v>
      </c>
      <c r="C47" s="909" t="s">
        <v>817</v>
      </c>
      <c r="D47" s="909" t="s">
        <v>738</v>
      </c>
      <c r="E47" s="909" t="s">
        <v>738</v>
      </c>
      <c r="F47" s="909" t="s">
        <v>863</v>
      </c>
      <c r="G47" s="915">
        <v>2</v>
      </c>
      <c r="H47" s="909"/>
      <c r="I47" s="909"/>
      <c r="J47" s="909"/>
      <c r="K47" s="910" t="s">
        <v>866</v>
      </c>
      <c r="L47" s="904">
        <v>50000000</v>
      </c>
      <c r="M47" s="904"/>
      <c r="N47" s="904"/>
      <c r="O47" s="904">
        <f>+L47+M47-N47</f>
        <v>50000000</v>
      </c>
      <c r="P47" s="904">
        <f>O47*40%</f>
        <v>20000000</v>
      </c>
      <c r="Q47" s="904">
        <f>O47*50%</f>
        <v>25000000</v>
      </c>
      <c r="R47" s="904">
        <f>O47*10%</f>
        <v>5000000</v>
      </c>
      <c r="S47" s="904"/>
      <c r="T47" s="904">
        <v>23269094</v>
      </c>
      <c r="U47" s="904">
        <v>23269094</v>
      </c>
      <c r="V47" s="905">
        <f t="shared" ref="V47:V48" si="26">U47/T47</f>
        <v>1</v>
      </c>
      <c r="W47" s="904"/>
      <c r="X47" s="906"/>
      <c r="Y47" s="906"/>
      <c r="Z47" s="843"/>
    </row>
    <row r="48" spans="1:26" ht="24" thickTop="1" thickBot="1" x14ac:dyDescent="0.3">
      <c r="A48" s="908">
        <v>1</v>
      </c>
      <c r="B48" s="909" t="s">
        <v>817</v>
      </c>
      <c r="C48" s="909" t="s">
        <v>817</v>
      </c>
      <c r="D48" s="909" t="s">
        <v>738</v>
      </c>
      <c r="E48" s="909" t="s">
        <v>738</v>
      </c>
      <c r="F48" s="909" t="s">
        <v>863</v>
      </c>
      <c r="G48" s="915">
        <v>3</v>
      </c>
      <c r="H48" s="909"/>
      <c r="I48" s="909"/>
      <c r="J48" s="909"/>
      <c r="K48" s="910" t="s">
        <v>867</v>
      </c>
      <c r="L48" s="904"/>
      <c r="M48" s="904"/>
      <c r="N48" s="904"/>
      <c r="O48" s="904">
        <f>+L48+M48-N48</f>
        <v>0</v>
      </c>
      <c r="P48" s="904"/>
      <c r="Q48" s="904"/>
      <c r="R48" s="904"/>
      <c r="S48" s="904"/>
      <c r="T48" s="904"/>
      <c r="U48" s="904"/>
      <c r="V48" s="905" t="e">
        <f t="shared" si="26"/>
        <v>#DIV/0!</v>
      </c>
      <c r="W48" s="904">
        <f t="shared" si="13"/>
        <v>0</v>
      </c>
      <c r="X48" s="906"/>
      <c r="Y48" s="906"/>
      <c r="Z48" s="843">
        <f t="shared" si="14"/>
        <v>0</v>
      </c>
    </row>
    <row r="49" spans="1:26" ht="16.5" thickTop="1" thickBot="1" x14ac:dyDescent="0.3">
      <c r="A49" s="919">
        <v>1</v>
      </c>
      <c r="B49" s="895" t="s">
        <v>817</v>
      </c>
      <c r="C49" s="895" t="s">
        <v>817</v>
      </c>
      <c r="D49" s="895" t="s">
        <v>738</v>
      </c>
      <c r="E49" s="895" t="s">
        <v>738</v>
      </c>
      <c r="F49" s="895" t="s">
        <v>868</v>
      </c>
      <c r="G49" s="920"/>
      <c r="H49" s="895"/>
      <c r="I49" s="895"/>
      <c r="J49" s="895"/>
      <c r="K49" s="896" t="s">
        <v>869</v>
      </c>
      <c r="L49" s="897">
        <f>SUBTOTAL(9,L50:L52)</f>
        <v>1000000000</v>
      </c>
      <c r="M49" s="897">
        <f t="shared" ref="M49:U49" si="27">SUBTOTAL(9,M50:M52)</f>
        <v>0</v>
      </c>
      <c r="N49" s="897">
        <f t="shared" si="27"/>
        <v>0</v>
      </c>
      <c r="O49" s="897">
        <f t="shared" si="27"/>
        <v>1000000000</v>
      </c>
      <c r="P49" s="897">
        <f t="shared" si="27"/>
        <v>100000000</v>
      </c>
      <c r="Q49" s="904">
        <f t="shared" si="27"/>
        <v>800000000</v>
      </c>
      <c r="R49" s="904">
        <f t="shared" si="27"/>
        <v>100000000</v>
      </c>
      <c r="S49" s="897">
        <f t="shared" si="27"/>
        <v>0</v>
      </c>
      <c r="T49" s="897">
        <f t="shared" si="27"/>
        <v>2772922436</v>
      </c>
      <c r="U49" s="904">
        <f t="shared" si="27"/>
        <v>98775827</v>
      </c>
      <c r="V49" s="898">
        <f>U49/T49</f>
        <v>3.562156146801071E-2</v>
      </c>
      <c r="W49" s="897"/>
      <c r="X49" s="899"/>
      <c r="Y49" s="899"/>
      <c r="Z49" s="900"/>
    </row>
    <row r="50" spans="1:26" ht="16.5" thickTop="1" thickBot="1" x14ac:dyDescent="0.3">
      <c r="A50" s="908">
        <v>1</v>
      </c>
      <c r="B50" s="909" t="s">
        <v>817</v>
      </c>
      <c r="C50" s="909" t="s">
        <v>817</v>
      </c>
      <c r="D50" s="909" t="s">
        <v>738</v>
      </c>
      <c r="E50" s="909" t="s">
        <v>738</v>
      </c>
      <c r="F50" s="909" t="s">
        <v>868</v>
      </c>
      <c r="G50" s="915">
        <v>1</v>
      </c>
      <c r="H50" s="909"/>
      <c r="I50" s="909"/>
      <c r="J50" s="909"/>
      <c r="K50" s="910" t="s">
        <v>870</v>
      </c>
      <c r="L50" s="911">
        <v>500000000</v>
      </c>
      <c r="M50" s="911"/>
      <c r="N50" s="911"/>
      <c r="O50" s="911">
        <f>+L50+M50-N50</f>
        <v>500000000</v>
      </c>
      <c r="P50" s="911">
        <f>O50*10%</f>
        <v>50000000</v>
      </c>
      <c r="Q50" s="911">
        <f>O50*80%</f>
        <v>400000000</v>
      </c>
      <c r="R50" s="911">
        <f>O50*10%</f>
        <v>50000000</v>
      </c>
      <c r="S50" s="911">
        <v>0</v>
      </c>
      <c r="T50" s="911">
        <v>2717941068</v>
      </c>
      <c r="U50" s="911">
        <v>43794459</v>
      </c>
      <c r="V50" s="905">
        <f>U50/T50</f>
        <v>1.6113101021806259E-2</v>
      </c>
      <c r="W50" s="911"/>
      <c r="X50" s="906"/>
      <c r="Y50" s="906"/>
      <c r="Z50" s="843"/>
    </row>
    <row r="51" spans="1:26" ht="16.5" thickTop="1" thickBot="1" x14ac:dyDescent="0.3">
      <c r="A51" s="908">
        <v>1</v>
      </c>
      <c r="B51" s="909" t="s">
        <v>817</v>
      </c>
      <c r="C51" s="909" t="s">
        <v>817</v>
      </c>
      <c r="D51" s="909" t="s">
        <v>738</v>
      </c>
      <c r="E51" s="909" t="s">
        <v>738</v>
      </c>
      <c r="F51" s="909" t="s">
        <v>868</v>
      </c>
      <c r="G51" s="915">
        <v>2</v>
      </c>
      <c r="H51" s="909"/>
      <c r="I51" s="909"/>
      <c r="J51" s="909"/>
      <c r="K51" s="910" t="s">
        <v>871</v>
      </c>
      <c r="L51" s="911"/>
      <c r="M51" s="911"/>
      <c r="N51" s="911"/>
      <c r="O51" s="904">
        <f>+L51+M51-N51</f>
        <v>0</v>
      </c>
      <c r="P51" s="911"/>
      <c r="Q51" s="911"/>
      <c r="R51" s="911"/>
      <c r="S51" s="911"/>
      <c r="T51" s="911"/>
      <c r="U51" s="911"/>
      <c r="V51" s="905" t="e">
        <f t="shared" ref="V51:V53" si="28">U51/T51</f>
        <v>#DIV/0!</v>
      </c>
      <c r="W51" s="911"/>
      <c r="X51" s="906"/>
      <c r="Y51" s="906"/>
      <c r="Z51" s="843"/>
    </row>
    <row r="52" spans="1:26" ht="16.5" thickTop="1" thickBot="1" x14ac:dyDescent="0.3">
      <c r="A52" s="908">
        <v>1</v>
      </c>
      <c r="B52" s="909" t="s">
        <v>817</v>
      </c>
      <c r="C52" s="909" t="s">
        <v>817</v>
      </c>
      <c r="D52" s="909" t="s">
        <v>738</v>
      </c>
      <c r="E52" s="909" t="s">
        <v>738</v>
      </c>
      <c r="F52" s="909" t="s">
        <v>868</v>
      </c>
      <c r="G52" s="915">
        <v>3</v>
      </c>
      <c r="H52" s="909"/>
      <c r="I52" s="909"/>
      <c r="J52" s="909"/>
      <c r="K52" s="910" t="s">
        <v>872</v>
      </c>
      <c r="L52" s="911">
        <v>500000000</v>
      </c>
      <c r="M52" s="911"/>
      <c r="N52" s="911"/>
      <c r="O52" s="904">
        <f>+L52+M52-N52</f>
        <v>500000000</v>
      </c>
      <c r="P52" s="911">
        <f>O52*10%</f>
        <v>50000000</v>
      </c>
      <c r="Q52" s="911">
        <f>O52*80%</f>
        <v>400000000</v>
      </c>
      <c r="R52" s="911">
        <f>O52*10%</f>
        <v>50000000</v>
      </c>
      <c r="S52" s="911"/>
      <c r="T52" s="911">
        <v>54981368</v>
      </c>
      <c r="U52" s="911">
        <v>54981368</v>
      </c>
      <c r="V52" s="905">
        <f t="shared" si="28"/>
        <v>1</v>
      </c>
      <c r="W52" s="911"/>
      <c r="X52" s="906"/>
      <c r="Y52" s="906"/>
      <c r="Z52" s="843"/>
    </row>
    <row r="53" spans="1:26" ht="16.5" thickTop="1" thickBot="1" x14ac:dyDescent="0.3">
      <c r="A53" s="919">
        <v>1</v>
      </c>
      <c r="B53" s="895" t="s">
        <v>817</v>
      </c>
      <c r="C53" s="895" t="s">
        <v>817</v>
      </c>
      <c r="D53" s="895" t="s">
        <v>738</v>
      </c>
      <c r="E53" s="895" t="s">
        <v>738</v>
      </c>
      <c r="F53" s="895" t="s">
        <v>873</v>
      </c>
      <c r="G53" s="920"/>
      <c r="H53" s="895"/>
      <c r="I53" s="895"/>
      <c r="J53" s="895"/>
      <c r="K53" s="896" t="s">
        <v>874</v>
      </c>
      <c r="L53" s="897">
        <f>SUBTOTAL(9,L54:L56)</f>
        <v>1500000000</v>
      </c>
      <c r="M53" s="897">
        <f t="shared" ref="M53:T53" si="29">SUBTOTAL(9,M54:M56)</f>
        <v>0</v>
      </c>
      <c r="N53" s="897">
        <f t="shared" si="29"/>
        <v>0</v>
      </c>
      <c r="O53" s="897">
        <f t="shared" si="29"/>
        <v>1500000000</v>
      </c>
      <c r="P53" s="897">
        <f t="shared" si="29"/>
        <v>150000000</v>
      </c>
      <c r="Q53" s="904">
        <f t="shared" si="29"/>
        <v>1200000000</v>
      </c>
      <c r="R53" s="904">
        <f t="shared" si="29"/>
        <v>150000000</v>
      </c>
      <c r="S53" s="897">
        <f t="shared" si="29"/>
        <v>0</v>
      </c>
      <c r="T53" s="897">
        <f t="shared" si="29"/>
        <v>3578403556</v>
      </c>
      <c r="U53" s="904">
        <f>SUBTOTAL(9,U54:U56)</f>
        <v>682765543.53999996</v>
      </c>
      <c r="V53" s="898">
        <f t="shared" si="28"/>
        <v>0.1908017172616514</v>
      </c>
      <c r="W53" s="897"/>
      <c r="X53" s="899"/>
      <c r="Y53" s="899"/>
      <c r="Z53" s="900"/>
    </row>
    <row r="54" spans="1:26" ht="16.5" thickTop="1" thickBot="1" x14ac:dyDescent="0.3">
      <c r="A54" s="908">
        <v>1</v>
      </c>
      <c r="B54" s="909" t="s">
        <v>817</v>
      </c>
      <c r="C54" s="909" t="s">
        <v>817</v>
      </c>
      <c r="D54" s="909" t="s">
        <v>738</v>
      </c>
      <c r="E54" s="909" t="s">
        <v>738</v>
      </c>
      <c r="F54" s="909" t="s">
        <v>873</v>
      </c>
      <c r="G54" s="915">
        <v>1</v>
      </c>
      <c r="H54" s="909"/>
      <c r="I54" s="909"/>
      <c r="J54" s="909"/>
      <c r="K54" s="910" t="s">
        <v>875</v>
      </c>
      <c r="L54" s="911">
        <v>300000000</v>
      </c>
      <c r="M54" s="911"/>
      <c r="N54" s="911">
        <v>0</v>
      </c>
      <c r="O54" s="911">
        <f>+L54+M54-N54</f>
        <v>300000000</v>
      </c>
      <c r="P54" s="911">
        <f>O54*10%</f>
        <v>30000000</v>
      </c>
      <c r="Q54" s="911">
        <f>O54*80%</f>
        <v>240000000</v>
      </c>
      <c r="R54" s="911">
        <f>O54*10%</f>
        <v>30000000</v>
      </c>
      <c r="S54" s="911">
        <v>0</v>
      </c>
      <c r="T54" s="911">
        <v>2895638012</v>
      </c>
      <c r="U54" s="911">
        <v>0</v>
      </c>
      <c r="V54" s="905">
        <f>U54/T54</f>
        <v>0</v>
      </c>
      <c r="W54" s="911"/>
      <c r="X54" s="906"/>
      <c r="Y54" s="906"/>
      <c r="Z54" s="843"/>
    </row>
    <row r="55" spans="1:26" ht="16.5" thickTop="1" thickBot="1" x14ac:dyDescent="0.3">
      <c r="A55" s="908">
        <v>1</v>
      </c>
      <c r="B55" s="909" t="s">
        <v>817</v>
      </c>
      <c r="C55" s="909" t="s">
        <v>817</v>
      </c>
      <c r="D55" s="909" t="s">
        <v>738</v>
      </c>
      <c r="E55" s="909" t="s">
        <v>738</v>
      </c>
      <c r="F55" s="909" t="s">
        <v>873</v>
      </c>
      <c r="G55" s="915">
        <v>2</v>
      </c>
      <c r="H55" s="909"/>
      <c r="I55" s="909"/>
      <c r="J55" s="909"/>
      <c r="K55" s="910" t="s">
        <v>876</v>
      </c>
      <c r="L55" s="911">
        <v>0</v>
      </c>
      <c r="M55" s="911"/>
      <c r="N55" s="911"/>
      <c r="O55" s="904">
        <f>+L55+M55-N55</f>
        <v>0</v>
      </c>
      <c r="P55" s="911"/>
      <c r="Q55" s="911"/>
      <c r="R55" s="911"/>
      <c r="S55" s="911"/>
      <c r="T55" s="911"/>
      <c r="U55" s="843"/>
      <c r="V55" s="911"/>
      <c r="W55" s="911"/>
      <c r="X55" s="906"/>
      <c r="Y55" s="906"/>
      <c r="Z55" s="843"/>
    </row>
    <row r="56" spans="1:26" ht="16.5" thickTop="1" thickBot="1" x14ac:dyDescent="0.3">
      <c r="A56" s="908">
        <v>1</v>
      </c>
      <c r="B56" s="909" t="s">
        <v>817</v>
      </c>
      <c r="C56" s="909" t="s">
        <v>817</v>
      </c>
      <c r="D56" s="909" t="s">
        <v>738</v>
      </c>
      <c r="E56" s="909" t="s">
        <v>738</v>
      </c>
      <c r="F56" s="909" t="s">
        <v>873</v>
      </c>
      <c r="G56" s="915">
        <v>3</v>
      </c>
      <c r="H56" s="909"/>
      <c r="I56" s="909"/>
      <c r="J56" s="909"/>
      <c r="K56" s="910" t="s">
        <v>877</v>
      </c>
      <c r="L56" s="911">
        <v>1200000000</v>
      </c>
      <c r="M56" s="911"/>
      <c r="N56" s="911"/>
      <c r="O56" s="904">
        <f>+L56+M56-N56</f>
        <v>1200000000</v>
      </c>
      <c r="P56" s="911">
        <f>O56*10%</f>
        <v>120000000</v>
      </c>
      <c r="Q56" s="911">
        <f>O56*80%</f>
        <v>960000000</v>
      </c>
      <c r="R56" s="911">
        <f>O56*10%</f>
        <v>120000000</v>
      </c>
      <c r="S56" s="911"/>
      <c r="T56" s="911">
        <v>682765544</v>
      </c>
      <c r="U56" s="911">
        <v>682765543.53999996</v>
      </c>
      <c r="V56" s="911"/>
      <c r="W56" s="911"/>
      <c r="X56" s="906"/>
      <c r="Y56" s="906"/>
      <c r="Z56" s="843"/>
    </row>
    <row r="57" spans="1:26" ht="16.5" thickTop="1" thickBot="1" x14ac:dyDescent="0.3">
      <c r="A57" s="919">
        <v>1</v>
      </c>
      <c r="B57" s="895" t="s">
        <v>817</v>
      </c>
      <c r="C57" s="895" t="s">
        <v>817</v>
      </c>
      <c r="D57" s="895" t="s">
        <v>738</v>
      </c>
      <c r="E57" s="895" t="s">
        <v>738</v>
      </c>
      <c r="F57" s="895" t="s">
        <v>878</v>
      </c>
      <c r="G57" s="920"/>
      <c r="H57" s="895"/>
      <c r="I57" s="895"/>
      <c r="J57" s="895"/>
      <c r="K57" s="896" t="s">
        <v>879</v>
      </c>
      <c r="L57" s="897">
        <f>SUBTOTAL(9,L58:L60)</f>
        <v>1300000000</v>
      </c>
      <c r="M57" s="897">
        <f t="shared" ref="M57:U57" si="30">SUBTOTAL(9,M58:M60)</f>
        <v>0</v>
      </c>
      <c r="N57" s="897">
        <f t="shared" si="30"/>
        <v>0</v>
      </c>
      <c r="O57" s="897">
        <f t="shared" si="30"/>
        <v>1300000000</v>
      </c>
      <c r="P57" s="897">
        <f t="shared" si="30"/>
        <v>130000000</v>
      </c>
      <c r="Q57" s="904">
        <f t="shared" si="30"/>
        <v>1040000000</v>
      </c>
      <c r="R57" s="904">
        <f t="shared" si="30"/>
        <v>130000000</v>
      </c>
      <c r="S57" s="897">
        <f t="shared" si="30"/>
        <v>0</v>
      </c>
      <c r="T57" s="897">
        <f t="shared" si="30"/>
        <v>394436494.44999999</v>
      </c>
      <c r="U57" s="904">
        <f t="shared" si="30"/>
        <v>256536839.47999999</v>
      </c>
      <c r="V57" s="898">
        <f>U57/T57</f>
        <v>0.65038819452473207</v>
      </c>
      <c r="W57" s="897"/>
      <c r="X57" s="899"/>
      <c r="Y57" s="899"/>
      <c r="Z57" s="900"/>
    </row>
    <row r="58" spans="1:26" ht="16.5" thickTop="1" thickBot="1" x14ac:dyDescent="0.3">
      <c r="A58" s="908">
        <v>1</v>
      </c>
      <c r="B58" s="909" t="s">
        <v>817</v>
      </c>
      <c r="C58" s="909" t="s">
        <v>817</v>
      </c>
      <c r="D58" s="909" t="s">
        <v>738</v>
      </c>
      <c r="E58" s="909" t="s">
        <v>738</v>
      </c>
      <c r="F58" s="909" t="s">
        <v>878</v>
      </c>
      <c r="G58" s="915">
        <v>1</v>
      </c>
      <c r="H58" s="909"/>
      <c r="I58" s="909"/>
      <c r="J58" s="909"/>
      <c r="K58" s="910" t="s">
        <v>880</v>
      </c>
      <c r="L58" s="911">
        <v>1000000000</v>
      </c>
      <c r="M58" s="911">
        <v>0</v>
      </c>
      <c r="N58" s="911"/>
      <c r="O58" s="921">
        <f>+L58+M58-N58</f>
        <v>1000000000</v>
      </c>
      <c r="P58" s="911">
        <f>O58*10%</f>
        <v>100000000</v>
      </c>
      <c r="Q58" s="922">
        <f>O58*80%</f>
        <v>800000000</v>
      </c>
      <c r="R58" s="922">
        <f>O58*10%</f>
        <v>100000000</v>
      </c>
      <c r="S58" s="911">
        <v>0</v>
      </c>
      <c r="T58" s="911">
        <v>308076916.44999999</v>
      </c>
      <c r="U58" s="911">
        <v>170177261.47999999</v>
      </c>
      <c r="V58" s="905">
        <f>U58/T58</f>
        <v>0.55238562966991811</v>
      </c>
      <c r="W58" s="922"/>
      <c r="X58" s="906"/>
      <c r="Y58" s="906"/>
      <c r="Z58" s="843"/>
    </row>
    <row r="59" spans="1:26" ht="16.5" thickTop="1" thickBot="1" x14ac:dyDescent="0.3">
      <c r="A59" s="908">
        <v>1</v>
      </c>
      <c r="B59" s="909" t="s">
        <v>817</v>
      </c>
      <c r="C59" s="909" t="s">
        <v>817</v>
      </c>
      <c r="D59" s="909" t="s">
        <v>738</v>
      </c>
      <c r="E59" s="909" t="s">
        <v>738</v>
      </c>
      <c r="F59" s="909" t="s">
        <v>878</v>
      </c>
      <c r="G59" s="915">
        <v>2</v>
      </c>
      <c r="H59" s="909"/>
      <c r="I59" s="909"/>
      <c r="J59" s="909"/>
      <c r="K59" s="910" t="s">
        <v>881</v>
      </c>
      <c r="L59" s="911"/>
      <c r="M59" s="911"/>
      <c r="N59" s="911"/>
      <c r="O59" s="904">
        <f>+L59+M59-N59</f>
        <v>0</v>
      </c>
      <c r="P59" s="911"/>
      <c r="Q59" s="911"/>
      <c r="R59" s="911"/>
      <c r="S59" s="911"/>
      <c r="T59" s="911"/>
      <c r="U59" s="911"/>
      <c r="V59" s="911"/>
      <c r="W59" s="911"/>
      <c r="X59" s="906"/>
      <c r="Y59" s="906"/>
      <c r="Z59" s="843"/>
    </row>
    <row r="60" spans="1:26" ht="24" thickTop="1" thickBot="1" x14ac:dyDescent="0.3">
      <c r="A60" s="908">
        <v>1</v>
      </c>
      <c r="B60" s="909" t="s">
        <v>817</v>
      </c>
      <c r="C60" s="909" t="s">
        <v>817</v>
      </c>
      <c r="D60" s="909" t="s">
        <v>738</v>
      </c>
      <c r="E60" s="909" t="s">
        <v>738</v>
      </c>
      <c r="F60" s="909" t="s">
        <v>878</v>
      </c>
      <c r="G60" s="915">
        <v>3</v>
      </c>
      <c r="H60" s="909"/>
      <c r="I60" s="909"/>
      <c r="J60" s="909"/>
      <c r="K60" s="910" t="s">
        <v>882</v>
      </c>
      <c r="L60" s="911">
        <v>300000000</v>
      </c>
      <c r="M60" s="911"/>
      <c r="N60" s="911"/>
      <c r="O60" s="904">
        <f>+L60+M60-N60</f>
        <v>300000000</v>
      </c>
      <c r="P60" s="911">
        <f>O60*10%</f>
        <v>30000000</v>
      </c>
      <c r="Q60" s="911">
        <f>O60*80%</f>
        <v>240000000</v>
      </c>
      <c r="R60" s="911">
        <f>O60*10%</f>
        <v>30000000</v>
      </c>
      <c r="S60" s="911"/>
      <c r="T60" s="911">
        <v>86359578</v>
      </c>
      <c r="U60" s="911">
        <v>86359578</v>
      </c>
      <c r="V60" s="911"/>
      <c r="W60" s="911"/>
      <c r="X60" s="906"/>
      <c r="Y60" s="906"/>
      <c r="Z60" s="843"/>
    </row>
    <row r="61" spans="1:26" ht="16.5" thickTop="1" thickBot="1" x14ac:dyDescent="0.3">
      <c r="A61" s="919">
        <v>1</v>
      </c>
      <c r="B61" s="895" t="s">
        <v>817</v>
      </c>
      <c r="C61" s="895" t="s">
        <v>817</v>
      </c>
      <c r="D61" s="895" t="s">
        <v>738</v>
      </c>
      <c r="E61" s="895" t="s">
        <v>738</v>
      </c>
      <c r="F61" s="895" t="s">
        <v>883</v>
      </c>
      <c r="G61" s="920"/>
      <c r="H61" s="895"/>
      <c r="I61" s="895"/>
      <c r="J61" s="895"/>
      <c r="K61" s="896" t="s">
        <v>884</v>
      </c>
      <c r="L61" s="897">
        <f>SUBTOTAL(9,L62:L64)</f>
        <v>0</v>
      </c>
      <c r="M61" s="897">
        <f t="shared" ref="M61:V61" si="31">SUBTOTAL(9,M62:M64)</f>
        <v>0</v>
      </c>
      <c r="N61" s="897">
        <f t="shared" si="31"/>
        <v>0</v>
      </c>
      <c r="O61" s="897">
        <f t="shared" si="31"/>
        <v>0</v>
      </c>
      <c r="P61" s="897">
        <f t="shared" si="31"/>
        <v>0</v>
      </c>
      <c r="Q61" s="897">
        <f t="shared" si="31"/>
        <v>0</v>
      </c>
      <c r="R61" s="897">
        <f t="shared" si="31"/>
        <v>0</v>
      </c>
      <c r="S61" s="897">
        <f t="shared" si="31"/>
        <v>0</v>
      </c>
      <c r="T61" s="897">
        <f t="shared" si="31"/>
        <v>0</v>
      </c>
      <c r="U61" s="904">
        <f t="shared" si="31"/>
        <v>0</v>
      </c>
      <c r="V61" s="898">
        <f t="shared" si="31"/>
        <v>0</v>
      </c>
      <c r="W61" s="897">
        <f t="shared" si="13"/>
        <v>0</v>
      </c>
      <c r="X61" s="899"/>
      <c r="Y61" s="899"/>
      <c r="Z61" s="900">
        <f t="shared" si="14"/>
        <v>0</v>
      </c>
    </row>
    <row r="62" spans="1:26" ht="24" thickTop="1" thickBot="1" x14ac:dyDescent="0.3">
      <c r="A62" s="908">
        <v>1</v>
      </c>
      <c r="B62" s="909" t="s">
        <v>817</v>
      </c>
      <c r="C62" s="909" t="s">
        <v>817</v>
      </c>
      <c r="D62" s="909" t="s">
        <v>738</v>
      </c>
      <c r="E62" s="909" t="s">
        <v>738</v>
      </c>
      <c r="F62" s="909" t="s">
        <v>883</v>
      </c>
      <c r="G62" s="915">
        <v>1</v>
      </c>
      <c r="H62" s="909"/>
      <c r="I62" s="909"/>
      <c r="J62" s="909"/>
      <c r="K62" s="910" t="s">
        <v>885</v>
      </c>
      <c r="L62" s="911"/>
      <c r="M62" s="911"/>
      <c r="N62" s="911"/>
      <c r="O62" s="904">
        <f>+L62+M62-N62</f>
        <v>0</v>
      </c>
      <c r="P62" s="911"/>
      <c r="Q62" s="911"/>
      <c r="R62" s="911"/>
      <c r="S62" s="911"/>
      <c r="T62" s="911"/>
      <c r="U62" s="911"/>
      <c r="V62" s="911"/>
      <c r="W62" s="911">
        <f t="shared" si="13"/>
        <v>0</v>
      </c>
      <c r="X62" s="906"/>
      <c r="Y62" s="906"/>
      <c r="Z62" s="843">
        <f t="shared" si="14"/>
        <v>0</v>
      </c>
    </row>
    <row r="63" spans="1:26" ht="24" thickTop="1" thickBot="1" x14ac:dyDescent="0.3">
      <c r="A63" s="908">
        <v>1</v>
      </c>
      <c r="B63" s="909" t="s">
        <v>817</v>
      </c>
      <c r="C63" s="909" t="s">
        <v>817</v>
      </c>
      <c r="D63" s="909" t="s">
        <v>738</v>
      </c>
      <c r="E63" s="909" t="s">
        <v>738</v>
      </c>
      <c r="F63" s="909" t="s">
        <v>883</v>
      </c>
      <c r="G63" s="915">
        <v>2</v>
      </c>
      <c r="H63" s="909"/>
      <c r="I63" s="909"/>
      <c r="J63" s="909"/>
      <c r="K63" s="910" t="s">
        <v>886</v>
      </c>
      <c r="L63" s="911"/>
      <c r="M63" s="911"/>
      <c r="N63" s="911"/>
      <c r="O63" s="904">
        <f>+L63+M63-N63</f>
        <v>0</v>
      </c>
      <c r="P63" s="911"/>
      <c r="Q63" s="911"/>
      <c r="R63" s="911"/>
      <c r="S63" s="911"/>
      <c r="T63" s="911"/>
      <c r="U63" s="911"/>
      <c r="V63" s="911"/>
      <c r="W63" s="911">
        <f t="shared" si="13"/>
        <v>0</v>
      </c>
      <c r="X63" s="906"/>
      <c r="Y63" s="906"/>
      <c r="Z63" s="843">
        <f t="shared" si="14"/>
        <v>0</v>
      </c>
    </row>
    <row r="64" spans="1:26" ht="24" thickTop="1" thickBot="1" x14ac:dyDescent="0.3">
      <c r="A64" s="908">
        <v>1</v>
      </c>
      <c r="B64" s="909" t="s">
        <v>817</v>
      </c>
      <c r="C64" s="909" t="s">
        <v>817</v>
      </c>
      <c r="D64" s="909" t="s">
        <v>738</v>
      </c>
      <c r="E64" s="909" t="s">
        <v>738</v>
      </c>
      <c r="F64" s="909" t="s">
        <v>883</v>
      </c>
      <c r="G64" s="915">
        <v>3</v>
      </c>
      <c r="H64" s="909"/>
      <c r="I64" s="909"/>
      <c r="J64" s="909"/>
      <c r="K64" s="910" t="s">
        <v>887</v>
      </c>
      <c r="L64" s="911"/>
      <c r="M64" s="911"/>
      <c r="N64" s="911"/>
      <c r="O64" s="904">
        <f>+L64+M64-N64</f>
        <v>0</v>
      </c>
      <c r="P64" s="911"/>
      <c r="Q64" s="911"/>
      <c r="R64" s="911"/>
      <c r="S64" s="911"/>
      <c r="T64" s="911"/>
      <c r="U64" s="911"/>
      <c r="V64" s="911"/>
      <c r="W64" s="911">
        <f t="shared" si="13"/>
        <v>0</v>
      </c>
      <c r="X64" s="906"/>
      <c r="Y64" s="906"/>
      <c r="Z64" s="843">
        <f t="shared" si="14"/>
        <v>0</v>
      </c>
    </row>
    <row r="65" spans="1:26" ht="16.5" thickTop="1" thickBot="1" x14ac:dyDescent="0.3">
      <c r="A65" s="919">
        <v>1</v>
      </c>
      <c r="B65" s="895" t="s">
        <v>817</v>
      </c>
      <c r="C65" s="895" t="s">
        <v>817</v>
      </c>
      <c r="D65" s="895" t="s">
        <v>738</v>
      </c>
      <c r="E65" s="895" t="s">
        <v>738</v>
      </c>
      <c r="F65" s="895" t="s">
        <v>888</v>
      </c>
      <c r="G65" s="920"/>
      <c r="H65" s="895"/>
      <c r="I65" s="895"/>
      <c r="J65" s="895"/>
      <c r="K65" s="896" t="s">
        <v>889</v>
      </c>
      <c r="L65" s="897">
        <f>SUBTOTAL(9,L66:L68)</f>
        <v>0</v>
      </c>
      <c r="M65" s="897">
        <f t="shared" ref="M65:V65" si="32">SUBTOTAL(9,M66:M68)</f>
        <v>0</v>
      </c>
      <c r="N65" s="897">
        <f t="shared" si="32"/>
        <v>0</v>
      </c>
      <c r="O65" s="897">
        <f t="shared" si="32"/>
        <v>0</v>
      </c>
      <c r="P65" s="897">
        <f t="shared" si="32"/>
        <v>0</v>
      </c>
      <c r="Q65" s="897">
        <f t="shared" si="32"/>
        <v>0</v>
      </c>
      <c r="R65" s="897">
        <f t="shared" si="32"/>
        <v>0</v>
      </c>
      <c r="S65" s="897">
        <f t="shared" si="32"/>
        <v>0</v>
      </c>
      <c r="T65" s="897">
        <f t="shared" si="32"/>
        <v>0</v>
      </c>
      <c r="U65" s="904">
        <f t="shared" si="32"/>
        <v>0</v>
      </c>
      <c r="V65" s="898">
        <f t="shared" si="32"/>
        <v>0</v>
      </c>
      <c r="W65" s="897">
        <f t="shared" si="13"/>
        <v>0</v>
      </c>
      <c r="X65" s="899"/>
      <c r="Y65" s="899"/>
      <c r="Z65" s="900">
        <f t="shared" si="14"/>
        <v>0</v>
      </c>
    </row>
    <row r="66" spans="1:26" ht="16.5" thickTop="1" thickBot="1" x14ac:dyDescent="0.3">
      <c r="A66" s="908">
        <v>1</v>
      </c>
      <c r="B66" s="909" t="s">
        <v>817</v>
      </c>
      <c r="C66" s="909" t="s">
        <v>817</v>
      </c>
      <c r="D66" s="909" t="s">
        <v>738</v>
      </c>
      <c r="E66" s="909" t="s">
        <v>738</v>
      </c>
      <c r="F66" s="909" t="s">
        <v>888</v>
      </c>
      <c r="G66" s="915">
        <v>1</v>
      </c>
      <c r="H66" s="909"/>
      <c r="I66" s="909"/>
      <c r="J66" s="909"/>
      <c r="K66" s="910" t="s">
        <v>890</v>
      </c>
      <c r="L66" s="911"/>
      <c r="M66" s="911"/>
      <c r="N66" s="911"/>
      <c r="O66" s="904">
        <f>+L66+M66-N66</f>
        <v>0</v>
      </c>
      <c r="P66" s="911"/>
      <c r="Q66" s="911"/>
      <c r="R66" s="911"/>
      <c r="S66" s="911"/>
      <c r="T66" s="911"/>
      <c r="U66" s="911"/>
      <c r="V66" s="911"/>
      <c r="W66" s="911">
        <f t="shared" si="13"/>
        <v>0</v>
      </c>
      <c r="X66" s="906"/>
      <c r="Y66" s="906"/>
      <c r="Z66" s="843">
        <f t="shared" si="14"/>
        <v>0</v>
      </c>
    </row>
    <row r="67" spans="1:26" ht="16.5" thickTop="1" thickBot="1" x14ac:dyDescent="0.3">
      <c r="A67" s="908">
        <v>1</v>
      </c>
      <c r="B67" s="909" t="s">
        <v>817</v>
      </c>
      <c r="C67" s="909" t="s">
        <v>817</v>
      </c>
      <c r="D67" s="909" t="s">
        <v>738</v>
      </c>
      <c r="E67" s="909" t="s">
        <v>738</v>
      </c>
      <c r="F67" s="909" t="s">
        <v>888</v>
      </c>
      <c r="G67" s="915">
        <v>2</v>
      </c>
      <c r="H67" s="909"/>
      <c r="I67" s="909"/>
      <c r="J67" s="909"/>
      <c r="K67" s="910" t="s">
        <v>891</v>
      </c>
      <c r="L67" s="911"/>
      <c r="M67" s="911"/>
      <c r="N67" s="911"/>
      <c r="O67" s="904">
        <f>+L67+M67-N67</f>
        <v>0</v>
      </c>
      <c r="P67" s="911"/>
      <c r="Q67" s="911"/>
      <c r="R67" s="911"/>
      <c r="S67" s="911"/>
      <c r="T67" s="911"/>
      <c r="U67" s="911"/>
      <c r="V67" s="911"/>
      <c r="W67" s="911">
        <f t="shared" si="13"/>
        <v>0</v>
      </c>
      <c r="X67" s="906"/>
      <c r="Y67" s="906"/>
      <c r="Z67" s="843">
        <f t="shared" si="14"/>
        <v>0</v>
      </c>
    </row>
    <row r="68" spans="1:26" ht="16.5" thickTop="1" thickBot="1" x14ac:dyDescent="0.3">
      <c r="A68" s="908">
        <v>1</v>
      </c>
      <c r="B68" s="909" t="s">
        <v>817</v>
      </c>
      <c r="C68" s="909" t="s">
        <v>817</v>
      </c>
      <c r="D68" s="909" t="s">
        <v>738</v>
      </c>
      <c r="E68" s="909" t="s">
        <v>738</v>
      </c>
      <c r="F68" s="909" t="s">
        <v>888</v>
      </c>
      <c r="G68" s="915">
        <v>3</v>
      </c>
      <c r="H68" s="909"/>
      <c r="I68" s="909"/>
      <c r="J68" s="909"/>
      <c r="K68" s="910" t="s">
        <v>892</v>
      </c>
      <c r="L68" s="911"/>
      <c r="M68" s="911"/>
      <c r="N68" s="911"/>
      <c r="O68" s="904">
        <f>+L68+M68-N68</f>
        <v>0</v>
      </c>
      <c r="P68" s="911"/>
      <c r="Q68" s="911"/>
      <c r="R68" s="911"/>
      <c r="S68" s="911"/>
      <c r="T68" s="911"/>
      <c r="U68" s="911"/>
      <c r="V68" s="911"/>
      <c r="W68" s="911">
        <f t="shared" si="13"/>
        <v>0</v>
      </c>
      <c r="X68" s="906"/>
      <c r="Y68" s="906"/>
      <c r="Z68" s="843">
        <f t="shared" si="14"/>
        <v>0</v>
      </c>
    </row>
    <row r="69" spans="1:26" ht="24" thickTop="1" thickBot="1" x14ac:dyDescent="0.3">
      <c r="A69" s="919">
        <v>1</v>
      </c>
      <c r="B69" s="895" t="s">
        <v>817</v>
      </c>
      <c r="C69" s="895" t="s">
        <v>817</v>
      </c>
      <c r="D69" s="895" t="s">
        <v>738</v>
      </c>
      <c r="E69" s="895" t="s">
        <v>738</v>
      </c>
      <c r="F69" s="895" t="s">
        <v>893</v>
      </c>
      <c r="G69" s="920"/>
      <c r="H69" s="895"/>
      <c r="I69" s="895"/>
      <c r="J69" s="895"/>
      <c r="K69" s="896" t="s">
        <v>894</v>
      </c>
      <c r="L69" s="897">
        <f>SUBTOTAL(9,L70:L72)</f>
        <v>0</v>
      </c>
      <c r="M69" s="897">
        <f t="shared" ref="M69:V69" si="33">SUBTOTAL(9,M70:M72)</f>
        <v>0</v>
      </c>
      <c r="N69" s="897">
        <f t="shared" si="33"/>
        <v>0</v>
      </c>
      <c r="O69" s="897">
        <f t="shared" si="33"/>
        <v>0</v>
      </c>
      <c r="P69" s="897">
        <f t="shared" si="33"/>
        <v>0</v>
      </c>
      <c r="Q69" s="897">
        <f t="shared" si="33"/>
        <v>0</v>
      </c>
      <c r="R69" s="897">
        <f t="shared" si="33"/>
        <v>0</v>
      </c>
      <c r="S69" s="897">
        <f t="shared" si="33"/>
        <v>0</v>
      </c>
      <c r="T69" s="897">
        <f t="shared" si="33"/>
        <v>0</v>
      </c>
      <c r="U69" s="904">
        <f t="shared" si="33"/>
        <v>0</v>
      </c>
      <c r="V69" s="898">
        <f t="shared" si="33"/>
        <v>0</v>
      </c>
      <c r="W69" s="897">
        <f t="shared" si="13"/>
        <v>0</v>
      </c>
      <c r="X69" s="899"/>
      <c r="Y69" s="899"/>
      <c r="Z69" s="900">
        <f t="shared" si="14"/>
        <v>0</v>
      </c>
    </row>
    <row r="70" spans="1:26" ht="35.25" thickTop="1" thickBot="1" x14ac:dyDescent="0.3">
      <c r="A70" s="908">
        <v>1</v>
      </c>
      <c r="B70" s="909" t="s">
        <v>817</v>
      </c>
      <c r="C70" s="909" t="s">
        <v>817</v>
      </c>
      <c r="D70" s="909" t="s">
        <v>738</v>
      </c>
      <c r="E70" s="909" t="s">
        <v>738</v>
      </c>
      <c r="F70" s="909" t="s">
        <v>893</v>
      </c>
      <c r="G70" s="915">
        <v>1</v>
      </c>
      <c r="H70" s="909"/>
      <c r="I70" s="909"/>
      <c r="J70" s="909"/>
      <c r="K70" s="910" t="s">
        <v>895</v>
      </c>
      <c r="L70" s="911"/>
      <c r="M70" s="911"/>
      <c r="N70" s="911"/>
      <c r="O70" s="904">
        <f>+L70+M70-N70</f>
        <v>0</v>
      </c>
      <c r="P70" s="911"/>
      <c r="Q70" s="911"/>
      <c r="R70" s="911"/>
      <c r="S70" s="911"/>
      <c r="T70" s="911"/>
      <c r="U70" s="911"/>
      <c r="V70" s="911"/>
      <c r="W70" s="911">
        <f t="shared" si="13"/>
        <v>0</v>
      </c>
      <c r="X70" s="906"/>
      <c r="Y70" s="906"/>
      <c r="Z70" s="843">
        <f t="shared" si="14"/>
        <v>0</v>
      </c>
    </row>
    <row r="71" spans="1:26" ht="35.25" thickTop="1" thickBot="1" x14ac:dyDescent="0.3">
      <c r="A71" s="908">
        <v>1</v>
      </c>
      <c r="B71" s="909" t="s">
        <v>817</v>
      </c>
      <c r="C71" s="909" t="s">
        <v>817</v>
      </c>
      <c r="D71" s="909" t="s">
        <v>738</v>
      </c>
      <c r="E71" s="909" t="s">
        <v>738</v>
      </c>
      <c r="F71" s="909" t="s">
        <v>893</v>
      </c>
      <c r="G71" s="915">
        <v>2</v>
      </c>
      <c r="H71" s="909"/>
      <c r="I71" s="909"/>
      <c r="J71" s="909"/>
      <c r="K71" s="910" t="s">
        <v>896</v>
      </c>
      <c r="L71" s="911"/>
      <c r="M71" s="911"/>
      <c r="N71" s="911"/>
      <c r="O71" s="904">
        <f>+L71+M71-N71</f>
        <v>0</v>
      </c>
      <c r="P71" s="911"/>
      <c r="Q71" s="911"/>
      <c r="R71" s="911"/>
      <c r="S71" s="911"/>
      <c r="T71" s="911"/>
      <c r="U71" s="911"/>
      <c r="V71" s="911"/>
      <c r="W71" s="911">
        <f t="shared" si="13"/>
        <v>0</v>
      </c>
      <c r="X71" s="906"/>
      <c r="Y71" s="906"/>
      <c r="Z71" s="843">
        <f t="shared" si="14"/>
        <v>0</v>
      </c>
    </row>
    <row r="72" spans="1:26" ht="35.25" thickTop="1" thickBot="1" x14ac:dyDescent="0.3">
      <c r="A72" s="908">
        <v>1</v>
      </c>
      <c r="B72" s="909" t="s">
        <v>817</v>
      </c>
      <c r="C72" s="909" t="s">
        <v>817</v>
      </c>
      <c r="D72" s="909" t="s">
        <v>738</v>
      </c>
      <c r="E72" s="909" t="s">
        <v>738</v>
      </c>
      <c r="F72" s="909" t="s">
        <v>893</v>
      </c>
      <c r="G72" s="915">
        <v>3</v>
      </c>
      <c r="H72" s="909"/>
      <c r="I72" s="909"/>
      <c r="J72" s="909"/>
      <c r="K72" s="910" t="s">
        <v>897</v>
      </c>
      <c r="L72" s="911"/>
      <c r="M72" s="911"/>
      <c r="N72" s="911"/>
      <c r="O72" s="904">
        <f>+L72+M72-N72</f>
        <v>0</v>
      </c>
      <c r="P72" s="911"/>
      <c r="Q72" s="911"/>
      <c r="R72" s="911"/>
      <c r="S72" s="911"/>
      <c r="T72" s="911"/>
      <c r="U72" s="911"/>
      <c r="V72" s="911"/>
      <c r="W72" s="911">
        <f t="shared" si="13"/>
        <v>0</v>
      </c>
      <c r="X72" s="906"/>
      <c r="Y72" s="906"/>
      <c r="Z72" s="843">
        <f t="shared" si="14"/>
        <v>0</v>
      </c>
    </row>
    <row r="73" spans="1:26" ht="16.5" thickTop="1" thickBot="1" x14ac:dyDescent="0.3">
      <c r="A73" s="919">
        <v>1</v>
      </c>
      <c r="B73" s="895" t="s">
        <v>817</v>
      </c>
      <c r="C73" s="895" t="s">
        <v>817</v>
      </c>
      <c r="D73" s="895" t="s">
        <v>738</v>
      </c>
      <c r="E73" s="895" t="s">
        <v>738</v>
      </c>
      <c r="F73" s="895" t="s">
        <v>898</v>
      </c>
      <c r="G73" s="920"/>
      <c r="H73" s="895"/>
      <c r="I73" s="895"/>
      <c r="J73" s="895"/>
      <c r="K73" s="896" t="s">
        <v>899</v>
      </c>
      <c r="L73" s="897">
        <f>SUM(L74:L76)</f>
        <v>0</v>
      </c>
      <c r="M73" s="897">
        <f t="shared" ref="M73:V73" si="34">SUM(M74:M76)</f>
        <v>0</v>
      </c>
      <c r="N73" s="897">
        <f t="shared" si="34"/>
        <v>0</v>
      </c>
      <c r="O73" s="897">
        <f t="shared" si="34"/>
        <v>0</v>
      </c>
      <c r="P73" s="897">
        <f t="shared" si="34"/>
        <v>0</v>
      </c>
      <c r="Q73" s="897">
        <f t="shared" si="34"/>
        <v>0</v>
      </c>
      <c r="R73" s="897">
        <f t="shared" si="34"/>
        <v>0</v>
      </c>
      <c r="S73" s="897">
        <f t="shared" si="34"/>
        <v>0</v>
      </c>
      <c r="T73" s="897">
        <f t="shared" si="34"/>
        <v>0</v>
      </c>
      <c r="U73" s="904">
        <f t="shared" si="34"/>
        <v>0</v>
      </c>
      <c r="V73" s="898">
        <f t="shared" si="34"/>
        <v>0</v>
      </c>
      <c r="W73" s="897">
        <f t="shared" si="13"/>
        <v>0</v>
      </c>
      <c r="X73" s="899"/>
      <c r="Y73" s="899"/>
      <c r="Z73" s="900">
        <f t="shared" si="14"/>
        <v>0</v>
      </c>
    </row>
    <row r="74" spans="1:26" ht="16.5" thickTop="1" thickBot="1" x14ac:dyDescent="0.3">
      <c r="A74" s="908">
        <v>1</v>
      </c>
      <c r="B74" s="909" t="s">
        <v>817</v>
      </c>
      <c r="C74" s="909" t="s">
        <v>817</v>
      </c>
      <c r="D74" s="909" t="s">
        <v>738</v>
      </c>
      <c r="E74" s="909" t="s">
        <v>738</v>
      </c>
      <c r="F74" s="909" t="s">
        <v>898</v>
      </c>
      <c r="G74" s="915">
        <v>1</v>
      </c>
      <c r="H74" s="909"/>
      <c r="I74" s="909"/>
      <c r="J74" s="909"/>
      <c r="K74" s="910" t="s">
        <v>900</v>
      </c>
      <c r="L74" s="911"/>
      <c r="M74" s="911"/>
      <c r="N74" s="911"/>
      <c r="O74" s="904">
        <f>+L74+M74-N74</f>
        <v>0</v>
      </c>
      <c r="P74" s="911"/>
      <c r="Q74" s="911"/>
      <c r="R74" s="911"/>
      <c r="S74" s="911"/>
      <c r="T74" s="911"/>
      <c r="U74" s="911"/>
      <c r="V74" s="911"/>
      <c r="W74" s="911">
        <f t="shared" si="13"/>
        <v>0</v>
      </c>
      <c r="X74" s="906"/>
      <c r="Y74" s="906"/>
      <c r="Z74" s="843">
        <f t="shared" si="14"/>
        <v>0</v>
      </c>
    </row>
    <row r="75" spans="1:26" ht="16.5" thickTop="1" thickBot="1" x14ac:dyDescent="0.3">
      <c r="A75" s="908">
        <v>1</v>
      </c>
      <c r="B75" s="909" t="s">
        <v>817</v>
      </c>
      <c r="C75" s="909" t="s">
        <v>817</v>
      </c>
      <c r="D75" s="909" t="s">
        <v>738</v>
      </c>
      <c r="E75" s="909" t="s">
        <v>738</v>
      </c>
      <c r="F75" s="909" t="s">
        <v>898</v>
      </c>
      <c r="G75" s="915">
        <v>2</v>
      </c>
      <c r="H75" s="909"/>
      <c r="I75" s="909"/>
      <c r="J75" s="909"/>
      <c r="K75" s="910" t="s">
        <v>901</v>
      </c>
      <c r="L75" s="911"/>
      <c r="M75" s="911"/>
      <c r="N75" s="911"/>
      <c r="O75" s="904">
        <f>+L75+M75-N75</f>
        <v>0</v>
      </c>
      <c r="P75" s="911"/>
      <c r="Q75" s="911"/>
      <c r="R75" s="911"/>
      <c r="S75" s="911"/>
      <c r="T75" s="911"/>
      <c r="U75" s="911"/>
      <c r="V75" s="911"/>
      <c r="W75" s="911">
        <f t="shared" si="13"/>
        <v>0</v>
      </c>
      <c r="X75" s="906"/>
      <c r="Y75" s="906"/>
      <c r="Z75" s="843">
        <f t="shared" si="14"/>
        <v>0</v>
      </c>
    </row>
    <row r="76" spans="1:26" ht="16.5" thickTop="1" thickBot="1" x14ac:dyDescent="0.3">
      <c r="A76" s="908">
        <v>1</v>
      </c>
      <c r="B76" s="909" t="s">
        <v>817</v>
      </c>
      <c r="C76" s="909" t="s">
        <v>817</v>
      </c>
      <c r="D76" s="909" t="s">
        <v>738</v>
      </c>
      <c r="E76" s="909" t="s">
        <v>738</v>
      </c>
      <c r="F76" s="909" t="s">
        <v>898</v>
      </c>
      <c r="G76" s="915">
        <v>3</v>
      </c>
      <c r="H76" s="909"/>
      <c r="I76" s="909"/>
      <c r="J76" s="909"/>
      <c r="K76" s="910" t="s">
        <v>902</v>
      </c>
      <c r="L76" s="911"/>
      <c r="M76" s="911"/>
      <c r="N76" s="911"/>
      <c r="O76" s="904">
        <f>+L76+M76-N76</f>
        <v>0</v>
      </c>
      <c r="P76" s="911"/>
      <c r="Q76" s="911"/>
      <c r="R76" s="911"/>
      <c r="S76" s="911"/>
      <c r="T76" s="911"/>
      <c r="U76" s="911"/>
      <c r="V76" s="911"/>
      <c r="W76" s="911">
        <f t="shared" si="13"/>
        <v>0</v>
      </c>
      <c r="X76" s="906"/>
      <c r="Y76" s="906"/>
      <c r="Z76" s="843">
        <f t="shared" si="14"/>
        <v>0</v>
      </c>
    </row>
    <row r="77" spans="1:26" ht="16.5" thickTop="1" thickBot="1" x14ac:dyDescent="0.3">
      <c r="A77" s="917">
        <v>1</v>
      </c>
      <c r="B77" s="887" t="s">
        <v>817</v>
      </c>
      <c r="C77" s="887" t="s">
        <v>817</v>
      </c>
      <c r="D77" s="887" t="s">
        <v>738</v>
      </c>
      <c r="E77" s="887" t="s">
        <v>742</v>
      </c>
      <c r="F77" s="887"/>
      <c r="G77" s="918"/>
      <c r="H77" s="887"/>
      <c r="I77" s="887"/>
      <c r="J77" s="887"/>
      <c r="K77" s="888" t="s">
        <v>768</v>
      </c>
      <c r="L77" s="889">
        <f>+L78+L100</f>
        <v>320000000</v>
      </c>
      <c r="M77" s="889">
        <f t="shared" ref="M77:U77" si="35">+M78+M100</f>
        <v>0</v>
      </c>
      <c r="N77" s="889">
        <v>0</v>
      </c>
      <c r="O77" s="889">
        <f t="shared" si="35"/>
        <v>320000000</v>
      </c>
      <c r="P77" s="889">
        <f t="shared" si="35"/>
        <v>310000000</v>
      </c>
      <c r="Q77" s="904">
        <f t="shared" si="35"/>
        <v>0</v>
      </c>
      <c r="R77" s="904">
        <f t="shared" si="35"/>
        <v>10000000</v>
      </c>
      <c r="S77" s="889">
        <f t="shared" si="35"/>
        <v>0</v>
      </c>
      <c r="T77" s="889">
        <f t="shared" si="35"/>
        <v>157488576.31999999</v>
      </c>
      <c r="U77" s="904">
        <f t="shared" si="35"/>
        <v>157488576.31999999</v>
      </c>
      <c r="V77" s="890">
        <f t="shared" ref="V77:V94" si="36">U77/T77</f>
        <v>1</v>
      </c>
      <c r="W77" s="889"/>
      <c r="X77" s="891"/>
      <c r="Y77" s="891"/>
      <c r="Z77" s="892"/>
    </row>
    <row r="78" spans="1:26" ht="16.5" thickTop="1" thickBot="1" x14ac:dyDescent="0.3">
      <c r="A78" s="919">
        <v>1</v>
      </c>
      <c r="B78" s="895" t="s">
        <v>817</v>
      </c>
      <c r="C78" s="895" t="s">
        <v>817</v>
      </c>
      <c r="D78" s="895" t="s">
        <v>738</v>
      </c>
      <c r="E78" s="895" t="s">
        <v>742</v>
      </c>
      <c r="F78" s="895" t="s">
        <v>903</v>
      </c>
      <c r="G78" s="920"/>
      <c r="H78" s="895"/>
      <c r="I78" s="895"/>
      <c r="J78" s="895"/>
      <c r="K78" s="896" t="s">
        <v>904</v>
      </c>
      <c r="L78" s="897">
        <f>+L79+L83+L87+L91+L95</f>
        <v>120000000</v>
      </c>
      <c r="M78" s="897">
        <f t="shared" ref="M78:S78" si="37">+M79+M83+M87+M91+M95</f>
        <v>0</v>
      </c>
      <c r="N78" s="897">
        <f t="shared" si="37"/>
        <v>0</v>
      </c>
      <c r="O78" s="897">
        <f t="shared" si="37"/>
        <v>120000000</v>
      </c>
      <c r="P78" s="897">
        <f t="shared" si="37"/>
        <v>110000000</v>
      </c>
      <c r="Q78" s="904">
        <f t="shared" si="37"/>
        <v>0</v>
      </c>
      <c r="R78" s="904">
        <f t="shared" si="37"/>
        <v>10000000</v>
      </c>
      <c r="S78" s="897">
        <f t="shared" si="37"/>
        <v>0</v>
      </c>
      <c r="T78" s="897">
        <f>+T79+T83+T87+T91+T95</f>
        <v>132534576.66</v>
      </c>
      <c r="U78" s="904">
        <f>+U79+U83+U87+U91+U95</f>
        <v>132534576.66</v>
      </c>
      <c r="V78" s="898">
        <f t="shared" si="36"/>
        <v>1</v>
      </c>
      <c r="W78" s="897"/>
      <c r="X78" s="899"/>
      <c r="Y78" s="899"/>
      <c r="Z78" s="900"/>
    </row>
    <row r="79" spans="1:26" ht="16.5" thickTop="1" thickBot="1" x14ac:dyDescent="0.3">
      <c r="A79" s="901">
        <v>1</v>
      </c>
      <c r="B79" s="902" t="s">
        <v>817</v>
      </c>
      <c r="C79" s="902" t="s">
        <v>817</v>
      </c>
      <c r="D79" s="902" t="s">
        <v>738</v>
      </c>
      <c r="E79" s="902" t="s">
        <v>742</v>
      </c>
      <c r="F79" s="902" t="s">
        <v>903</v>
      </c>
      <c r="G79" s="902" t="s">
        <v>742</v>
      </c>
      <c r="H79" s="902"/>
      <c r="I79" s="902"/>
      <c r="J79" s="902"/>
      <c r="K79" s="903" t="s">
        <v>905</v>
      </c>
      <c r="L79" s="904">
        <f>SUM(L80:L82)</f>
        <v>0</v>
      </c>
      <c r="M79" s="904">
        <f t="shared" ref="M79:U79" si="38">SUM(M80:M82)</f>
        <v>0</v>
      </c>
      <c r="N79" s="904">
        <f t="shared" si="38"/>
        <v>0</v>
      </c>
      <c r="O79" s="904">
        <f t="shared" si="38"/>
        <v>0</v>
      </c>
      <c r="P79" s="904">
        <f t="shared" si="38"/>
        <v>0</v>
      </c>
      <c r="Q79" s="904">
        <f t="shared" si="38"/>
        <v>0</v>
      </c>
      <c r="R79" s="904">
        <f t="shared" si="38"/>
        <v>0</v>
      </c>
      <c r="S79" s="904">
        <f t="shared" si="38"/>
        <v>0</v>
      </c>
      <c r="T79" s="904">
        <f t="shared" si="38"/>
        <v>0</v>
      </c>
      <c r="U79" s="904">
        <f t="shared" si="38"/>
        <v>0</v>
      </c>
      <c r="V79" s="905" t="e">
        <f t="shared" si="36"/>
        <v>#DIV/0!</v>
      </c>
      <c r="W79" s="904">
        <f t="shared" ref="W79:W143" si="39">SUBTOTAL(9,P79:S79)</f>
        <v>0</v>
      </c>
      <c r="X79" s="906"/>
      <c r="Y79" s="906"/>
      <c r="Z79" s="913">
        <f t="shared" ref="Z79:Z143" si="40">W79-O79</f>
        <v>0</v>
      </c>
    </row>
    <row r="80" spans="1:26" ht="16.5" thickTop="1" thickBot="1" x14ac:dyDescent="0.3">
      <c r="A80" s="908">
        <v>1</v>
      </c>
      <c r="B80" s="909" t="s">
        <v>817</v>
      </c>
      <c r="C80" s="909" t="s">
        <v>817</v>
      </c>
      <c r="D80" s="909" t="s">
        <v>738</v>
      </c>
      <c r="E80" s="909" t="s">
        <v>742</v>
      </c>
      <c r="F80" s="909" t="s">
        <v>903</v>
      </c>
      <c r="G80" s="909" t="s">
        <v>742</v>
      </c>
      <c r="H80" s="909" t="s">
        <v>817</v>
      </c>
      <c r="I80" s="909"/>
      <c r="J80" s="909"/>
      <c r="K80" s="910" t="s">
        <v>906</v>
      </c>
      <c r="L80" s="911"/>
      <c r="M80" s="911"/>
      <c r="N80" s="911"/>
      <c r="O80" s="904">
        <f>+L80+M80-N80</f>
        <v>0</v>
      </c>
      <c r="P80" s="911"/>
      <c r="Q80" s="911"/>
      <c r="R80" s="911"/>
      <c r="S80" s="911"/>
      <c r="T80" s="911"/>
      <c r="U80" s="911"/>
      <c r="V80" s="905" t="e">
        <f t="shared" si="36"/>
        <v>#DIV/0!</v>
      </c>
      <c r="W80" s="911">
        <f t="shared" si="39"/>
        <v>0</v>
      </c>
      <c r="X80" s="906"/>
      <c r="Y80" s="906"/>
      <c r="Z80" s="843">
        <f t="shared" si="40"/>
        <v>0</v>
      </c>
    </row>
    <row r="81" spans="1:26" ht="16.5" thickTop="1" thickBot="1" x14ac:dyDescent="0.3">
      <c r="A81" s="908">
        <v>1</v>
      </c>
      <c r="B81" s="909" t="s">
        <v>817</v>
      </c>
      <c r="C81" s="909" t="s">
        <v>817</v>
      </c>
      <c r="D81" s="909" t="s">
        <v>738</v>
      </c>
      <c r="E81" s="909" t="s">
        <v>742</v>
      </c>
      <c r="F81" s="909" t="s">
        <v>903</v>
      </c>
      <c r="G81" s="909" t="s">
        <v>742</v>
      </c>
      <c r="H81" s="909" t="s">
        <v>734</v>
      </c>
      <c r="I81" s="909"/>
      <c r="J81" s="909"/>
      <c r="K81" s="910" t="s">
        <v>907</v>
      </c>
      <c r="L81" s="911"/>
      <c r="M81" s="911"/>
      <c r="N81" s="911"/>
      <c r="O81" s="904">
        <f>+L81+M81-N81</f>
        <v>0</v>
      </c>
      <c r="P81" s="911"/>
      <c r="Q81" s="911"/>
      <c r="R81" s="911"/>
      <c r="S81" s="911"/>
      <c r="T81" s="911"/>
      <c r="U81" s="911"/>
      <c r="V81" s="905" t="e">
        <f t="shared" si="36"/>
        <v>#DIV/0!</v>
      </c>
      <c r="W81" s="911">
        <f t="shared" si="39"/>
        <v>0</v>
      </c>
      <c r="X81" s="906"/>
      <c r="Y81" s="906"/>
      <c r="Z81" s="843">
        <f t="shared" si="40"/>
        <v>0</v>
      </c>
    </row>
    <row r="82" spans="1:26" ht="16.5" thickTop="1" thickBot="1" x14ac:dyDescent="0.3">
      <c r="A82" s="908">
        <v>1</v>
      </c>
      <c r="B82" s="909" t="s">
        <v>817</v>
      </c>
      <c r="C82" s="909" t="s">
        <v>817</v>
      </c>
      <c r="D82" s="909" t="s">
        <v>738</v>
      </c>
      <c r="E82" s="909" t="s">
        <v>742</v>
      </c>
      <c r="F82" s="909" t="s">
        <v>903</v>
      </c>
      <c r="G82" s="909" t="s">
        <v>742</v>
      </c>
      <c r="H82" s="909" t="s">
        <v>828</v>
      </c>
      <c r="I82" s="909"/>
      <c r="J82" s="909"/>
      <c r="K82" s="910" t="s">
        <v>908</v>
      </c>
      <c r="L82" s="911"/>
      <c r="M82" s="911"/>
      <c r="N82" s="911"/>
      <c r="O82" s="904">
        <f>+L82+M82-N82</f>
        <v>0</v>
      </c>
      <c r="P82" s="911"/>
      <c r="Q82" s="911"/>
      <c r="R82" s="911"/>
      <c r="S82" s="911"/>
      <c r="T82" s="911"/>
      <c r="U82" s="911"/>
      <c r="V82" s="905" t="e">
        <f t="shared" si="36"/>
        <v>#DIV/0!</v>
      </c>
      <c r="W82" s="911">
        <f t="shared" si="39"/>
        <v>0</v>
      </c>
      <c r="X82" s="906"/>
      <c r="Y82" s="906"/>
      <c r="Z82" s="843">
        <f t="shared" si="40"/>
        <v>0</v>
      </c>
    </row>
    <row r="83" spans="1:26" ht="16.5" thickTop="1" thickBot="1" x14ac:dyDescent="0.3">
      <c r="A83" s="901">
        <v>1</v>
      </c>
      <c r="B83" s="902" t="s">
        <v>817</v>
      </c>
      <c r="C83" s="902" t="s">
        <v>817</v>
      </c>
      <c r="D83" s="902" t="s">
        <v>738</v>
      </c>
      <c r="E83" s="902" t="s">
        <v>742</v>
      </c>
      <c r="F83" s="902" t="s">
        <v>903</v>
      </c>
      <c r="G83" s="902" t="s">
        <v>758</v>
      </c>
      <c r="H83" s="902"/>
      <c r="I83" s="902"/>
      <c r="J83" s="902"/>
      <c r="K83" s="903" t="s">
        <v>909</v>
      </c>
      <c r="L83" s="904">
        <f>SUM(L84:L86)</f>
        <v>0</v>
      </c>
      <c r="M83" s="904">
        <f t="shared" ref="M83:U83" si="41">SUM(M84:M86)</f>
        <v>0</v>
      </c>
      <c r="N83" s="904">
        <f t="shared" si="41"/>
        <v>0</v>
      </c>
      <c r="O83" s="904">
        <f t="shared" si="41"/>
        <v>0</v>
      </c>
      <c r="P83" s="904">
        <f t="shared" si="41"/>
        <v>0</v>
      </c>
      <c r="Q83" s="904">
        <f t="shared" si="41"/>
        <v>0</v>
      </c>
      <c r="R83" s="904">
        <f t="shared" si="41"/>
        <v>0</v>
      </c>
      <c r="S83" s="904">
        <f t="shared" si="41"/>
        <v>0</v>
      </c>
      <c r="T83" s="904">
        <f t="shared" si="41"/>
        <v>0</v>
      </c>
      <c r="U83" s="904">
        <f t="shared" si="41"/>
        <v>0</v>
      </c>
      <c r="V83" s="905" t="e">
        <f t="shared" si="36"/>
        <v>#DIV/0!</v>
      </c>
      <c r="W83" s="904">
        <f t="shared" si="39"/>
        <v>0</v>
      </c>
      <c r="X83" s="906"/>
      <c r="Y83" s="906"/>
      <c r="Z83" s="913">
        <f t="shared" si="40"/>
        <v>0</v>
      </c>
    </row>
    <row r="84" spans="1:26" ht="16.5" thickTop="1" thickBot="1" x14ac:dyDescent="0.3">
      <c r="A84" s="908">
        <v>1</v>
      </c>
      <c r="B84" s="909" t="s">
        <v>817</v>
      </c>
      <c r="C84" s="909" t="s">
        <v>817</v>
      </c>
      <c r="D84" s="909" t="s">
        <v>738</v>
      </c>
      <c r="E84" s="909" t="s">
        <v>742</v>
      </c>
      <c r="F84" s="909" t="s">
        <v>903</v>
      </c>
      <c r="G84" s="909" t="s">
        <v>758</v>
      </c>
      <c r="H84" s="909" t="s">
        <v>817</v>
      </c>
      <c r="I84" s="909"/>
      <c r="J84" s="909"/>
      <c r="K84" s="910" t="s">
        <v>910</v>
      </c>
      <c r="L84" s="911"/>
      <c r="M84" s="911"/>
      <c r="N84" s="911"/>
      <c r="O84" s="904">
        <f>+L84+M84-N84</f>
        <v>0</v>
      </c>
      <c r="P84" s="911"/>
      <c r="Q84" s="911"/>
      <c r="R84" s="911"/>
      <c r="S84" s="911"/>
      <c r="T84" s="911"/>
      <c r="U84" s="911"/>
      <c r="V84" s="905" t="e">
        <f t="shared" si="36"/>
        <v>#DIV/0!</v>
      </c>
      <c r="W84" s="911">
        <f t="shared" si="39"/>
        <v>0</v>
      </c>
      <c r="X84" s="906"/>
      <c r="Y84" s="906"/>
      <c r="Z84" s="843">
        <f t="shared" si="40"/>
        <v>0</v>
      </c>
    </row>
    <row r="85" spans="1:26" ht="16.5" thickTop="1" thickBot="1" x14ac:dyDescent="0.3">
      <c r="A85" s="908">
        <v>1</v>
      </c>
      <c r="B85" s="909" t="s">
        <v>817</v>
      </c>
      <c r="C85" s="909" t="s">
        <v>817</v>
      </c>
      <c r="D85" s="909" t="s">
        <v>738</v>
      </c>
      <c r="E85" s="909" t="s">
        <v>742</v>
      </c>
      <c r="F85" s="909" t="s">
        <v>903</v>
      </c>
      <c r="G85" s="909" t="s">
        <v>758</v>
      </c>
      <c r="H85" s="909" t="s">
        <v>734</v>
      </c>
      <c r="I85" s="909"/>
      <c r="J85" s="909"/>
      <c r="K85" s="910" t="s">
        <v>911</v>
      </c>
      <c r="L85" s="911"/>
      <c r="M85" s="911"/>
      <c r="N85" s="911"/>
      <c r="O85" s="904">
        <f>+L85+M85-N85</f>
        <v>0</v>
      </c>
      <c r="P85" s="911"/>
      <c r="Q85" s="911"/>
      <c r="R85" s="911"/>
      <c r="S85" s="911"/>
      <c r="T85" s="911"/>
      <c r="U85" s="911"/>
      <c r="V85" s="905" t="e">
        <f t="shared" si="36"/>
        <v>#DIV/0!</v>
      </c>
      <c r="W85" s="911">
        <f t="shared" si="39"/>
        <v>0</v>
      </c>
      <c r="X85" s="906"/>
      <c r="Y85" s="906"/>
      <c r="Z85" s="843">
        <f t="shared" si="40"/>
        <v>0</v>
      </c>
    </row>
    <row r="86" spans="1:26" ht="16.5" thickTop="1" thickBot="1" x14ac:dyDescent="0.3">
      <c r="A86" s="908">
        <v>1</v>
      </c>
      <c r="B86" s="909" t="s">
        <v>817</v>
      </c>
      <c r="C86" s="909" t="s">
        <v>817</v>
      </c>
      <c r="D86" s="909" t="s">
        <v>738</v>
      </c>
      <c r="E86" s="909" t="s">
        <v>742</v>
      </c>
      <c r="F86" s="909" t="s">
        <v>903</v>
      </c>
      <c r="G86" s="909" t="s">
        <v>758</v>
      </c>
      <c r="H86" s="909" t="s">
        <v>828</v>
      </c>
      <c r="I86" s="909"/>
      <c r="J86" s="909"/>
      <c r="K86" s="910" t="s">
        <v>912</v>
      </c>
      <c r="L86" s="911"/>
      <c r="M86" s="911"/>
      <c r="N86" s="911"/>
      <c r="O86" s="904">
        <f>+L86+M86-N86</f>
        <v>0</v>
      </c>
      <c r="P86" s="911"/>
      <c r="Q86" s="911"/>
      <c r="R86" s="911"/>
      <c r="S86" s="911"/>
      <c r="T86" s="911"/>
      <c r="U86" s="911"/>
      <c r="V86" s="905" t="e">
        <f t="shared" si="36"/>
        <v>#DIV/0!</v>
      </c>
      <c r="W86" s="911">
        <f t="shared" si="39"/>
        <v>0</v>
      </c>
      <c r="X86" s="906"/>
      <c r="Y86" s="906"/>
      <c r="Z86" s="843">
        <f t="shared" si="40"/>
        <v>0</v>
      </c>
    </row>
    <row r="87" spans="1:26" ht="16.5" thickTop="1" thickBot="1" x14ac:dyDescent="0.3">
      <c r="A87" s="901">
        <v>1</v>
      </c>
      <c r="B87" s="902" t="s">
        <v>817</v>
      </c>
      <c r="C87" s="902" t="s">
        <v>817</v>
      </c>
      <c r="D87" s="902" t="s">
        <v>738</v>
      </c>
      <c r="E87" s="902" t="s">
        <v>742</v>
      </c>
      <c r="F87" s="902" t="s">
        <v>903</v>
      </c>
      <c r="G87" s="902" t="s">
        <v>841</v>
      </c>
      <c r="H87" s="902"/>
      <c r="I87" s="902"/>
      <c r="J87" s="902"/>
      <c r="K87" s="903" t="s">
        <v>913</v>
      </c>
      <c r="L87" s="904">
        <f>SUM(L88:L90)</f>
        <v>0</v>
      </c>
      <c r="M87" s="904">
        <f t="shared" ref="M87:U87" si="42">SUM(M88:M90)</f>
        <v>0</v>
      </c>
      <c r="N87" s="904">
        <f t="shared" si="42"/>
        <v>0</v>
      </c>
      <c r="O87" s="904">
        <f t="shared" si="42"/>
        <v>0</v>
      </c>
      <c r="P87" s="904">
        <f t="shared" si="42"/>
        <v>0</v>
      </c>
      <c r="Q87" s="904">
        <f t="shared" si="42"/>
        <v>0</v>
      </c>
      <c r="R87" s="904">
        <f t="shared" si="42"/>
        <v>0</v>
      </c>
      <c r="S87" s="904">
        <f t="shared" si="42"/>
        <v>0</v>
      </c>
      <c r="T87" s="904">
        <f t="shared" si="42"/>
        <v>0</v>
      </c>
      <c r="U87" s="904">
        <f t="shared" si="42"/>
        <v>0</v>
      </c>
      <c r="V87" s="905" t="e">
        <f t="shared" si="36"/>
        <v>#DIV/0!</v>
      </c>
      <c r="W87" s="904">
        <f t="shared" si="39"/>
        <v>0</v>
      </c>
      <c r="X87" s="906"/>
      <c r="Y87" s="906"/>
      <c r="Z87" s="913">
        <f t="shared" si="40"/>
        <v>0</v>
      </c>
    </row>
    <row r="88" spans="1:26" ht="16.5" thickTop="1" thickBot="1" x14ac:dyDescent="0.3">
      <c r="A88" s="908">
        <v>1</v>
      </c>
      <c r="B88" s="909" t="s">
        <v>817</v>
      </c>
      <c r="C88" s="909" t="s">
        <v>817</v>
      </c>
      <c r="D88" s="909" t="s">
        <v>738</v>
      </c>
      <c r="E88" s="909" t="s">
        <v>742</v>
      </c>
      <c r="F88" s="909" t="s">
        <v>903</v>
      </c>
      <c r="G88" s="909" t="s">
        <v>841</v>
      </c>
      <c r="H88" s="909" t="s">
        <v>817</v>
      </c>
      <c r="I88" s="902"/>
      <c r="J88" s="902"/>
      <c r="K88" s="910" t="s">
        <v>914</v>
      </c>
      <c r="L88" s="904"/>
      <c r="M88" s="904"/>
      <c r="N88" s="904"/>
      <c r="O88" s="904">
        <f>+L88+M88-N88</f>
        <v>0</v>
      </c>
      <c r="P88" s="904"/>
      <c r="Q88" s="904"/>
      <c r="R88" s="904"/>
      <c r="S88" s="904"/>
      <c r="T88" s="904"/>
      <c r="U88" s="904"/>
      <c r="V88" s="905" t="e">
        <f t="shared" si="36"/>
        <v>#DIV/0!</v>
      </c>
      <c r="W88" s="904">
        <f t="shared" si="39"/>
        <v>0</v>
      </c>
      <c r="X88" s="906"/>
      <c r="Y88" s="906"/>
      <c r="Z88" s="913">
        <f t="shared" si="40"/>
        <v>0</v>
      </c>
    </row>
    <row r="89" spans="1:26" ht="16.5" thickTop="1" thickBot="1" x14ac:dyDescent="0.3">
      <c r="A89" s="908">
        <v>1</v>
      </c>
      <c r="B89" s="909" t="s">
        <v>817</v>
      </c>
      <c r="C89" s="909" t="s">
        <v>817</v>
      </c>
      <c r="D89" s="909" t="s">
        <v>738</v>
      </c>
      <c r="E89" s="909" t="s">
        <v>742</v>
      </c>
      <c r="F89" s="909" t="s">
        <v>903</v>
      </c>
      <c r="G89" s="909" t="s">
        <v>841</v>
      </c>
      <c r="H89" s="909" t="s">
        <v>734</v>
      </c>
      <c r="I89" s="902"/>
      <c r="J89" s="902"/>
      <c r="K89" s="910" t="s">
        <v>915</v>
      </c>
      <c r="L89" s="904"/>
      <c r="M89" s="904"/>
      <c r="N89" s="904"/>
      <c r="O89" s="904">
        <f>+L89+M89-N89</f>
        <v>0</v>
      </c>
      <c r="P89" s="904"/>
      <c r="Q89" s="904"/>
      <c r="R89" s="904"/>
      <c r="S89" s="904"/>
      <c r="T89" s="904"/>
      <c r="U89" s="904"/>
      <c r="V89" s="905" t="e">
        <f t="shared" si="36"/>
        <v>#DIV/0!</v>
      </c>
      <c r="W89" s="904">
        <f t="shared" si="39"/>
        <v>0</v>
      </c>
      <c r="X89" s="906"/>
      <c r="Y89" s="906"/>
      <c r="Z89" s="913">
        <f t="shared" si="40"/>
        <v>0</v>
      </c>
    </row>
    <row r="90" spans="1:26" ht="16.5" thickTop="1" thickBot="1" x14ac:dyDescent="0.3">
      <c r="A90" s="908">
        <v>1</v>
      </c>
      <c r="B90" s="909" t="s">
        <v>817</v>
      </c>
      <c r="C90" s="909" t="s">
        <v>817</v>
      </c>
      <c r="D90" s="909" t="s">
        <v>738</v>
      </c>
      <c r="E90" s="909" t="s">
        <v>742</v>
      </c>
      <c r="F90" s="909" t="s">
        <v>903</v>
      </c>
      <c r="G90" s="909" t="s">
        <v>841</v>
      </c>
      <c r="H90" s="909" t="s">
        <v>828</v>
      </c>
      <c r="I90" s="902"/>
      <c r="J90" s="902"/>
      <c r="K90" s="910" t="s">
        <v>916</v>
      </c>
      <c r="L90" s="904"/>
      <c r="M90" s="904"/>
      <c r="N90" s="904"/>
      <c r="O90" s="904">
        <f>+L90+M90-N90</f>
        <v>0</v>
      </c>
      <c r="P90" s="904"/>
      <c r="Q90" s="904"/>
      <c r="R90" s="904"/>
      <c r="S90" s="904"/>
      <c r="T90" s="904"/>
      <c r="U90" s="904"/>
      <c r="V90" s="905" t="e">
        <f t="shared" si="36"/>
        <v>#DIV/0!</v>
      </c>
      <c r="W90" s="904">
        <f t="shared" si="39"/>
        <v>0</v>
      </c>
      <c r="X90" s="906"/>
      <c r="Y90" s="906"/>
      <c r="Z90" s="913">
        <f t="shared" si="40"/>
        <v>0</v>
      </c>
    </row>
    <row r="91" spans="1:26" ht="16.5" thickTop="1" thickBot="1" x14ac:dyDescent="0.3">
      <c r="A91" s="908">
        <v>1</v>
      </c>
      <c r="B91" s="909" t="s">
        <v>817</v>
      </c>
      <c r="C91" s="909" t="s">
        <v>817</v>
      </c>
      <c r="D91" s="909" t="s">
        <v>738</v>
      </c>
      <c r="E91" s="909" t="s">
        <v>742</v>
      </c>
      <c r="F91" s="909" t="s">
        <v>903</v>
      </c>
      <c r="G91" s="909" t="s">
        <v>917</v>
      </c>
      <c r="H91" s="909"/>
      <c r="I91" s="902"/>
      <c r="J91" s="902"/>
      <c r="K91" s="910" t="s">
        <v>918</v>
      </c>
      <c r="L91" s="904">
        <f>SUM(L92:L94)</f>
        <v>0</v>
      </c>
      <c r="M91" s="904">
        <f t="shared" ref="M91:U91" si="43">SUM(M92:M94)</f>
        <v>0</v>
      </c>
      <c r="N91" s="904">
        <f t="shared" si="43"/>
        <v>0</v>
      </c>
      <c r="O91" s="904">
        <f t="shared" si="43"/>
        <v>0</v>
      </c>
      <c r="P91" s="904">
        <f t="shared" si="43"/>
        <v>0</v>
      </c>
      <c r="Q91" s="904">
        <f t="shared" si="43"/>
        <v>0</v>
      </c>
      <c r="R91" s="904">
        <f t="shared" si="43"/>
        <v>0</v>
      </c>
      <c r="S91" s="904">
        <f t="shared" si="43"/>
        <v>0</v>
      </c>
      <c r="T91" s="904">
        <f t="shared" si="43"/>
        <v>0</v>
      </c>
      <c r="U91" s="904">
        <f t="shared" si="43"/>
        <v>0</v>
      </c>
      <c r="V91" s="905" t="e">
        <f t="shared" si="36"/>
        <v>#DIV/0!</v>
      </c>
      <c r="W91" s="904">
        <f t="shared" si="39"/>
        <v>0</v>
      </c>
      <c r="X91" s="906"/>
      <c r="Y91" s="906"/>
      <c r="Z91" s="913">
        <f t="shared" si="40"/>
        <v>0</v>
      </c>
    </row>
    <row r="92" spans="1:26" ht="16.5" thickTop="1" thickBot="1" x14ac:dyDescent="0.3">
      <c r="A92" s="908">
        <v>1</v>
      </c>
      <c r="B92" s="909" t="s">
        <v>817</v>
      </c>
      <c r="C92" s="909" t="s">
        <v>817</v>
      </c>
      <c r="D92" s="909" t="s">
        <v>738</v>
      </c>
      <c r="E92" s="909" t="s">
        <v>742</v>
      </c>
      <c r="F92" s="909" t="s">
        <v>903</v>
      </c>
      <c r="G92" s="909" t="s">
        <v>917</v>
      </c>
      <c r="H92" s="909" t="s">
        <v>817</v>
      </c>
      <c r="I92" s="902"/>
      <c r="J92" s="902"/>
      <c r="K92" s="910" t="s">
        <v>919</v>
      </c>
      <c r="L92" s="904">
        <v>0</v>
      </c>
      <c r="M92" s="904"/>
      <c r="N92" s="904"/>
      <c r="O92" s="904">
        <f>+L92+M92-N92</f>
        <v>0</v>
      </c>
      <c r="P92" s="904"/>
      <c r="Q92" s="904"/>
      <c r="R92" s="904"/>
      <c r="S92" s="904"/>
      <c r="T92" s="904"/>
      <c r="U92" s="904"/>
      <c r="V92" s="905" t="e">
        <f t="shared" si="36"/>
        <v>#DIV/0!</v>
      </c>
      <c r="W92" s="904">
        <f t="shared" si="39"/>
        <v>0</v>
      </c>
      <c r="X92" s="906"/>
      <c r="Y92" s="906"/>
      <c r="Z92" s="913">
        <f t="shared" si="40"/>
        <v>0</v>
      </c>
    </row>
    <row r="93" spans="1:26" ht="16.5" thickTop="1" thickBot="1" x14ac:dyDescent="0.3">
      <c r="A93" s="908">
        <v>1</v>
      </c>
      <c r="B93" s="909" t="s">
        <v>817</v>
      </c>
      <c r="C93" s="909" t="s">
        <v>817</v>
      </c>
      <c r="D93" s="909" t="s">
        <v>738</v>
      </c>
      <c r="E93" s="909" t="s">
        <v>742</v>
      </c>
      <c r="F93" s="909" t="s">
        <v>903</v>
      </c>
      <c r="G93" s="909" t="s">
        <v>917</v>
      </c>
      <c r="H93" s="909" t="s">
        <v>734</v>
      </c>
      <c r="I93" s="902"/>
      <c r="J93" s="902"/>
      <c r="K93" s="910" t="s">
        <v>920</v>
      </c>
      <c r="L93" s="904"/>
      <c r="M93" s="904"/>
      <c r="N93" s="904"/>
      <c r="O93" s="904">
        <f>+L93+M93-N93</f>
        <v>0</v>
      </c>
      <c r="P93" s="904"/>
      <c r="Q93" s="904"/>
      <c r="R93" s="904"/>
      <c r="S93" s="904"/>
      <c r="T93" s="904"/>
      <c r="U93" s="904"/>
      <c r="V93" s="905" t="e">
        <f t="shared" si="36"/>
        <v>#DIV/0!</v>
      </c>
      <c r="W93" s="904">
        <f t="shared" si="39"/>
        <v>0</v>
      </c>
      <c r="X93" s="906"/>
      <c r="Y93" s="906"/>
      <c r="Z93" s="913">
        <f t="shared" si="40"/>
        <v>0</v>
      </c>
    </row>
    <row r="94" spans="1:26" ht="16.5" thickTop="1" thickBot="1" x14ac:dyDescent="0.3">
      <c r="A94" s="908">
        <v>1</v>
      </c>
      <c r="B94" s="909" t="s">
        <v>817</v>
      </c>
      <c r="C94" s="909" t="s">
        <v>817</v>
      </c>
      <c r="D94" s="909" t="s">
        <v>738</v>
      </c>
      <c r="E94" s="909" t="s">
        <v>742</v>
      </c>
      <c r="F94" s="909" t="s">
        <v>903</v>
      </c>
      <c r="G94" s="909" t="s">
        <v>917</v>
      </c>
      <c r="H94" s="909" t="s">
        <v>828</v>
      </c>
      <c r="I94" s="902"/>
      <c r="J94" s="902"/>
      <c r="K94" s="910" t="s">
        <v>921</v>
      </c>
      <c r="L94" s="904"/>
      <c r="M94" s="904"/>
      <c r="N94" s="904"/>
      <c r="O94" s="904">
        <f>+L94+M94-N94</f>
        <v>0</v>
      </c>
      <c r="P94" s="904"/>
      <c r="Q94" s="904"/>
      <c r="R94" s="904"/>
      <c r="S94" s="904"/>
      <c r="T94" s="904"/>
      <c r="U94" s="904"/>
      <c r="V94" s="905" t="e">
        <f t="shared" si="36"/>
        <v>#DIV/0!</v>
      </c>
      <c r="W94" s="904">
        <f t="shared" si="39"/>
        <v>0</v>
      </c>
      <c r="X94" s="906"/>
      <c r="Y94" s="906"/>
      <c r="Z94" s="913">
        <f t="shared" si="40"/>
        <v>0</v>
      </c>
    </row>
    <row r="95" spans="1:26" ht="16.5" thickTop="1" thickBot="1" x14ac:dyDescent="0.3">
      <c r="A95" s="901">
        <v>1</v>
      </c>
      <c r="B95" s="902" t="s">
        <v>817</v>
      </c>
      <c r="C95" s="902" t="s">
        <v>817</v>
      </c>
      <c r="D95" s="902" t="s">
        <v>738</v>
      </c>
      <c r="E95" s="902" t="s">
        <v>742</v>
      </c>
      <c r="F95" s="902" t="s">
        <v>903</v>
      </c>
      <c r="G95" s="902" t="s">
        <v>922</v>
      </c>
      <c r="H95" s="902"/>
      <c r="I95" s="902"/>
      <c r="J95" s="902"/>
      <c r="K95" s="903" t="s">
        <v>923</v>
      </c>
      <c r="L95" s="904">
        <f>SUM(L96:L99)</f>
        <v>120000000</v>
      </c>
      <c r="M95" s="904">
        <f t="shared" ref="M95:N95" si="44">SUM(M96:M98)</f>
        <v>0</v>
      </c>
      <c r="N95" s="904">
        <f t="shared" si="44"/>
        <v>0</v>
      </c>
      <c r="O95" s="904">
        <f t="shared" ref="O95:T95" si="45">SUM(O96:O99)</f>
        <v>120000000</v>
      </c>
      <c r="P95" s="904">
        <f t="shared" si="45"/>
        <v>110000000</v>
      </c>
      <c r="Q95" s="904">
        <f t="shared" si="45"/>
        <v>0</v>
      </c>
      <c r="R95" s="904">
        <f t="shared" si="45"/>
        <v>10000000</v>
      </c>
      <c r="S95" s="904">
        <f t="shared" si="45"/>
        <v>0</v>
      </c>
      <c r="T95" s="904">
        <f t="shared" si="45"/>
        <v>132534576.66</v>
      </c>
      <c r="U95" s="904">
        <f>SUM(U96:U99)</f>
        <v>132534576.66</v>
      </c>
      <c r="V95" s="905">
        <f>U95/T95</f>
        <v>1</v>
      </c>
      <c r="W95" s="904"/>
      <c r="X95" s="906"/>
      <c r="Y95" s="906"/>
      <c r="Z95" s="913"/>
    </row>
    <row r="96" spans="1:26" ht="16.5" thickTop="1" thickBot="1" x14ac:dyDescent="0.3">
      <c r="A96" s="908">
        <v>1</v>
      </c>
      <c r="B96" s="909" t="s">
        <v>817</v>
      </c>
      <c r="C96" s="909" t="s">
        <v>817</v>
      </c>
      <c r="D96" s="909" t="s">
        <v>738</v>
      </c>
      <c r="E96" s="909" t="s">
        <v>742</v>
      </c>
      <c r="F96" s="909" t="s">
        <v>903</v>
      </c>
      <c r="G96" s="909" t="s">
        <v>922</v>
      </c>
      <c r="H96" s="909" t="s">
        <v>817</v>
      </c>
      <c r="I96" s="902"/>
      <c r="J96" s="902"/>
      <c r="K96" s="910" t="s">
        <v>924</v>
      </c>
      <c r="L96" s="904">
        <v>20000000</v>
      </c>
      <c r="M96" s="904">
        <v>0</v>
      </c>
      <c r="N96" s="904">
        <v>0</v>
      </c>
      <c r="O96" s="904">
        <f>+L96+M96-N96</f>
        <v>20000000</v>
      </c>
      <c r="P96" s="904">
        <f>O96*90%</f>
        <v>18000000</v>
      </c>
      <c r="Q96" s="911">
        <v>0</v>
      </c>
      <c r="R96" s="911">
        <f>O96*10%</f>
        <v>2000000</v>
      </c>
      <c r="S96" s="904">
        <v>0</v>
      </c>
      <c r="T96" s="911">
        <v>0</v>
      </c>
      <c r="U96" s="911">
        <v>0</v>
      </c>
      <c r="V96" s="905" t="e">
        <f>U96/T96</f>
        <v>#DIV/0!</v>
      </c>
      <c r="W96" s="904"/>
      <c r="X96" s="906"/>
      <c r="Y96" s="906"/>
      <c r="Z96" s="913"/>
    </row>
    <row r="97" spans="1:26" ht="16.5" thickTop="1" thickBot="1" x14ac:dyDescent="0.3">
      <c r="A97" s="908">
        <v>1</v>
      </c>
      <c r="B97" s="909" t="s">
        <v>817</v>
      </c>
      <c r="C97" s="909" t="s">
        <v>817</v>
      </c>
      <c r="D97" s="909" t="s">
        <v>738</v>
      </c>
      <c r="E97" s="909" t="s">
        <v>742</v>
      </c>
      <c r="F97" s="909" t="s">
        <v>903</v>
      </c>
      <c r="G97" s="909" t="s">
        <v>922</v>
      </c>
      <c r="H97" s="909" t="s">
        <v>734</v>
      </c>
      <c r="I97" s="902"/>
      <c r="J97" s="902"/>
      <c r="K97" s="910" t="s">
        <v>925</v>
      </c>
      <c r="L97" s="904"/>
      <c r="M97" s="904"/>
      <c r="N97" s="904"/>
      <c r="O97" s="904">
        <f>+L97+M97-N97</f>
        <v>0</v>
      </c>
      <c r="P97" s="904"/>
      <c r="Q97" s="904"/>
      <c r="R97" s="904"/>
      <c r="S97" s="904"/>
      <c r="T97" s="904"/>
      <c r="U97" s="904"/>
      <c r="V97" s="905" t="e">
        <f t="shared" ref="V97:V99" si="46">U97/T97</f>
        <v>#DIV/0!</v>
      </c>
      <c r="W97" s="904"/>
      <c r="X97" s="906"/>
      <c r="Y97" s="906"/>
      <c r="Z97" s="913"/>
    </row>
    <row r="98" spans="1:26" ht="16.5" thickTop="1" thickBot="1" x14ac:dyDescent="0.3">
      <c r="A98" s="908">
        <v>1</v>
      </c>
      <c r="B98" s="909" t="s">
        <v>817</v>
      </c>
      <c r="C98" s="909" t="s">
        <v>817</v>
      </c>
      <c r="D98" s="909" t="s">
        <v>738</v>
      </c>
      <c r="E98" s="909" t="s">
        <v>742</v>
      </c>
      <c r="F98" s="909" t="s">
        <v>903</v>
      </c>
      <c r="G98" s="909" t="s">
        <v>922</v>
      </c>
      <c r="H98" s="909" t="s">
        <v>828</v>
      </c>
      <c r="I98" s="902"/>
      <c r="J98" s="902"/>
      <c r="K98" s="910" t="s">
        <v>926</v>
      </c>
      <c r="L98" s="904">
        <v>80000000</v>
      </c>
      <c r="M98" s="904"/>
      <c r="N98" s="904"/>
      <c r="O98" s="904">
        <f>+L98+M98-N98</f>
        <v>80000000</v>
      </c>
      <c r="P98" s="904">
        <f>O98*90%</f>
        <v>72000000</v>
      </c>
      <c r="Q98" s="904"/>
      <c r="R98" s="904">
        <f>O98*10%</f>
        <v>8000000</v>
      </c>
      <c r="S98" s="904"/>
      <c r="T98" s="904">
        <v>132534576.66</v>
      </c>
      <c r="U98" s="904">
        <v>132534576.66</v>
      </c>
      <c r="V98" s="905">
        <f t="shared" si="46"/>
        <v>1</v>
      </c>
      <c r="W98" s="904"/>
      <c r="X98" s="906"/>
      <c r="Y98" s="906"/>
      <c r="Z98" s="913"/>
    </row>
    <row r="99" spans="1:26" ht="16.5" thickTop="1" thickBot="1" x14ac:dyDescent="0.3">
      <c r="A99" s="908"/>
      <c r="B99" s="909"/>
      <c r="C99" s="909"/>
      <c r="D99" s="909"/>
      <c r="E99" s="909"/>
      <c r="F99" s="909"/>
      <c r="G99" s="909"/>
      <c r="H99" s="909"/>
      <c r="I99" s="902"/>
      <c r="J99" s="902"/>
      <c r="K99" s="910" t="s">
        <v>1730</v>
      </c>
      <c r="L99" s="904">
        <v>20000000</v>
      </c>
      <c r="M99" s="904"/>
      <c r="N99" s="904"/>
      <c r="O99" s="904">
        <f>L99</f>
        <v>20000000</v>
      </c>
      <c r="P99" s="904">
        <f>O99*100%</f>
        <v>20000000</v>
      </c>
      <c r="Q99" s="904"/>
      <c r="R99" s="904"/>
      <c r="S99" s="904"/>
      <c r="T99" s="904"/>
      <c r="U99" s="904"/>
      <c r="V99" s="905" t="e">
        <f t="shared" si="46"/>
        <v>#DIV/0!</v>
      </c>
      <c r="W99" s="904"/>
      <c r="X99" s="906"/>
      <c r="Y99" s="906"/>
      <c r="Z99" s="913"/>
    </row>
    <row r="100" spans="1:26" ht="16.5" thickTop="1" thickBot="1" x14ac:dyDescent="0.3">
      <c r="A100" s="908">
        <v>1</v>
      </c>
      <c r="B100" s="909" t="s">
        <v>817</v>
      </c>
      <c r="C100" s="909" t="s">
        <v>817</v>
      </c>
      <c r="D100" s="909" t="s">
        <v>738</v>
      </c>
      <c r="E100" s="909" t="s">
        <v>742</v>
      </c>
      <c r="F100" s="909" t="s">
        <v>927</v>
      </c>
      <c r="G100" s="909"/>
      <c r="H100" s="909"/>
      <c r="I100" s="909"/>
      <c r="J100" s="909"/>
      <c r="K100" s="910" t="s">
        <v>771</v>
      </c>
      <c r="L100" s="911">
        <v>200000000</v>
      </c>
      <c r="M100" s="911">
        <v>0</v>
      </c>
      <c r="N100" s="911"/>
      <c r="O100" s="904">
        <f>+L100+M100-N100</f>
        <v>200000000</v>
      </c>
      <c r="P100" s="911">
        <f>O100*100%</f>
        <v>200000000</v>
      </c>
      <c r="Q100" s="911">
        <v>0</v>
      </c>
      <c r="R100" s="911">
        <v>0</v>
      </c>
      <c r="S100" s="911"/>
      <c r="T100" s="911">
        <v>24953999.66</v>
      </c>
      <c r="U100" s="911">
        <v>24953999.66</v>
      </c>
      <c r="V100" s="905">
        <f>U100/T100</f>
        <v>1</v>
      </c>
      <c r="W100" s="911"/>
      <c r="X100" s="906"/>
      <c r="Y100" s="906"/>
      <c r="Z100" s="843"/>
    </row>
    <row r="101" spans="1:26" ht="16.5" thickTop="1" thickBot="1" x14ac:dyDescent="0.3">
      <c r="A101" s="908">
        <v>1</v>
      </c>
      <c r="B101" s="909" t="s">
        <v>817</v>
      </c>
      <c r="C101" s="909" t="s">
        <v>817</v>
      </c>
      <c r="D101" s="909" t="s">
        <v>738</v>
      </c>
      <c r="E101" s="909" t="s">
        <v>841</v>
      </c>
      <c r="F101" s="909"/>
      <c r="G101" s="909"/>
      <c r="H101" s="909"/>
      <c r="I101" s="909"/>
      <c r="J101" s="909"/>
      <c r="K101" s="910" t="s">
        <v>928</v>
      </c>
      <c r="L101" s="911">
        <f>+L102+L147</f>
        <v>0</v>
      </c>
      <c r="M101" s="911">
        <f t="shared" ref="M101:V101" si="47">+M102+M147</f>
        <v>0</v>
      </c>
      <c r="N101" s="911">
        <f t="shared" si="47"/>
        <v>0</v>
      </c>
      <c r="O101" s="911">
        <f t="shared" si="47"/>
        <v>0</v>
      </c>
      <c r="P101" s="911">
        <f t="shared" si="47"/>
        <v>0</v>
      </c>
      <c r="Q101" s="911">
        <f t="shared" si="47"/>
        <v>0</v>
      </c>
      <c r="R101" s="911">
        <f t="shared" si="47"/>
        <v>0</v>
      </c>
      <c r="S101" s="911">
        <f t="shared" si="47"/>
        <v>0</v>
      </c>
      <c r="T101" s="911">
        <f t="shared" si="47"/>
        <v>0</v>
      </c>
      <c r="U101" s="911">
        <f t="shared" si="47"/>
        <v>0</v>
      </c>
      <c r="V101" s="911">
        <f t="shared" si="47"/>
        <v>0</v>
      </c>
      <c r="W101" s="911">
        <f t="shared" si="39"/>
        <v>0</v>
      </c>
      <c r="X101" s="906"/>
      <c r="Y101" s="906"/>
      <c r="Z101" s="843">
        <f t="shared" si="40"/>
        <v>0</v>
      </c>
    </row>
    <row r="102" spans="1:26" ht="16.5" thickTop="1" thickBot="1" x14ac:dyDescent="0.3">
      <c r="A102" s="908">
        <v>1</v>
      </c>
      <c r="B102" s="909" t="s">
        <v>817</v>
      </c>
      <c r="C102" s="909" t="s">
        <v>817</v>
      </c>
      <c r="D102" s="909" t="s">
        <v>738</v>
      </c>
      <c r="E102" s="909" t="s">
        <v>841</v>
      </c>
      <c r="F102" s="909" t="s">
        <v>903</v>
      </c>
      <c r="G102" s="909"/>
      <c r="H102" s="909"/>
      <c r="I102" s="909"/>
      <c r="J102" s="909"/>
      <c r="K102" s="910" t="s">
        <v>929</v>
      </c>
      <c r="L102" s="911">
        <f>+L103+L107+L111+L115+L119+L123+L127+L131+L135+L139+L143</f>
        <v>0</v>
      </c>
      <c r="M102" s="911">
        <f t="shared" ref="M102:V102" si="48">+M103+M107+M111+M115+M119+M123+M127+M131+M135+M139+M143</f>
        <v>0</v>
      </c>
      <c r="N102" s="911">
        <f t="shared" si="48"/>
        <v>0</v>
      </c>
      <c r="O102" s="911">
        <f t="shared" si="48"/>
        <v>0</v>
      </c>
      <c r="P102" s="911">
        <f t="shared" si="48"/>
        <v>0</v>
      </c>
      <c r="Q102" s="911">
        <f t="shared" si="48"/>
        <v>0</v>
      </c>
      <c r="R102" s="911">
        <f t="shared" si="48"/>
        <v>0</v>
      </c>
      <c r="S102" s="911">
        <f t="shared" si="48"/>
        <v>0</v>
      </c>
      <c r="T102" s="911">
        <f t="shared" si="48"/>
        <v>0</v>
      </c>
      <c r="U102" s="911">
        <f t="shared" si="48"/>
        <v>0</v>
      </c>
      <c r="V102" s="911">
        <f t="shared" si="48"/>
        <v>0</v>
      </c>
      <c r="W102" s="911">
        <f t="shared" si="39"/>
        <v>0</v>
      </c>
      <c r="X102" s="906"/>
      <c r="Y102" s="906"/>
      <c r="Z102" s="843">
        <f t="shared" si="40"/>
        <v>0</v>
      </c>
    </row>
    <row r="103" spans="1:26" ht="16.5" thickTop="1" thickBot="1" x14ac:dyDescent="0.3">
      <c r="A103" s="908">
        <v>1</v>
      </c>
      <c r="B103" s="909" t="s">
        <v>817</v>
      </c>
      <c r="C103" s="909" t="s">
        <v>817</v>
      </c>
      <c r="D103" s="909" t="s">
        <v>738</v>
      </c>
      <c r="E103" s="909" t="s">
        <v>841</v>
      </c>
      <c r="F103" s="909" t="s">
        <v>903</v>
      </c>
      <c r="G103" s="909" t="s">
        <v>930</v>
      </c>
      <c r="H103" s="909"/>
      <c r="I103" s="909"/>
      <c r="J103" s="909"/>
      <c r="K103" s="910" t="s">
        <v>931</v>
      </c>
      <c r="L103" s="911">
        <f>SUM(L104:L106)</f>
        <v>0</v>
      </c>
      <c r="M103" s="911">
        <f t="shared" ref="M103:V103" si="49">SUM(M104:M106)</f>
        <v>0</v>
      </c>
      <c r="N103" s="911">
        <f t="shared" si="49"/>
        <v>0</v>
      </c>
      <c r="O103" s="911">
        <f t="shared" si="49"/>
        <v>0</v>
      </c>
      <c r="P103" s="911">
        <f t="shared" si="49"/>
        <v>0</v>
      </c>
      <c r="Q103" s="911">
        <f t="shared" si="49"/>
        <v>0</v>
      </c>
      <c r="R103" s="911">
        <f t="shared" si="49"/>
        <v>0</v>
      </c>
      <c r="S103" s="911">
        <f t="shared" si="49"/>
        <v>0</v>
      </c>
      <c r="T103" s="911">
        <f t="shared" si="49"/>
        <v>0</v>
      </c>
      <c r="U103" s="911">
        <f t="shared" si="49"/>
        <v>0</v>
      </c>
      <c r="V103" s="911">
        <f t="shared" si="49"/>
        <v>0</v>
      </c>
      <c r="W103" s="911">
        <f t="shared" si="39"/>
        <v>0</v>
      </c>
      <c r="X103" s="906"/>
      <c r="Y103" s="906"/>
      <c r="Z103" s="843">
        <f t="shared" si="40"/>
        <v>0</v>
      </c>
    </row>
    <row r="104" spans="1:26" ht="24" thickTop="1" thickBot="1" x14ac:dyDescent="0.3">
      <c r="A104" s="908">
        <v>1</v>
      </c>
      <c r="B104" s="909" t="s">
        <v>817</v>
      </c>
      <c r="C104" s="909" t="s">
        <v>817</v>
      </c>
      <c r="D104" s="909" t="s">
        <v>738</v>
      </c>
      <c r="E104" s="909" t="s">
        <v>841</v>
      </c>
      <c r="F104" s="909" t="s">
        <v>903</v>
      </c>
      <c r="G104" s="909" t="s">
        <v>930</v>
      </c>
      <c r="H104" s="909" t="s">
        <v>817</v>
      </c>
      <c r="I104" s="909"/>
      <c r="J104" s="909"/>
      <c r="K104" s="910" t="s">
        <v>932</v>
      </c>
      <c r="L104" s="911"/>
      <c r="M104" s="911"/>
      <c r="N104" s="911"/>
      <c r="O104" s="904">
        <f>+L104+M104-N104</f>
        <v>0</v>
      </c>
      <c r="P104" s="911"/>
      <c r="Q104" s="911"/>
      <c r="R104" s="911"/>
      <c r="S104" s="911"/>
      <c r="T104" s="911"/>
      <c r="U104" s="911"/>
      <c r="V104" s="911"/>
      <c r="W104" s="911">
        <f t="shared" si="39"/>
        <v>0</v>
      </c>
      <c r="X104" s="906"/>
      <c r="Y104" s="906"/>
      <c r="Z104" s="843">
        <f t="shared" si="40"/>
        <v>0</v>
      </c>
    </row>
    <row r="105" spans="1:26" ht="24" thickTop="1" thickBot="1" x14ac:dyDescent="0.3">
      <c r="A105" s="908">
        <v>1</v>
      </c>
      <c r="B105" s="909" t="s">
        <v>817</v>
      </c>
      <c r="C105" s="909" t="s">
        <v>817</v>
      </c>
      <c r="D105" s="909" t="s">
        <v>738</v>
      </c>
      <c r="E105" s="909" t="s">
        <v>841</v>
      </c>
      <c r="F105" s="909" t="s">
        <v>903</v>
      </c>
      <c r="G105" s="909" t="s">
        <v>930</v>
      </c>
      <c r="H105" s="909" t="s">
        <v>734</v>
      </c>
      <c r="I105" s="909"/>
      <c r="J105" s="909"/>
      <c r="K105" s="910" t="s">
        <v>933</v>
      </c>
      <c r="L105" s="911"/>
      <c r="M105" s="911"/>
      <c r="N105" s="911"/>
      <c r="O105" s="904">
        <f>+L105+M105-N105</f>
        <v>0</v>
      </c>
      <c r="P105" s="911"/>
      <c r="Q105" s="911"/>
      <c r="R105" s="911"/>
      <c r="S105" s="911"/>
      <c r="T105" s="911"/>
      <c r="U105" s="911"/>
      <c r="V105" s="911"/>
      <c r="W105" s="911">
        <f t="shared" si="39"/>
        <v>0</v>
      </c>
      <c r="X105" s="906"/>
      <c r="Y105" s="906"/>
      <c r="Z105" s="843">
        <f t="shared" si="40"/>
        <v>0</v>
      </c>
    </row>
    <row r="106" spans="1:26" ht="24" thickTop="1" thickBot="1" x14ac:dyDescent="0.3">
      <c r="A106" s="908">
        <v>1</v>
      </c>
      <c r="B106" s="909" t="s">
        <v>817</v>
      </c>
      <c r="C106" s="909" t="s">
        <v>817</v>
      </c>
      <c r="D106" s="909" t="s">
        <v>738</v>
      </c>
      <c r="E106" s="909" t="s">
        <v>841</v>
      </c>
      <c r="F106" s="909" t="s">
        <v>903</v>
      </c>
      <c r="G106" s="909" t="s">
        <v>930</v>
      </c>
      <c r="H106" s="909" t="s">
        <v>828</v>
      </c>
      <c r="I106" s="909"/>
      <c r="J106" s="909"/>
      <c r="K106" s="910" t="s">
        <v>934</v>
      </c>
      <c r="L106" s="911"/>
      <c r="M106" s="911"/>
      <c r="N106" s="911"/>
      <c r="O106" s="904">
        <f>+L106+M106-N106</f>
        <v>0</v>
      </c>
      <c r="P106" s="911"/>
      <c r="Q106" s="911"/>
      <c r="R106" s="911"/>
      <c r="S106" s="911"/>
      <c r="T106" s="911"/>
      <c r="U106" s="911"/>
      <c r="V106" s="911"/>
      <c r="W106" s="911">
        <f t="shared" si="39"/>
        <v>0</v>
      </c>
      <c r="X106" s="906"/>
      <c r="Y106" s="906"/>
      <c r="Z106" s="843">
        <f t="shared" si="40"/>
        <v>0</v>
      </c>
    </row>
    <row r="107" spans="1:26" ht="16.5" thickTop="1" thickBot="1" x14ac:dyDescent="0.3">
      <c r="A107" s="908">
        <v>1</v>
      </c>
      <c r="B107" s="909" t="s">
        <v>817</v>
      </c>
      <c r="C107" s="909" t="s">
        <v>817</v>
      </c>
      <c r="D107" s="909" t="s">
        <v>738</v>
      </c>
      <c r="E107" s="909" t="s">
        <v>841</v>
      </c>
      <c r="F107" s="909" t="s">
        <v>903</v>
      </c>
      <c r="G107" s="909" t="s">
        <v>735</v>
      </c>
      <c r="H107" s="909"/>
      <c r="I107" s="909"/>
      <c r="J107" s="909"/>
      <c r="K107" s="910" t="s">
        <v>935</v>
      </c>
      <c r="L107" s="911">
        <f>SUM(L108:L110)</f>
        <v>0</v>
      </c>
      <c r="M107" s="911">
        <f t="shared" ref="M107:V107" si="50">SUM(M108:M110)</f>
        <v>0</v>
      </c>
      <c r="N107" s="911">
        <f t="shared" si="50"/>
        <v>0</v>
      </c>
      <c r="O107" s="911">
        <f t="shared" si="50"/>
        <v>0</v>
      </c>
      <c r="P107" s="911">
        <f t="shared" si="50"/>
        <v>0</v>
      </c>
      <c r="Q107" s="911">
        <f t="shared" si="50"/>
        <v>0</v>
      </c>
      <c r="R107" s="911">
        <f t="shared" si="50"/>
        <v>0</v>
      </c>
      <c r="S107" s="911">
        <f t="shared" si="50"/>
        <v>0</v>
      </c>
      <c r="T107" s="911">
        <f t="shared" si="50"/>
        <v>0</v>
      </c>
      <c r="U107" s="911">
        <f t="shared" si="50"/>
        <v>0</v>
      </c>
      <c r="V107" s="911">
        <f t="shared" si="50"/>
        <v>0</v>
      </c>
      <c r="W107" s="911">
        <f t="shared" si="39"/>
        <v>0</v>
      </c>
      <c r="X107" s="906"/>
      <c r="Y107" s="906"/>
      <c r="Z107" s="843">
        <f t="shared" si="40"/>
        <v>0</v>
      </c>
    </row>
    <row r="108" spans="1:26" ht="16.5" thickTop="1" thickBot="1" x14ac:dyDescent="0.3">
      <c r="A108" s="908">
        <v>1</v>
      </c>
      <c r="B108" s="909" t="s">
        <v>817</v>
      </c>
      <c r="C108" s="909" t="s">
        <v>817</v>
      </c>
      <c r="D108" s="909" t="s">
        <v>738</v>
      </c>
      <c r="E108" s="909" t="s">
        <v>841</v>
      </c>
      <c r="F108" s="909" t="s">
        <v>903</v>
      </c>
      <c r="G108" s="909" t="s">
        <v>735</v>
      </c>
      <c r="H108" s="909" t="s">
        <v>817</v>
      </c>
      <c r="I108" s="909"/>
      <c r="J108" s="909"/>
      <c r="K108" s="910" t="s">
        <v>936</v>
      </c>
      <c r="L108" s="911"/>
      <c r="M108" s="911"/>
      <c r="N108" s="911"/>
      <c r="O108" s="904">
        <f>+L108+M108-N108</f>
        <v>0</v>
      </c>
      <c r="P108" s="911"/>
      <c r="Q108" s="911"/>
      <c r="R108" s="911"/>
      <c r="S108" s="911"/>
      <c r="T108" s="911"/>
      <c r="U108" s="911"/>
      <c r="V108" s="911"/>
      <c r="W108" s="911">
        <f t="shared" si="39"/>
        <v>0</v>
      </c>
      <c r="X108" s="906"/>
      <c r="Y108" s="906"/>
      <c r="Z108" s="843">
        <f t="shared" si="40"/>
        <v>0</v>
      </c>
    </row>
    <row r="109" spans="1:26" ht="16.5" thickTop="1" thickBot="1" x14ac:dyDescent="0.3">
      <c r="A109" s="908">
        <v>1</v>
      </c>
      <c r="B109" s="909" t="s">
        <v>817</v>
      </c>
      <c r="C109" s="909" t="s">
        <v>817</v>
      </c>
      <c r="D109" s="909" t="s">
        <v>738</v>
      </c>
      <c r="E109" s="909" t="s">
        <v>841</v>
      </c>
      <c r="F109" s="909" t="s">
        <v>903</v>
      </c>
      <c r="G109" s="909" t="s">
        <v>735</v>
      </c>
      <c r="H109" s="909" t="s">
        <v>734</v>
      </c>
      <c r="I109" s="909"/>
      <c r="J109" s="909"/>
      <c r="K109" s="910" t="s">
        <v>937</v>
      </c>
      <c r="L109" s="911"/>
      <c r="M109" s="911"/>
      <c r="N109" s="911"/>
      <c r="O109" s="904">
        <f>+L109+M109-N109</f>
        <v>0</v>
      </c>
      <c r="P109" s="911"/>
      <c r="Q109" s="911"/>
      <c r="R109" s="911"/>
      <c r="S109" s="911"/>
      <c r="T109" s="911"/>
      <c r="U109" s="911"/>
      <c r="V109" s="911"/>
      <c r="W109" s="911">
        <f t="shared" si="39"/>
        <v>0</v>
      </c>
      <c r="X109" s="906"/>
      <c r="Y109" s="906"/>
      <c r="Z109" s="843">
        <f t="shared" si="40"/>
        <v>0</v>
      </c>
    </row>
    <row r="110" spans="1:26" ht="24" thickTop="1" thickBot="1" x14ac:dyDescent="0.3">
      <c r="A110" s="908">
        <v>1</v>
      </c>
      <c r="B110" s="909" t="s">
        <v>817</v>
      </c>
      <c r="C110" s="909" t="s">
        <v>817</v>
      </c>
      <c r="D110" s="909" t="s">
        <v>738</v>
      </c>
      <c r="E110" s="909" t="s">
        <v>841</v>
      </c>
      <c r="F110" s="909" t="s">
        <v>903</v>
      </c>
      <c r="G110" s="909" t="s">
        <v>735</v>
      </c>
      <c r="H110" s="909" t="s">
        <v>828</v>
      </c>
      <c r="I110" s="909"/>
      <c r="J110" s="909"/>
      <c r="K110" s="910" t="s">
        <v>938</v>
      </c>
      <c r="L110" s="911"/>
      <c r="M110" s="911"/>
      <c r="N110" s="911"/>
      <c r="O110" s="904">
        <f>+L110+M110-N110</f>
        <v>0</v>
      </c>
      <c r="P110" s="911"/>
      <c r="Q110" s="911"/>
      <c r="R110" s="911"/>
      <c r="S110" s="911"/>
      <c r="T110" s="911"/>
      <c r="U110" s="911"/>
      <c r="V110" s="911"/>
      <c r="W110" s="911">
        <f t="shared" si="39"/>
        <v>0</v>
      </c>
      <c r="X110" s="906"/>
      <c r="Y110" s="906"/>
      <c r="Z110" s="843">
        <f t="shared" si="40"/>
        <v>0</v>
      </c>
    </row>
    <row r="111" spans="1:26" ht="24" thickTop="1" thickBot="1" x14ac:dyDescent="0.3">
      <c r="A111" s="908">
        <v>1</v>
      </c>
      <c r="B111" s="909" t="s">
        <v>817</v>
      </c>
      <c r="C111" s="909" t="s">
        <v>817</v>
      </c>
      <c r="D111" s="909" t="s">
        <v>738</v>
      </c>
      <c r="E111" s="909" t="s">
        <v>841</v>
      </c>
      <c r="F111" s="909" t="s">
        <v>903</v>
      </c>
      <c r="G111" s="909" t="s">
        <v>738</v>
      </c>
      <c r="H111" s="909"/>
      <c r="I111" s="909"/>
      <c r="J111" s="909"/>
      <c r="K111" s="910" t="s">
        <v>939</v>
      </c>
      <c r="L111" s="911">
        <f>SUM(L112:L114)</f>
        <v>0</v>
      </c>
      <c r="M111" s="911">
        <f t="shared" ref="M111:V111" si="51">SUM(M112:M114)</f>
        <v>0</v>
      </c>
      <c r="N111" s="911">
        <f t="shared" si="51"/>
        <v>0</v>
      </c>
      <c r="O111" s="911">
        <f t="shared" si="51"/>
        <v>0</v>
      </c>
      <c r="P111" s="911">
        <f t="shared" si="51"/>
        <v>0</v>
      </c>
      <c r="Q111" s="911">
        <f t="shared" si="51"/>
        <v>0</v>
      </c>
      <c r="R111" s="911">
        <f t="shared" si="51"/>
        <v>0</v>
      </c>
      <c r="S111" s="911">
        <f t="shared" si="51"/>
        <v>0</v>
      </c>
      <c r="T111" s="911">
        <f t="shared" si="51"/>
        <v>0</v>
      </c>
      <c r="U111" s="911">
        <f t="shared" si="51"/>
        <v>0</v>
      </c>
      <c r="V111" s="911">
        <f t="shared" si="51"/>
        <v>0</v>
      </c>
      <c r="W111" s="911">
        <f t="shared" si="39"/>
        <v>0</v>
      </c>
      <c r="X111" s="906"/>
      <c r="Y111" s="906"/>
      <c r="Z111" s="843">
        <f t="shared" si="40"/>
        <v>0</v>
      </c>
    </row>
    <row r="112" spans="1:26" ht="24" thickTop="1" thickBot="1" x14ac:dyDescent="0.3">
      <c r="A112" s="908">
        <v>1</v>
      </c>
      <c r="B112" s="909" t="s">
        <v>817</v>
      </c>
      <c r="C112" s="909" t="s">
        <v>817</v>
      </c>
      <c r="D112" s="909" t="s">
        <v>738</v>
      </c>
      <c r="E112" s="909" t="s">
        <v>841</v>
      </c>
      <c r="F112" s="909" t="s">
        <v>903</v>
      </c>
      <c r="G112" s="909" t="s">
        <v>738</v>
      </c>
      <c r="H112" s="909" t="s">
        <v>817</v>
      </c>
      <c r="I112" s="909"/>
      <c r="J112" s="909"/>
      <c r="K112" s="910" t="s">
        <v>940</v>
      </c>
      <c r="L112" s="911"/>
      <c r="M112" s="911"/>
      <c r="N112" s="911"/>
      <c r="O112" s="904">
        <f>+L112+M112-N112</f>
        <v>0</v>
      </c>
      <c r="P112" s="911"/>
      <c r="Q112" s="911"/>
      <c r="R112" s="911"/>
      <c r="S112" s="911"/>
      <c r="T112" s="911"/>
      <c r="U112" s="911"/>
      <c r="V112" s="911"/>
      <c r="W112" s="911">
        <f t="shared" si="39"/>
        <v>0</v>
      </c>
      <c r="X112" s="906"/>
      <c r="Y112" s="906"/>
      <c r="Z112" s="843">
        <f t="shared" si="40"/>
        <v>0</v>
      </c>
    </row>
    <row r="113" spans="1:26" ht="24" thickTop="1" thickBot="1" x14ac:dyDescent="0.3">
      <c r="A113" s="908">
        <v>1</v>
      </c>
      <c r="B113" s="909" t="s">
        <v>817</v>
      </c>
      <c r="C113" s="909" t="s">
        <v>817</v>
      </c>
      <c r="D113" s="909" t="s">
        <v>738</v>
      </c>
      <c r="E113" s="909" t="s">
        <v>841</v>
      </c>
      <c r="F113" s="909" t="s">
        <v>903</v>
      </c>
      <c r="G113" s="909" t="s">
        <v>738</v>
      </c>
      <c r="H113" s="909" t="s">
        <v>734</v>
      </c>
      <c r="I113" s="909"/>
      <c r="J113" s="909"/>
      <c r="K113" s="910" t="s">
        <v>941</v>
      </c>
      <c r="L113" s="911"/>
      <c r="M113" s="911"/>
      <c r="N113" s="911"/>
      <c r="O113" s="904">
        <f>+L113+M113-N113</f>
        <v>0</v>
      </c>
      <c r="P113" s="911"/>
      <c r="Q113" s="911"/>
      <c r="R113" s="911"/>
      <c r="S113" s="911"/>
      <c r="T113" s="911"/>
      <c r="U113" s="911"/>
      <c r="V113" s="911"/>
      <c r="W113" s="911">
        <f t="shared" si="39"/>
        <v>0</v>
      </c>
      <c r="X113" s="906"/>
      <c r="Y113" s="906"/>
      <c r="Z113" s="843">
        <f t="shared" si="40"/>
        <v>0</v>
      </c>
    </row>
    <row r="114" spans="1:26" ht="24" thickTop="1" thickBot="1" x14ac:dyDescent="0.3">
      <c r="A114" s="908">
        <v>1</v>
      </c>
      <c r="B114" s="909" t="s">
        <v>817</v>
      </c>
      <c r="C114" s="909" t="s">
        <v>817</v>
      </c>
      <c r="D114" s="909" t="s">
        <v>738</v>
      </c>
      <c r="E114" s="909" t="s">
        <v>841</v>
      </c>
      <c r="F114" s="909" t="s">
        <v>903</v>
      </c>
      <c r="G114" s="909" t="s">
        <v>738</v>
      </c>
      <c r="H114" s="909" t="s">
        <v>828</v>
      </c>
      <c r="I114" s="909"/>
      <c r="J114" s="909"/>
      <c r="K114" s="910" t="s">
        <v>942</v>
      </c>
      <c r="L114" s="911"/>
      <c r="M114" s="911"/>
      <c r="N114" s="911"/>
      <c r="O114" s="904">
        <f>+L114+M114-N114</f>
        <v>0</v>
      </c>
      <c r="P114" s="911"/>
      <c r="Q114" s="911"/>
      <c r="R114" s="911"/>
      <c r="S114" s="911"/>
      <c r="T114" s="911"/>
      <c r="U114" s="911"/>
      <c r="V114" s="911"/>
      <c r="W114" s="911">
        <f t="shared" si="39"/>
        <v>0</v>
      </c>
      <c r="X114" s="906"/>
      <c r="Y114" s="906"/>
      <c r="Z114" s="843">
        <f t="shared" si="40"/>
        <v>0</v>
      </c>
    </row>
    <row r="115" spans="1:26" ht="24" thickTop="1" thickBot="1" x14ac:dyDescent="0.3">
      <c r="A115" s="908">
        <v>1</v>
      </c>
      <c r="B115" s="909" t="s">
        <v>817</v>
      </c>
      <c r="C115" s="909" t="s">
        <v>817</v>
      </c>
      <c r="D115" s="909" t="s">
        <v>738</v>
      </c>
      <c r="E115" s="909" t="s">
        <v>841</v>
      </c>
      <c r="F115" s="909" t="s">
        <v>903</v>
      </c>
      <c r="G115" s="909" t="s">
        <v>742</v>
      </c>
      <c r="H115" s="909"/>
      <c r="I115" s="909"/>
      <c r="J115" s="909"/>
      <c r="K115" s="910" t="s">
        <v>943</v>
      </c>
      <c r="L115" s="911">
        <f>SUM(L116:L118)</f>
        <v>0</v>
      </c>
      <c r="M115" s="911">
        <f t="shared" ref="M115:V115" si="52">SUM(M116:M118)</f>
        <v>0</v>
      </c>
      <c r="N115" s="911">
        <f t="shared" si="52"/>
        <v>0</v>
      </c>
      <c r="O115" s="911">
        <f>SUM(O116:O118)</f>
        <v>0</v>
      </c>
      <c r="P115" s="911">
        <f t="shared" si="52"/>
        <v>0</v>
      </c>
      <c r="Q115" s="911">
        <f t="shared" si="52"/>
        <v>0</v>
      </c>
      <c r="R115" s="911">
        <f t="shared" si="52"/>
        <v>0</v>
      </c>
      <c r="S115" s="911">
        <f t="shared" si="52"/>
        <v>0</v>
      </c>
      <c r="T115" s="911">
        <f t="shared" si="52"/>
        <v>0</v>
      </c>
      <c r="U115" s="911">
        <f t="shared" si="52"/>
        <v>0</v>
      </c>
      <c r="V115" s="911">
        <f t="shared" si="52"/>
        <v>0</v>
      </c>
      <c r="W115" s="911">
        <f t="shared" si="39"/>
        <v>0</v>
      </c>
      <c r="X115" s="906"/>
      <c r="Y115" s="906"/>
      <c r="Z115" s="843">
        <f t="shared" si="40"/>
        <v>0</v>
      </c>
    </row>
    <row r="116" spans="1:26" ht="24" thickTop="1" thickBot="1" x14ac:dyDescent="0.3">
      <c r="A116" s="908">
        <v>1</v>
      </c>
      <c r="B116" s="909" t="s">
        <v>817</v>
      </c>
      <c r="C116" s="909" t="s">
        <v>817</v>
      </c>
      <c r="D116" s="909" t="s">
        <v>738</v>
      </c>
      <c r="E116" s="909" t="s">
        <v>841</v>
      </c>
      <c r="F116" s="909" t="s">
        <v>903</v>
      </c>
      <c r="G116" s="909" t="s">
        <v>742</v>
      </c>
      <c r="H116" s="909" t="s">
        <v>817</v>
      </c>
      <c r="I116" s="909"/>
      <c r="J116" s="909"/>
      <c r="K116" s="910" t="s">
        <v>944</v>
      </c>
      <c r="L116" s="911"/>
      <c r="M116" s="911"/>
      <c r="N116" s="911"/>
      <c r="O116" s="904">
        <f>+L116+M116-N116</f>
        <v>0</v>
      </c>
      <c r="P116" s="911"/>
      <c r="Q116" s="911"/>
      <c r="R116" s="911"/>
      <c r="S116" s="911"/>
      <c r="T116" s="911"/>
      <c r="U116" s="911"/>
      <c r="V116" s="911"/>
      <c r="W116" s="911">
        <f t="shared" si="39"/>
        <v>0</v>
      </c>
      <c r="X116" s="906"/>
      <c r="Y116" s="906"/>
      <c r="Z116" s="843">
        <f t="shared" si="40"/>
        <v>0</v>
      </c>
    </row>
    <row r="117" spans="1:26" ht="24" thickTop="1" thickBot="1" x14ac:dyDescent="0.3">
      <c r="A117" s="908">
        <v>1</v>
      </c>
      <c r="B117" s="909" t="s">
        <v>817</v>
      </c>
      <c r="C117" s="909" t="s">
        <v>817</v>
      </c>
      <c r="D117" s="909" t="s">
        <v>738</v>
      </c>
      <c r="E117" s="909" t="s">
        <v>841</v>
      </c>
      <c r="F117" s="909" t="s">
        <v>903</v>
      </c>
      <c r="G117" s="909" t="s">
        <v>742</v>
      </c>
      <c r="H117" s="909" t="s">
        <v>734</v>
      </c>
      <c r="I117" s="909"/>
      <c r="J117" s="909"/>
      <c r="K117" s="910" t="s">
        <v>945</v>
      </c>
      <c r="L117" s="911"/>
      <c r="M117" s="911"/>
      <c r="N117" s="911"/>
      <c r="O117" s="904">
        <f>+L117+M117-N117</f>
        <v>0</v>
      </c>
      <c r="P117" s="911"/>
      <c r="Q117" s="911"/>
      <c r="R117" s="911"/>
      <c r="S117" s="911"/>
      <c r="T117" s="911"/>
      <c r="U117" s="911"/>
      <c r="V117" s="911"/>
      <c r="W117" s="911">
        <f t="shared" si="39"/>
        <v>0</v>
      </c>
      <c r="X117" s="906"/>
      <c r="Y117" s="906"/>
      <c r="Z117" s="843">
        <f t="shared" si="40"/>
        <v>0</v>
      </c>
    </row>
    <row r="118" spans="1:26" ht="24" thickTop="1" thickBot="1" x14ac:dyDescent="0.3">
      <c r="A118" s="908">
        <v>1</v>
      </c>
      <c r="B118" s="909" t="s">
        <v>817</v>
      </c>
      <c r="C118" s="909" t="s">
        <v>817</v>
      </c>
      <c r="D118" s="909" t="s">
        <v>738</v>
      </c>
      <c r="E118" s="909" t="s">
        <v>841</v>
      </c>
      <c r="F118" s="909" t="s">
        <v>903</v>
      </c>
      <c r="G118" s="909" t="s">
        <v>742</v>
      </c>
      <c r="H118" s="909" t="s">
        <v>828</v>
      </c>
      <c r="I118" s="909"/>
      <c r="J118" s="909"/>
      <c r="K118" s="910" t="s">
        <v>946</v>
      </c>
      <c r="L118" s="911"/>
      <c r="M118" s="911"/>
      <c r="N118" s="911"/>
      <c r="O118" s="904">
        <f>+L118+M118-N118</f>
        <v>0</v>
      </c>
      <c r="P118" s="911"/>
      <c r="Q118" s="911"/>
      <c r="R118" s="911"/>
      <c r="S118" s="911"/>
      <c r="T118" s="911"/>
      <c r="U118" s="911"/>
      <c r="V118" s="911"/>
      <c r="W118" s="911">
        <f t="shared" si="39"/>
        <v>0</v>
      </c>
      <c r="X118" s="906"/>
      <c r="Y118" s="906"/>
      <c r="Z118" s="843">
        <f t="shared" si="40"/>
        <v>0</v>
      </c>
    </row>
    <row r="119" spans="1:26" ht="16.5" thickTop="1" thickBot="1" x14ac:dyDescent="0.3">
      <c r="A119" s="908">
        <v>1</v>
      </c>
      <c r="B119" s="909" t="s">
        <v>817</v>
      </c>
      <c r="C119" s="909" t="s">
        <v>817</v>
      </c>
      <c r="D119" s="909" t="s">
        <v>738</v>
      </c>
      <c r="E119" s="909" t="s">
        <v>841</v>
      </c>
      <c r="F119" s="909" t="s">
        <v>903</v>
      </c>
      <c r="G119" s="909" t="s">
        <v>758</v>
      </c>
      <c r="H119" s="909"/>
      <c r="I119" s="909"/>
      <c r="J119" s="909"/>
      <c r="K119" s="910" t="s">
        <v>947</v>
      </c>
      <c r="L119" s="911">
        <f>SUM(L120)</f>
        <v>0</v>
      </c>
      <c r="M119" s="911">
        <f t="shared" ref="M119:V119" si="53">SUM(M120)</f>
        <v>0</v>
      </c>
      <c r="N119" s="911">
        <f t="shared" si="53"/>
        <v>0</v>
      </c>
      <c r="O119" s="911">
        <f t="shared" si="53"/>
        <v>0</v>
      </c>
      <c r="P119" s="911">
        <f t="shared" si="53"/>
        <v>0</v>
      </c>
      <c r="Q119" s="911">
        <f t="shared" si="53"/>
        <v>0</v>
      </c>
      <c r="R119" s="911">
        <f t="shared" si="53"/>
        <v>0</v>
      </c>
      <c r="S119" s="911">
        <f t="shared" si="53"/>
        <v>0</v>
      </c>
      <c r="T119" s="911">
        <f t="shared" si="53"/>
        <v>0</v>
      </c>
      <c r="U119" s="911">
        <f t="shared" si="53"/>
        <v>0</v>
      </c>
      <c r="V119" s="911">
        <f t="shared" si="53"/>
        <v>0</v>
      </c>
      <c r="W119" s="911">
        <f t="shared" si="39"/>
        <v>0</v>
      </c>
      <c r="X119" s="906"/>
      <c r="Y119" s="906"/>
      <c r="Z119" s="843">
        <f t="shared" si="40"/>
        <v>0</v>
      </c>
    </row>
    <row r="120" spans="1:26" ht="16.5" thickTop="1" thickBot="1" x14ac:dyDescent="0.3">
      <c r="A120" s="908">
        <v>1</v>
      </c>
      <c r="B120" s="909" t="s">
        <v>817</v>
      </c>
      <c r="C120" s="909" t="s">
        <v>817</v>
      </c>
      <c r="D120" s="909" t="s">
        <v>738</v>
      </c>
      <c r="E120" s="909" t="s">
        <v>841</v>
      </c>
      <c r="F120" s="909" t="s">
        <v>903</v>
      </c>
      <c r="G120" s="909" t="s">
        <v>758</v>
      </c>
      <c r="H120" s="909" t="s">
        <v>817</v>
      </c>
      <c r="I120" s="909"/>
      <c r="J120" s="909"/>
      <c r="K120" s="910" t="s">
        <v>948</v>
      </c>
      <c r="L120" s="911"/>
      <c r="M120" s="911"/>
      <c r="N120" s="911"/>
      <c r="O120" s="904">
        <f>+L120+M120-N120</f>
        <v>0</v>
      </c>
      <c r="P120" s="911"/>
      <c r="Q120" s="911"/>
      <c r="R120" s="911"/>
      <c r="S120" s="911"/>
      <c r="T120" s="911"/>
      <c r="U120" s="911"/>
      <c r="V120" s="911"/>
      <c r="W120" s="911">
        <f t="shared" si="39"/>
        <v>0</v>
      </c>
      <c r="X120" s="906"/>
      <c r="Y120" s="906"/>
      <c r="Z120" s="843">
        <f t="shared" si="40"/>
        <v>0</v>
      </c>
    </row>
    <row r="121" spans="1:26" ht="24" thickTop="1" thickBot="1" x14ac:dyDescent="0.3">
      <c r="A121" s="908">
        <v>1</v>
      </c>
      <c r="B121" s="909" t="s">
        <v>817</v>
      </c>
      <c r="C121" s="909" t="s">
        <v>817</v>
      </c>
      <c r="D121" s="909" t="s">
        <v>738</v>
      </c>
      <c r="E121" s="909" t="s">
        <v>841</v>
      </c>
      <c r="F121" s="909" t="s">
        <v>903</v>
      </c>
      <c r="G121" s="909" t="s">
        <v>758</v>
      </c>
      <c r="H121" s="909" t="s">
        <v>734</v>
      </c>
      <c r="I121" s="909"/>
      <c r="J121" s="909"/>
      <c r="K121" s="910" t="s">
        <v>949</v>
      </c>
      <c r="L121" s="911"/>
      <c r="M121" s="911"/>
      <c r="N121" s="911"/>
      <c r="O121" s="904">
        <f>+L121+M121-N121</f>
        <v>0</v>
      </c>
      <c r="P121" s="911"/>
      <c r="Q121" s="911"/>
      <c r="R121" s="911"/>
      <c r="S121" s="911"/>
      <c r="T121" s="911"/>
      <c r="U121" s="911"/>
      <c r="V121" s="911"/>
      <c r="W121" s="911">
        <f t="shared" si="39"/>
        <v>0</v>
      </c>
      <c r="X121" s="906"/>
      <c r="Y121" s="906"/>
      <c r="Z121" s="843">
        <f t="shared" si="40"/>
        <v>0</v>
      </c>
    </row>
    <row r="122" spans="1:26" ht="24" thickTop="1" thickBot="1" x14ac:dyDescent="0.3">
      <c r="A122" s="908">
        <v>1</v>
      </c>
      <c r="B122" s="909" t="s">
        <v>817</v>
      </c>
      <c r="C122" s="909" t="s">
        <v>817</v>
      </c>
      <c r="D122" s="909" t="s">
        <v>738</v>
      </c>
      <c r="E122" s="909" t="s">
        <v>841</v>
      </c>
      <c r="F122" s="909" t="s">
        <v>903</v>
      </c>
      <c r="G122" s="909" t="s">
        <v>758</v>
      </c>
      <c r="H122" s="909" t="s">
        <v>828</v>
      </c>
      <c r="I122" s="909"/>
      <c r="J122" s="909"/>
      <c r="K122" s="910" t="s">
        <v>950</v>
      </c>
      <c r="L122" s="911"/>
      <c r="M122" s="911"/>
      <c r="N122" s="911"/>
      <c r="O122" s="904">
        <f>+L122+M122-N122</f>
        <v>0</v>
      </c>
      <c r="P122" s="911"/>
      <c r="Q122" s="911"/>
      <c r="R122" s="911"/>
      <c r="S122" s="911"/>
      <c r="T122" s="911"/>
      <c r="U122" s="911"/>
      <c r="V122" s="911"/>
      <c r="W122" s="911">
        <f t="shared" si="39"/>
        <v>0</v>
      </c>
      <c r="X122" s="906"/>
      <c r="Y122" s="906"/>
      <c r="Z122" s="843">
        <f t="shared" si="40"/>
        <v>0</v>
      </c>
    </row>
    <row r="123" spans="1:26" ht="16.5" thickTop="1" thickBot="1" x14ac:dyDescent="0.3">
      <c r="A123" s="908">
        <v>1</v>
      </c>
      <c r="B123" s="909" t="s">
        <v>817</v>
      </c>
      <c r="C123" s="909" t="s">
        <v>817</v>
      </c>
      <c r="D123" s="909" t="s">
        <v>738</v>
      </c>
      <c r="E123" s="909" t="s">
        <v>841</v>
      </c>
      <c r="F123" s="909" t="s">
        <v>903</v>
      </c>
      <c r="G123" s="909" t="s">
        <v>841</v>
      </c>
      <c r="H123" s="909"/>
      <c r="I123" s="909"/>
      <c r="J123" s="909"/>
      <c r="K123" s="910" t="s">
        <v>951</v>
      </c>
      <c r="L123" s="911">
        <f>SUM(L124:L126)</f>
        <v>0</v>
      </c>
      <c r="M123" s="911">
        <f t="shared" ref="M123:V123" si="54">SUM(M124:M126)</f>
        <v>0</v>
      </c>
      <c r="N123" s="911">
        <f t="shared" si="54"/>
        <v>0</v>
      </c>
      <c r="O123" s="911">
        <f t="shared" si="54"/>
        <v>0</v>
      </c>
      <c r="P123" s="911">
        <f t="shared" si="54"/>
        <v>0</v>
      </c>
      <c r="Q123" s="911">
        <f t="shared" si="54"/>
        <v>0</v>
      </c>
      <c r="R123" s="911">
        <f t="shared" si="54"/>
        <v>0</v>
      </c>
      <c r="S123" s="911">
        <f t="shared" si="54"/>
        <v>0</v>
      </c>
      <c r="T123" s="911">
        <f t="shared" si="54"/>
        <v>0</v>
      </c>
      <c r="U123" s="911">
        <f t="shared" si="54"/>
        <v>0</v>
      </c>
      <c r="V123" s="911">
        <f t="shared" si="54"/>
        <v>0</v>
      </c>
      <c r="W123" s="911">
        <f t="shared" si="39"/>
        <v>0</v>
      </c>
      <c r="X123" s="906"/>
      <c r="Y123" s="906"/>
      <c r="Z123" s="843">
        <f t="shared" si="40"/>
        <v>0</v>
      </c>
    </row>
    <row r="124" spans="1:26" ht="16.5" thickTop="1" thickBot="1" x14ac:dyDescent="0.3">
      <c r="A124" s="908">
        <v>1</v>
      </c>
      <c r="B124" s="909" t="s">
        <v>817</v>
      </c>
      <c r="C124" s="909" t="s">
        <v>817</v>
      </c>
      <c r="D124" s="909" t="s">
        <v>738</v>
      </c>
      <c r="E124" s="909" t="s">
        <v>841</v>
      </c>
      <c r="F124" s="909" t="s">
        <v>903</v>
      </c>
      <c r="G124" s="909" t="s">
        <v>841</v>
      </c>
      <c r="H124" s="909" t="s">
        <v>817</v>
      </c>
      <c r="I124" s="909"/>
      <c r="J124" s="909"/>
      <c r="K124" s="910" t="s">
        <v>952</v>
      </c>
      <c r="L124" s="911"/>
      <c r="M124" s="911"/>
      <c r="N124" s="911"/>
      <c r="O124" s="904">
        <f>+L124+M124-N124</f>
        <v>0</v>
      </c>
      <c r="P124" s="911"/>
      <c r="Q124" s="911"/>
      <c r="R124" s="911"/>
      <c r="S124" s="911"/>
      <c r="T124" s="911"/>
      <c r="U124" s="911"/>
      <c r="V124" s="911"/>
      <c r="W124" s="911">
        <f t="shared" si="39"/>
        <v>0</v>
      </c>
      <c r="X124" s="906"/>
      <c r="Y124" s="906"/>
      <c r="Z124" s="843">
        <f t="shared" si="40"/>
        <v>0</v>
      </c>
    </row>
    <row r="125" spans="1:26" ht="16.5" thickTop="1" thickBot="1" x14ac:dyDescent="0.3">
      <c r="A125" s="908">
        <v>1</v>
      </c>
      <c r="B125" s="909" t="s">
        <v>817</v>
      </c>
      <c r="C125" s="909" t="s">
        <v>817</v>
      </c>
      <c r="D125" s="909" t="s">
        <v>738</v>
      </c>
      <c r="E125" s="909" t="s">
        <v>841</v>
      </c>
      <c r="F125" s="909" t="s">
        <v>903</v>
      </c>
      <c r="G125" s="909" t="s">
        <v>841</v>
      </c>
      <c r="H125" s="909" t="s">
        <v>734</v>
      </c>
      <c r="I125" s="909"/>
      <c r="J125" s="909"/>
      <c r="K125" s="910" t="s">
        <v>953</v>
      </c>
      <c r="L125" s="911"/>
      <c r="M125" s="911"/>
      <c r="N125" s="911"/>
      <c r="O125" s="904">
        <f>+L125+M125-N125</f>
        <v>0</v>
      </c>
      <c r="P125" s="911"/>
      <c r="Q125" s="911"/>
      <c r="R125" s="911"/>
      <c r="S125" s="911"/>
      <c r="T125" s="911"/>
      <c r="U125" s="911"/>
      <c r="V125" s="911"/>
      <c r="W125" s="911">
        <f t="shared" si="39"/>
        <v>0</v>
      </c>
      <c r="X125" s="906"/>
      <c r="Y125" s="906"/>
      <c r="Z125" s="843">
        <f t="shared" si="40"/>
        <v>0</v>
      </c>
    </row>
    <row r="126" spans="1:26" ht="16.5" thickTop="1" thickBot="1" x14ac:dyDescent="0.3">
      <c r="A126" s="908">
        <v>1</v>
      </c>
      <c r="B126" s="909" t="s">
        <v>817</v>
      </c>
      <c r="C126" s="909" t="s">
        <v>817</v>
      </c>
      <c r="D126" s="909" t="s">
        <v>738</v>
      </c>
      <c r="E126" s="909" t="s">
        <v>841</v>
      </c>
      <c r="F126" s="909" t="s">
        <v>903</v>
      </c>
      <c r="G126" s="909" t="s">
        <v>841</v>
      </c>
      <c r="H126" s="909" t="s">
        <v>828</v>
      </c>
      <c r="I126" s="909"/>
      <c r="J126" s="909"/>
      <c r="K126" s="910" t="s">
        <v>954</v>
      </c>
      <c r="L126" s="911"/>
      <c r="M126" s="911"/>
      <c r="N126" s="911"/>
      <c r="O126" s="904">
        <f>+L126+M126-N126</f>
        <v>0</v>
      </c>
      <c r="P126" s="911"/>
      <c r="Q126" s="911"/>
      <c r="R126" s="911"/>
      <c r="S126" s="911"/>
      <c r="T126" s="911"/>
      <c r="U126" s="911"/>
      <c r="V126" s="911"/>
      <c r="W126" s="911">
        <f t="shared" si="39"/>
        <v>0</v>
      </c>
      <c r="X126" s="906"/>
      <c r="Y126" s="906"/>
      <c r="Z126" s="843">
        <f t="shared" si="40"/>
        <v>0</v>
      </c>
    </row>
    <row r="127" spans="1:26" ht="35.25" thickTop="1" thickBot="1" x14ac:dyDescent="0.3">
      <c r="A127" s="908">
        <v>1</v>
      </c>
      <c r="B127" s="909" t="s">
        <v>817</v>
      </c>
      <c r="C127" s="909" t="s">
        <v>817</v>
      </c>
      <c r="D127" s="909" t="s">
        <v>738</v>
      </c>
      <c r="E127" s="909" t="s">
        <v>841</v>
      </c>
      <c r="F127" s="909" t="s">
        <v>903</v>
      </c>
      <c r="G127" s="909" t="s">
        <v>955</v>
      </c>
      <c r="H127" s="909"/>
      <c r="I127" s="909"/>
      <c r="J127" s="909"/>
      <c r="K127" s="910" t="s">
        <v>956</v>
      </c>
      <c r="L127" s="911">
        <f>SUM(L128:L130)</f>
        <v>0</v>
      </c>
      <c r="M127" s="911">
        <f t="shared" ref="M127:V127" si="55">SUM(M128:M130)</f>
        <v>0</v>
      </c>
      <c r="N127" s="911">
        <f t="shared" si="55"/>
        <v>0</v>
      </c>
      <c r="O127" s="911">
        <f t="shared" si="55"/>
        <v>0</v>
      </c>
      <c r="P127" s="911">
        <f t="shared" si="55"/>
        <v>0</v>
      </c>
      <c r="Q127" s="911">
        <f t="shared" si="55"/>
        <v>0</v>
      </c>
      <c r="R127" s="911">
        <f t="shared" si="55"/>
        <v>0</v>
      </c>
      <c r="S127" s="911">
        <f t="shared" si="55"/>
        <v>0</v>
      </c>
      <c r="T127" s="911">
        <f t="shared" si="55"/>
        <v>0</v>
      </c>
      <c r="U127" s="911">
        <f t="shared" si="55"/>
        <v>0</v>
      </c>
      <c r="V127" s="911">
        <f t="shared" si="55"/>
        <v>0</v>
      </c>
      <c r="W127" s="911">
        <f t="shared" si="39"/>
        <v>0</v>
      </c>
      <c r="X127" s="906"/>
      <c r="Y127" s="906"/>
      <c r="Z127" s="843">
        <f t="shared" si="40"/>
        <v>0</v>
      </c>
    </row>
    <row r="128" spans="1:26" ht="35.25" thickTop="1" thickBot="1" x14ac:dyDescent="0.3">
      <c r="A128" s="908">
        <v>1</v>
      </c>
      <c r="B128" s="909" t="s">
        <v>817</v>
      </c>
      <c r="C128" s="909" t="s">
        <v>817</v>
      </c>
      <c r="D128" s="909" t="s">
        <v>738</v>
      </c>
      <c r="E128" s="909" t="s">
        <v>841</v>
      </c>
      <c r="F128" s="909" t="s">
        <v>903</v>
      </c>
      <c r="G128" s="909" t="s">
        <v>955</v>
      </c>
      <c r="H128" s="909" t="s">
        <v>817</v>
      </c>
      <c r="I128" s="909"/>
      <c r="J128" s="909"/>
      <c r="K128" s="910" t="s">
        <v>957</v>
      </c>
      <c r="L128" s="911"/>
      <c r="M128" s="911"/>
      <c r="N128" s="911"/>
      <c r="O128" s="904">
        <f>+L128+M128-N128</f>
        <v>0</v>
      </c>
      <c r="P128" s="911"/>
      <c r="Q128" s="911"/>
      <c r="R128" s="911"/>
      <c r="S128" s="911"/>
      <c r="T128" s="911"/>
      <c r="U128" s="911"/>
      <c r="V128" s="911"/>
      <c r="W128" s="911">
        <f t="shared" si="39"/>
        <v>0</v>
      </c>
      <c r="X128" s="906"/>
      <c r="Y128" s="906"/>
      <c r="Z128" s="843">
        <f t="shared" si="40"/>
        <v>0</v>
      </c>
    </row>
    <row r="129" spans="1:26" ht="35.25" thickTop="1" thickBot="1" x14ac:dyDescent="0.3">
      <c r="A129" s="908">
        <v>1</v>
      </c>
      <c r="B129" s="909" t="s">
        <v>817</v>
      </c>
      <c r="C129" s="909" t="s">
        <v>817</v>
      </c>
      <c r="D129" s="909" t="s">
        <v>738</v>
      </c>
      <c r="E129" s="909" t="s">
        <v>841</v>
      </c>
      <c r="F129" s="909" t="s">
        <v>903</v>
      </c>
      <c r="G129" s="909" t="s">
        <v>955</v>
      </c>
      <c r="H129" s="909" t="s">
        <v>734</v>
      </c>
      <c r="I129" s="909"/>
      <c r="J129" s="909"/>
      <c r="K129" s="910" t="s">
        <v>958</v>
      </c>
      <c r="L129" s="911"/>
      <c r="M129" s="911"/>
      <c r="N129" s="911"/>
      <c r="O129" s="904">
        <f>+L129+M129-N129</f>
        <v>0</v>
      </c>
      <c r="P129" s="911"/>
      <c r="Q129" s="911"/>
      <c r="R129" s="911"/>
      <c r="S129" s="911"/>
      <c r="T129" s="911"/>
      <c r="U129" s="911"/>
      <c r="V129" s="911"/>
      <c r="W129" s="911">
        <f t="shared" si="39"/>
        <v>0</v>
      </c>
      <c r="X129" s="906"/>
      <c r="Y129" s="906"/>
      <c r="Z129" s="843">
        <f t="shared" si="40"/>
        <v>0</v>
      </c>
    </row>
    <row r="130" spans="1:26" ht="46.5" thickTop="1" thickBot="1" x14ac:dyDescent="0.3">
      <c r="A130" s="908">
        <v>1</v>
      </c>
      <c r="B130" s="909" t="s">
        <v>817</v>
      </c>
      <c r="C130" s="909" t="s">
        <v>817</v>
      </c>
      <c r="D130" s="909" t="s">
        <v>738</v>
      </c>
      <c r="E130" s="909" t="s">
        <v>841</v>
      </c>
      <c r="F130" s="909" t="s">
        <v>903</v>
      </c>
      <c r="G130" s="909" t="s">
        <v>955</v>
      </c>
      <c r="H130" s="909" t="s">
        <v>828</v>
      </c>
      <c r="I130" s="909"/>
      <c r="J130" s="909"/>
      <c r="K130" s="910" t="s">
        <v>959</v>
      </c>
      <c r="L130" s="911"/>
      <c r="M130" s="911"/>
      <c r="N130" s="911"/>
      <c r="O130" s="904">
        <f>+L130+M130-N130</f>
        <v>0</v>
      </c>
      <c r="P130" s="911"/>
      <c r="Q130" s="911"/>
      <c r="R130" s="911"/>
      <c r="S130" s="911"/>
      <c r="T130" s="911"/>
      <c r="U130" s="911"/>
      <c r="V130" s="911"/>
      <c r="W130" s="911">
        <f t="shared" si="39"/>
        <v>0</v>
      </c>
      <c r="X130" s="906"/>
      <c r="Y130" s="906"/>
      <c r="Z130" s="843">
        <f t="shared" si="40"/>
        <v>0</v>
      </c>
    </row>
    <row r="131" spans="1:26" ht="24" thickTop="1" thickBot="1" x14ac:dyDescent="0.3">
      <c r="A131" s="908">
        <v>1</v>
      </c>
      <c r="B131" s="909" t="s">
        <v>817</v>
      </c>
      <c r="C131" s="909" t="s">
        <v>817</v>
      </c>
      <c r="D131" s="909" t="s">
        <v>738</v>
      </c>
      <c r="E131" s="909" t="s">
        <v>841</v>
      </c>
      <c r="F131" s="909" t="s">
        <v>903</v>
      </c>
      <c r="G131" s="909" t="s">
        <v>960</v>
      </c>
      <c r="H131" s="909"/>
      <c r="I131" s="909"/>
      <c r="J131" s="909"/>
      <c r="K131" s="910" t="s">
        <v>961</v>
      </c>
      <c r="L131" s="911">
        <f>SUM(L132:L134)</f>
        <v>0</v>
      </c>
      <c r="M131" s="911">
        <f t="shared" ref="M131:V131" si="56">SUM(M132:M134)</f>
        <v>0</v>
      </c>
      <c r="N131" s="911">
        <f t="shared" si="56"/>
        <v>0</v>
      </c>
      <c r="O131" s="911">
        <f t="shared" si="56"/>
        <v>0</v>
      </c>
      <c r="P131" s="911">
        <f t="shared" si="56"/>
        <v>0</v>
      </c>
      <c r="Q131" s="911">
        <f t="shared" si="56"/>
        <v>0</v>
      </c>
      <c r="R131" s="911">
        <f t="shared" si="56"/>
        <v>0</v>
      </c>
      <c r="S131" s="911">
        <f t="shared" si="56"/>
        <v>0</v>
      </c>
      <c r="T131" s="911">
        <f t="shared" si="56"/>
        <v>0</v>
      </c>
      <c r="U131" s="911">
        <f t="shared" si="56"/>
        <v>0</v>
      </c>
      <c r="V131" s="911">
        <f t="shared" si="56"/>
        <v>0</v>
      </c>
      <c r="W131" s="911">
        <f t="shared" si="39"/>
        <v>0</v>
      </c>
      <c r="X131" s="906"/>
      <c r="Y131" s="906"/>
      <c r="Z131" s="843">
        <f t="shared" si="40"/>
        <v>0</v>
      </c>
    </row>
    <row r="132" spans="1:26" ht="24" thickTop="1" thickBot="1" x14ac:dyDescent="0.3">
      <c r="A132" s="908">
        <v>1</v>
      </c>
      <c r="B132" s="909" t="s">
        <v>817</v>
      </c>
      <c r="C132" s="909" t="s">
        <v>817</v>
      </c>
      <c r="D132" s="909" t="s">
        <v>738</v>
      </c>
      <c r="E132" s="909" t="s">
        <v>841</v>
      </c>
      <c r="F132" s="909" t="s">
        <v>903</v>
      </c>
      <c r="G132" s="909" t="s">
        <v>960</v>
      </c>
      <c r="H132" s="909" t="s">
        <v>817</v>
      </c>
      <c r="I132" s="909"/>
      <c r="J132" s="909"/>
      <c r="K132" s="910" t="s">
        <v>962</v>
      </c>
      <c r="L132" s="911"/>
      <c r="M132" s="911"/>
      <c r="N132" s="911"/>
      <c r="O132" s="904">
        <f>+L132+M132-N132</f>
        <v>0</v>
      </c>
      <c r="P132" s="911"/>
      <c r="Q132" s="911"/>
      <c r="R132" s="911"/>
      <c r="S132" s="911"/>
      <c r="T132" s="911"/>
      <c r="U132" s="911"/>
      <c r="V132" s="911"/>
      <c r="W132" s="911">
        <f t="shared" si="39"/>
        <v>0</v>
      </c>
      <c r="X132" s="906"/>
      <c r="Y132" s="906"/>
      <c r="Z132" s="843">
        <f t="shared" si="40"/>
        <v>0</v>
      </c>
    </row>
    <row r="133" spans="1:26" ht="24" thickTop="1" thickBot="1" x14ac:dyDescent="0.3">
      <c r="A133" s="908">
        <v>1</v>
      </c>
      <c r="B133" s="909" t="s">
        <v>817</v>
      </c>
      <c r="C133" s="909" t="s">
        <v>817</v>
      </c>
      <c r="D133" s="909" t="s">
        <v>738</v>
      </c>
      <c r="E133" s="909" t="s">
        <v>841</v>
      </c>
      <c r="F133" s="909" t="s">
        <v>903</v>
      </c>
      <c r="G133" s="909" t="s">
        <v>960</v>
      </c>
      <c r="H133" s="909" t="s">
        <v>734</v>
      </c>
      <c r="I133" s="909"/>
      <c r="J133" s="909"/>
      <c r="K133" s="910" t="s">
        <v>963</v>
      </c>
      <c r="L133" s="911"/>
      <c r="M133" s="911"/>
      <c r="N133" s="911"/>
      <c r="O133" s="904">
        <f>+L133+M133-N133</f>
        <v>0</v>
      </c>
      <c r="P133" s="911"/>
      <c r="Q133" s="911"/>
      <c r="R133" s="911"/>
      <c r="S133" s="911"/>
      <c r="T133" s="911"/>
      <c r="U133" s="911"/>
      <c r="V133" s="911"/>
      <c r="W133" s="911">
        <f t="shared" si="39"/>
        <v>0</v>
      </c>
      <c r="X133" s="906"/>
      <c r="Y133" s="906"/>
      <c r="Z133" s="843">
        <f t="shared" si="40"/>
        <v>0</v>
      </c>
    </row>
    <row r="134" spans="1:26" ht="35.25" thickTop="1" thickBot="1" x14ac:dyDescent="0.3">
      <c r="A134" s="908">
        <v>1</v>
      </c>
      <c r="B134" s="909" t="s">
        <v>817</v>
      </c>
      <c r="C134" s="909" t="s">
        <v>817</v>
      </c>
      <c r="D134" s="909" t="s">
        <v>738</v>
      </c>
      <c r="E134" s="909" t="s">
        <v>841</v>
      </c>
      <c r="F134" s="909" t="s">
        <v>903</v>
      </c>
      <c r="G134" s="909" t="s">
        <v>960</v>
      </c>
      <c r="H134" s="909" t="s">
        <v>828</v>
      </c>
      <c r="I134" s="909"/>
      <c r="J134" s="909"/>
      <c r="K134" s="910" t="s">
        <v>964</v>
      </c>
      <c r="L134" s="911"/>
      <c r="M134" s="911"/>
      <c r="N134" s="911"/>
      <c r="O134" s="904">
        <f>+L134+M134-N134</f>
        <v>0</v>
      </c>
      <c r="P134" s="911"/>
      <c r="Q134" s="911"/>
      <c r="R134" s="911"/>
      <c r="S134" s="911"/>
      <c r="T134" s="911"/>
      <c r="U134" s="911"/>
      <c r="V134" s="911"/>
      <c r="W134" s="911">
        <f t="shared" si="39"/>
        <v>0</v>
      </c>
      <c r="X134" s="906"/>
      <c r="Y134" s="906"/>
      <c r="Z134" s="843">
        <f t="shared" si="40"/>
        <v>0</v>
      </c>
    </row>
    <row r="135" spans="1:26" ht="24" thickTop="1" thickBot="1" x14ac:dyDescent="0.3">
      <c r="A135" s="908">
        <v>1</v>
      </c>
      <c r="B135" s="909" t="s">
        <v>817</v>
      </c>
      <c r="C135" s="909" t="s">
        <v>817</v>
      </c>
      <c r="D135" s="909" t="s">
        <v>738</v>
      </c>
      <c r="E135" s="909" t="s">
        <v>841</v>
      </c>
      <c r="F135" s="909" t="s">
        <v>903</v>
      </c>
      <c r="G135" s="909" t="s">
        <v>965</v>
      </c>
      <c r="H135" s="909"/>
      <c r="I135" s="909"/>
      <c r="J135" s="909"/>
      <c r="K135" s="910" t="s">
        <v>966</v>
      </c>
      <c r="L135" s="911">
        <f>SUM(L136:L138)</f>
        <v>0</v>
      </c>
      <c r="M135" s="911">
        <f t="shared" ref="M135:V135" si="57">SUM(M136:M138)</f>
        <v>0</v>
      </c>
      <c r="N135" s="911">
        <f t="shared" si="57"/>
        <v>0</v>
      </c>
      <c r="O135" s="911">
        <f t="shared" si="57"/>
        <v>0</v>
      </c>
      <c r="P135" s="911">
        <f t="shared" si="57"/>
        <v>0</v>
      </c>
      <c r="Q135" s="911">
        <f t="shared" si="57"/>
        <v>0</v>
      </c>
      <c r="R135" s="911">
        <f t="shared" si="57"/>
        <v>0</v>
      </c>
      <c r="S135" s="911">
        <f t="shared" si="57"/>
        <v>0</v>
      </c>
      <c r="T135" s="911">
        <f t="shared" si="57"/>
        <v>0</v>
      </c>
      <c r="U135" s="911">
        <f t="shared" si="57"/>
        <v>0</v>
      </c>
      <c r="V135" s="911">
        <f t="shared" si="57"/>
        <v>0</v>
      </c>
      <c r="W135" s="911">
        <f t="shared" si="39"/>
        <v>0</v>
      </c>
      <c r="X135" s="906"/>
      <c r="Y135" s="906"/>
      <c r="Z135" s="843">
        <f t="shared" si="40"/>
        <v>0</v>
      </c>
    </row>
    <row r="136" spans="1:26" ht="24" thickTop="1" thickBot="1" x14ac:dyDescent="0.3">
      <c r="A136" s="908">
        <v>1</v>
      </c>
      <c r="B136" s="909" t="s">
        <v>817</v>
      </c>
      <c r="C136" s="909" t="s">
        <v>817</v>
      </c>
      <c r="D136" s="909" t="s">
        <v>738</v>
      </c>
      <c r="E136" s="909" t="s">
        <v>841</v>
      </c>
      <c r="F136" s="909" t="s">
        <v>903</v>
      </c>
      <c r="G136" s="909" t="s">
        <v>965</v>
      </c>
      <c r="H136" s="909" t="s">
        <v>817</v>
      </c>
      <c r="I136" s="909"/>
      <c r="J136" s="909"/>
      <c r="K136" s="910" t="s">
        <v>967</v>
      </c>
      <c r="L136" s="911"/>
      <c r="M136" s="911"/>
      <c r="N136" s="911"/>
      <c r="O136" s="904">
        <f>+L136+M136-N136</f>
        <v>0</v>
      </c>
      <c r="P136" s="911"/>
      <c r="Q136" s="911"/>
      <c r="R136" s="911"/>
      <c r="S136" s="911"/>
      <c r="T136" s="911"/>
      <c r="U136" s="911"/>
      <c r="V136" s="911"/>
      <c r="W136" s="911">
        <f t="shared" si="39"/>
        <v>0</v>
      </c>
      <c r="X136" s="906"/>
      <c r="Y136" s="906"/>
      <c r="Z136" s="843">
        <f t="shared" si="40"/>
        <v>0</v>
      </c>
    </row>
    <row r="137" spans="1:26" ht="24" thickTop="1" thickBot="1" x14ac:dyDescent="0.3">
      <c r="A137" s="908">
        <v>1</v>
      </c>
      <c r="B137" s="909" t="s">
        <v>817</v>
      </c>
      <c r="C137" s="909" t="s">
        <v>817</v>
      </c>
      <c r="D137" s="909" t="s">
        <v>738</v>
      </c>
      <c r="E137" s="909" t="s">
        <v>841</v>
      </c>
      <c r="F137" s="909" t="s">
        <v>903</v>
      </c>
      <c r="G137" s="909" t="s">
        <v>965</v>
      </c>
      <c r="H137" s="909" t="s">
        <v>734</v>
      </c>
      <c r="I137" s="909"/>
      <c r="J137" s="909"/>
      <c r="K137" s="910" t="s">
        <v>968</v>
      </c>
      <c r="L137" s="911"/>
      <c r="M137" s="911"/>
      <c r="N137" s="911"/>
      <c r="O137" s="904">
        <f>+L137+M137-N137</f>
        <v>0</v>
      </c>
      <c r="P137" s="911"/>
      <c r="Q137" s="911"/>
      <c r="R137" s="911"/>
      <c r="S137" s="911"/>
      <c r="T137" s="911"/>
      <c r="U137" s="911"/>
      <c r="V137" s="911"/>
      <c r="W137" s="911">
        <f t="shared" si="39"/>
        <v>0</v>
      </c>
      <c r="X137" s="906"/>
      <c r="Y137" s="906"/>
      <c r="Z137" s="843">
        <f t="shared" si="40"/>
        <v>0</v>
      </c>
    </row>
    <row r="138" spans="1:26" ht="24" thickTop="1" thickBot="1" x14ac:dyDescent="0.3">
      <c r="A138" s="908">
        <v>1</v>
      </c>
      <c r="B138" s="909" t="s">
        <v>817</v>
      </c>
      <c r="C138" s="909" t="s">
        <v>817</v>
      </c>
      <c r="D138" s="909" t="s">
        <v>738</v>
      </c>
      <c r="E138" s="909" t="s">
        <v>841</v>
      </c>
      <c r="F138" s="909" t="s">
        <v>903</v>
      </c>
      <c r="G138" s="909" t="s">
        <v>965</v>
      </c>
      <c r="H138" s="909" t="s">
        <v>828</v>
      </c>
      <c r="I138" s="909"/>
      <c r="J138" s="909"/>
      <c r="K138" s="910" t="s">
        <v>969</v>
      </c>
      <c r="L138" s="911"/>
      <c r="M138" s="911"/>
      <c r="N138" s="911"/>
      <c r="O138" s="904">
        <f>+L138+M138-N138</f>
        <v>0</v>
      </c>
      <c r="P138" s="911"/>
      <c r="Q138" s="911"/>
      <c r="R138" s="911"/>
      <c r="S138" s="911"/>
      <c r="T138" s="911"/>
      <c r="U138" s="911"/>
      <c r="V138" s="911"/>
      <c r="W138" s="911">
        <f t="shared" si="39"/>
        <v>0</v>
      </c>
      <c r="X138" s="906"/>
      <c r="Y138" s="906"/>
      <c r="Z138" s="843">
        <f t="shared" si="40"/>
        <v>0</v>
      </c>
    </row>
    <row r="139" spans="1:26" ht="16.5" thickTop="1" thickBot="1" x14ac:dyDescent="0.3">
      <c r="A139" s="908">
        <v>1</v>
      </c>
      <c r="B139" s="909" t="s">
        <v>817</v>
      </c>
      <c r="C139" s="909" t="s">
        <v>817</v>
      </c>
      <c r="D139" s="909" t="s">
        <v>738</v>
      </c>
      <c r="E139" s="909" t="s">
        <v>841</v>
      </c>
      <c r="F139" s="909" t="s">
        <v>903</v>
      </c>
      <c r="G139" s="909" t="s">
        <v>970</v>
      </c>
      <c r="H139" s="909"/>
      <c r="I139" s="909"/>
      <c r="J139" s="909"/>
      <c r="K139" s="910" t="s">
        <v>971</v>
      </c>
      <c r="L139" s="911">
        <f>SUM(L140:L142)</f>
        <v>0</v>
      </c>
      <c r="M139" s="911">
        <f t="shared" ref="M139:V139" si="58">SUM(M140:M142)</f>
        <v>0</v>
      </c>
      <c r="N139" s="911">
        <f t="shared" si="58"/>
        <v>0</v>
      </c>
      <c r="O139" s="911">
        <f t="shared" si="58"/>
        <v>0</v>
      </c>
      <c r="P139" s="911">
        <f t="shared" si="58"/>
        <v>0</v>
      </c>
      <c r="Q139" s="911">
        <f t="shared" si="58"/>
        <v>0</v>
      </c>
      <c r="R139" s="911">
        <f t="shared" si="58"/>
        <v>0</v>
      </c>
      <c r="S139" s="911">
        <f t="shared" si="58"/>
        <v>0</v>
      </c>
      <c r="T139" s="911">
        <f t="shared" si="58"/>
        <v>0</v>
      </c>
      <c r="U139" s="911">
        <f t="shared" si="58"/>
        <v>0</v>
      </c>
      <c r="V139" s="911">
        <f t="shared" si="58"/>
        <v>0</v>
      </c>
      <c r="W139" s="911">
        <f t="shared" si="39"/>
        <v>0</v>
      </c>
      <c r="X139" s="906"/>
      <c r="Y139" s="906"/>
      <c r="Z139" s="843">
        <f t="shared" si="40"/>
        <v>0</v>
      </c>
    </row>
    <row r="140" spans="1:26" ht="24" thickTop="1" thickBot="1" x14ac:dyDescent="0.3">
      <c r="A140" s="908">
        <v>1</v>
      </c>
      <c r="B140" s="909" t="s">
        <v>817</v>
      </c>
      <c r="C140" s="909" t="s">
        <v>817</v>
      </c>
      <c r="D140" s="909" t="s">
        <v>738</v>
      </c>
      <c r="E140" s="909" t="s">
        <v>841</v>
      </c>
      <c r="F140" s="909" t="s">
        <v>903</v>
      </c>
      <c r="G140" s="909" t="s">
        <v>970</v>
      </c>
      <c r="H140" s="909" t="s">
        <v>817</v>
      </c>
      <c r="I140" s="909"/>
      <c r="J140" s="909"/>
      <c r="K140" s="910" t="s">
        <v>972</v>
      </c>
      <c r="L140" s="911"/>
      <c r="M140" s="911"/>
      <c r="N140" s="911"/>
      <c r="O140" s="904">
        <f>+L140+M140-N140</f>
        <v>0</v>
      </c>
      <c r="P140" s="911"/>
      <c r="Q140" s="911"/>
      <c r="R140" s="911"/>
      <c r="S140" s="911"/>
      <c r="T140" s="911"/>
      <c r="U140" s="911"/>
      <c r="V140" s="911"/>
      <c r="W140" s="911">
        <f t="shared" si="39"/>
        <v>0</v>
      </c>
      <c r="X140" s="906"/>
      <c r="Y140" s="906"/>
      <c r="Z140" s="843">
        <f t="shared" si="40"/>
        <v>0</v>
      </c>
    </row>
    <row r="141" spans="1:26" ht="24" thickTop="1" thickBot="1" x14ac:dyDescent="0.3">
      <c r="A141" s="908">
        <v>1</v>
      </c>
      <c r="B141" s="909" t="s">
        <v>817</v>
      </c>
      <c r="C141" s="909" t="s">
        <v>817</v>
      </c>
      <c r="D141" s="909" t="s">
        <v>738</v>
      </c>
      <c r="E141" s="909" t="s">
        <v>841</v>
      </c>
      <c r="F141" s="909" t="s">
        <v>903</v>
      </c>
      <c r="G141" s="909" t="s">
        <v>970</v>
      </c>
      <c r="H141" s="909" t="s">
        <v>734</v>
      </c>
      <c r="I141" s="909"/>
      <c r="J141" s="909"/>
      <c r="K141" s="910" t="s">
        <v>973</v>
      </c>
      <c r="L141" s="911"/>
      <c r="M141" s="911"/>
      <c r="N141" s="911"/>
      <c r="O141" s="904">
        <f>+L141+M141-N141</f>
        <v>0</v>
      </c>
      <c r="P141" s="911"/>
      <c r="Q141" s="911"/>
      <c r="R141" s="911"/>
      <c r="S141" s="911"/>
      <c r="T141" s="911"/>
      <c r="U141" s="911"/>
      <c r="V141" s="911"/>
      <c r="W141" s="911">
        <f t="shared" si="39"/>
        <v>0</v>
      </c>
      <c r="X141" s="906"/>
      <c r="Y141" s="906"/>
      <c r="Z141" s="843">
        <f t="shared" si="40"/>
        <v>0</v>
      </c>
    </row>
    <row r="142" spans="1:26" ht="24" thickTop="1" thickBot="1" x14ac:dyDescent="0.3">
      <c r="A142" s="908">
        <v>1</v>
      </c>
      <c r="B142" s="909" t="s">
        <v>817</v>
      </c>
      <c r="C142" s="909" t="s">
        <v>817</v>
      </c>
      <c r="D142" s="909" t="s">
        <v>738</v>
      </c>
      <c r="E142" s="909" t="s">
        <v>841</v>
      </c>
      <c r="F142" s="909" t="s">
        <v>903</v>
      </c>
      <c r="G142" s="909" t="s">
        <v>970</v>
      </c>
      <c r="H142" s="909" t="s">
        <v>828</v>
      </c>
      <c r="I142" s="909"/>
      <c r="J142" s="909"/>
      <c r="K142" s="910" t="s">
        <v>974</v>
      </c>
      <c r="L142" s="911"/>
      <c r="M142" s="911"/>
      <c r="N142" s="911"/>
      <c r="O142" s="904">
        <f>+L142+M142-N142</f>
        <v>0</v>
      </c>
      <c r="P142" s="911"/>
      <c r="Q142" s="911"/>
      <c r="R142" s="911"/>
      <c r="S142" s="911"/>
      <c r="T142" s="911"/>
      <c r="U142" s="911"/>
      <c r="V142" s="911"/>
      <c r="W142" s="911">
        <f t="shared" si="39"/>
        <v>0</v>
      </c>
      <c r="X142" s="906"/>
      <c r="Y142" s="906"/>
      <c r="Z142" s="843">
        <f t="shared" si="40"/>
        <v>0</v>
      </c>
    </row>
    <row r="143" spans="1:26" ht="16.5" thickTop="1" thickBot="1" x14ac:dyDescent="0.3">
      <c r="A143" s="908">
        <v>1</v>
      </c>
      <c r="B143" s="909" t="s">
        <v>817</v>
      </c>
      <c r="C143" s="909" t="s">
        <v>817</v>
      </c>
      <c r="D143" s="909" t="s">
        <v>738</v>
      </c>
      <c r="E143" s="909" t="s">
        <v>841</v>
      </c>
      <c r="F143" s="909" t="s">
        <v>903</v>
      </c>
      <c r="G143" s="909" t="s">
        <v>975</v>
      </c>
      <c r="H143" s="909"/>
      <c r="I143" s="909"/>
      <c r="J143" s="909"/>
      <c r="K143" s="910" t="s">
        <v>976</v>
      </c>
      <c r="L143" s="911">
        <f>SUM(L144:L146)</f>
        <v>0</v>
      </c>
      <c r="M143" s="911">
        <f t="shared" ref="M143:V143" si="59">SUM(M144:M146)</f>
        <v>0</v>
      </c>
      <c r="N143" s="911">
        <f t="shared" si="59"/>
        <v>0</v>
      </c>
      <c r="O143" s="911">
        <f t="shared" si="59"/>
        <v>0</v>
      </c>
      <c r="P143" s="911">
        <f t="shared" si="59"/>
        <v>0</v>
      </c>
      <c r="Q143" s="911">
        <f t="shared" si="59"/>
        <v>0</v>
      </c>
      <c r="R143" s="911">
        <f t="shared" si="59"/>
        <v>0</v>
      </c>
      <c r="S143" s="911">
        <f t="shared" si="59"/>
        <v>0</v>
      </c>
      <c r="T143" s="911">
        <f t="shared" si="59"/>
        <v>0</v>
      </c>
      <c r="U143" s="911">
        <f t="shared" si="59"/>
        <v>0</v>
      </c>
      <c r="V143" s="911">
        <f t="shared" si="59"/>
        <v>0</v>
      </c>
      <c r="W143" s="911">
        <f t="shared" si="39"/>
        <v>0</v>
      </c>
      <c r="X143" s="906"/>
      <c r="Y143" s="906"/>
      <c r="Z143" s="843">
        <f t="shared" si="40"/>
        <v>0</v>
      </c>
    </row>
    <row r="144" spans="1:26" ht="16.5" thickTop="1" thickBot="1" x14ac:dyDescent="0.3">
      <c r="A144" s="908">
        <v>1</v>
      </c>
      <c r="B144" s="909" t="s">
        <v>817</v>
      </c>
      <c r="C144" s="909" t="s">
        <v>817</v>
      </c>
      <c r="D144" s="909" t="s">
        <v>738</v>
      </c>
      <c r="E144" s="909" t="s">
        <v>841</v>
      </c>
      <c r="F144" s="909" t="s">
        <v>903</v>
      </c>
      <c r="G144" s="909" t="s">
        <v>975</v>
      </c>
      <c r="H144" s="909" t="s">
        <v>817</v>
      </c>
      <c r="I144" s="909"/>
      <c r="J144" s="909"/>
      <c r="K144" s="910" t="s">
        <v>977</v>
      </c>
      <c r="L144" s="911"/>
      <c r="M144" s="911"/>
      <c r="N144" s="911"/>
      <c r="O144" s="904">
        <f>+L144+M144-N144</f>
        <v>0</v>
      </c>
      <c r="P144" s="911"/>
      <c r="Q144" s="911"/>
      <c r="R144" s="911"/>
      <c r="S144" s="911"/>
      <c r="T144" s="911"/>
      <c r="U144" s="911"/>
      <c r="V144" s="911"/>
      <c r="W144" s="911">
        <f t="shared" ref="W144:W207" si="60">SUBTOTAL(9,P144:S144)</f>
        <v>0</v>
      </c>
      <c r="X144" s="906"/>
      <c r="Y144" s="906"/>
      <c r="Z144" s="843">
        <f t="shared" ref="Z144:Z207" si="61">W144-O144</f>
        <v>0</v>
      </c>
    </row>
    <row r="145" spans="1:26" ht="16.5" thickTop="1" thickBot="1" x14ac:dyDescent="0.3">
      <c r="A145" s="908">
        <v>1</v>
      </c>
      <c r="B145" s="909" t="s">
        <v>817</v>
      </c>
      <c r="C145" s="909" t="s">
        <v>817</v>
      </c>
      <c r="D145" s="909" t="s">
        <v>738</v>
      </c>
      <c r="E145" s="909" t="s">
        <v>841</v>
      </c>
      <c r="F145" s="909" t="s">
        <v>903</v>
      </c>
      <c r="G145" s="909" t="s">
        <v>975</v>
      </c>
      <c r="H145" s="909" t="s">
        <v>734</v>
      </c>
      <c r="I145" s="909"/>
      <c r="J145" s="909"/>
      <c r="K145" s="910" t="s">
        <v>978</v>
      </c>
      <c r="L145" s="911"/>
      <c r="M145" s="911"/>
      <c r="N145" s="911"/>
      <c r="O145" s="904">
        <f>+L145+M145-N145</f>
        <v>0</v>
      </c>
      <c r="P145" s="911"/>
      <c r="Q145" s="911"/>
      <c r="R145" s="911"/>
      <c r="S145" s="911"/>
      <c r="T145" s="911"/>
      <c r="U145" s="911"/>
      <c r="V145" s="911"/>
      <c r="W145" s="911">
        <f t="shared" si="60"/>
        <v>0</v>
      </c>
      <c r="X145" s="906"/>
      <c r="Y145" s="906"/>
      <c r="Z145" s="843">
        <f t="shared" si="61"/>
        <v>0</v>
      </c>
    </row>
    <row r="146" spans="1:26" ht="24" thickTop="1" thickBot="1" x14ac:dyDescent="0.3">
      <c r="A146" s="908">
        <v>1</v>
      </c>
      <c r="B146" s="909" t="s">
        <v>817</v>
      </c>
      <c r="C146" s="909" t="s">
        <v>817</v>
      </c>
      <c r="D146" s="909" t="s">
        <v>738</v>
      </c>
      <c r="E146" s="909" t="s">
        <v>841</v>
      </c>
      <c r="F146" s="909" t="s">
        <v>903</v>
      </c>
      <c r="G146" s="909" t="s">
        <v>975</v>
      </c>
      <c r="H146" s="909" t="s">
        <v>828</v>
      </c>
      <c r="I146" s="909"/>
      <c r="J146" s="909"/>
      <c r="K146" s="910" t="s">
        <v>979</v>
      </c>
      <c r="L146" s="911"/>
      <c r="M146" s="911"/>
      <c r="N146" s="911"/>
      <c r="O146" s="904">
        <f>+L146+M146-N146</f>
        <v>0</v>
      </c>
      <c r="P146" s="911"/>
      <c r="Q146" s="911"/>
      <c r="R146" s="911"/>
      <c r="S146" s="911"/>
      <c r="T146" s="911"/>
      <c r="U146" s="911"/>
      <c r="V146" s="911"/>
      <c r="W146" s="911">
        <f t="shared" si="60"/>
        <v>0</v>
      </c>
      <c r="X146" s="906"/>
      <c r="Y146" s="906"/>
      <c r="Z146" s="843">
        <f t="shared" si="61"/>
        <v>0</v>
      </c>
    </row>
    <row r="147" spans="1:26" ht="16.5" thickTop="1" thickBot="1" x14ac:dyDescent="0.3">
      <c r="A147" s="908">
        <v>1</v>
      </c>
      <c r="B147" s="909" t="s">
        <v>817</v>
      </c>
      <c r="C147" s="909" t="s">
        <v>817</v>
      </c>
      <c r="D147" s="909" t="s">
        <v>738</v>
      </c>
      <c r="E147" s="909" t="s">
        <v>841</v>
      </c>
      <c r="F147" s="909" t="s">
        <v>927</v>
      </c>
      <c r="G147" s="909"/>
      <c r="H147" s="909"/>
      <c r="I147" s="909"/>
      <c r="J147" s="909"/>
      <c r="K147" s="910" t="s">
        <v>980</v>
      </c>
      <c r="L147" s="911">
        <f>+L148+L151+L155+L159+L163+L167+L171+L175+L179+L183</f>
        <v>0</v>
      </c>
      <c r="M147" s="911">
        <f t="shared" ref="M147:V147" si="62">+M148+M151+M155+M159+M163+M167+M171+M175+M179+M183</f>
        <v>0</v>
      </c>
      <c r="N147" s="911">
        <f t="shared" si="62"/>
        <v>0</v>
      </c>
      <c r="O147" s="911">
        <f t="shared" si="62"/>
        <v>0</v>
      </c>
      <c r="P147" s="911">
        <f t="shared" si="62"/>
        <v>0</v>
      </c>
      <c r="Q147" s="911">
        <f t="shared" si="62"/>
        <v>0</v>
      </c>
      <c r="R147" s="911">
        <f t="shared" si="62"/>
        <v>0</v>
      </c>
      <c r="S147" s="911">
        <f t="shared" si="62"/>
        <v>0</v>
      </c>
      <c r="T147" s="911">
        <f t="shared" si="62"/>
        <v>0</v>
      </c>
      <c r="U147" s="911">
        <f t="shared" si="62"/>
        <v>0</v>
      </c>
      <c r="V147" s="911">
        <f t="shared" si="62"/>
        <v>0</v>
      </c>
      <c r="W147" s="911">
        <f t="shared" si="60"/>
        <v>0</v>
      </c>
      <c r="X147" s="906"/>
      <c r="Y147" s="906"/>
      <c r="Z147" s="843">
        <f t="shared" si="61"/>
        <v>0</v>
      </c>
    </row>
    <row r="148" spans="1:26" ht="16.5" thickTop="1" thickBot="1" x14ac:dyDescent="0.3">
      <c r="A148" s="908">
        <v>1</v>
      </c>
      <c r="B148" s="909" t="s">
        <v>817</v>
      </c>
      <c r="C148" s="909" t="s">
        <v>817</v>
      </c>
      <c r="D148" s="909" t="s">
        <v>738</v>
      </c>
      <c r="E148" s="909" t="s">
        <v>841</v>
      </c>
      <c r="F148" s="909" t="s">
        <v>927</v>
      </c>
      <c r="G148" s="909" t="s">
        <v>930</v>
      </c>
      <c r="H148" s="909"/>
      <c r="I148" s="909"/>
      <c r="J148" s="909"/>
      <c r="K148" s="910" t="s">
        <v>931</v>
      </c>
      <c r="L148" s="911">
        <f>SUM(L149:L150)</f>
        <v>0</v>
      </c>
      <c r="M148" s="911">
        <f t="shared" ref="M148:V148" si="63">SUM(M149:M150)</f>
        <v>0</v>
      </c>
      <c r="N148" s="911">
        <f t="shared" si="63"/>
        <v>0</v>
      </c>
      <c r="O148" s="911">
        <f t="shared" si="63"/>
        <v>0</v>
      </c>
      <c r="P148" s="911">
        <f t="shared" si="63"/>
        <v>0</v>
      </c>
      <c r="Q148" s="911">
        <f t="shared" si="63"/>
        <v>0</v>
      </c>
      <c r="R148" s="911">
        <f t="shared" si="63"/>
        <v>0</v>
      </c>
      <c r="S148" s="911">
        <f t="shared" si="63"/>
        <v>0</v>
      </c>
      <c r="T148" s="911">
        <f t="shared" si="63"/>
        <v>0</v>
      </c>
      <c r="U148" s="911">
        <f t="shared" si="63"/>
        <v>0</v>
      </c>
      <c r="V148" s="911">
        <f t="shared" si="63"/>
        <v>0</v>
      </c>
      <c r="W148" s="911">
        <f t="shared" si="60"/>
        <v>0</v>
      </c>
      <c r="X148" s="906"/>
      <c r="Y148" s="906"/>
      <c r="Z148" s="843">
        <f t="shared" si="61"/>
        <v>0</v>
      </c>
    </row>
    <row r="149" spans="1:26" ht="24" thickTop="1" thickBot="1" x14ac:dyDescent="0.3">
      <c r="A149" s="908">
        <v>1</v>
      </c>
      <c r="B149" s="909" t="s">
        <v>817</v>
      </c>
      <c r="C149" s="909" t="s">
        <v>817</v>
      </c>
      <c r="D149" s="909" t="s">
        <v>738</v>
      </c>
      <c r="E149" s="909" t="s">
        <v>841</v>
      </c>
      <c r="F149" s="909" t="s">
        <v>927</v>
      </c>
      <c r="G149" s="909" t="s">
        <v>930</v>
      </c>
      <c r="H149" s="909" t="s">
        <v>817</v>
      </c>
      <c r="I149" s="909"/>
      <c r="J149" s="909"/>
      <c r="K149" s="910" t="s">
        <v>932</v>
      </c>
      <c r="L149" s="911"/>
      <c r="M149" s="911"/>
      <c r="N149" s="911"/>
      <c r="O149" s="904">
        <f>+L149+M149-N149</f>
        <v>0</v>
      </c>
      <c r="P149" s="911"/>
      <c r="Q149" s="911"/>
      <c r="R149" s="911"/>
      <c r="S149" s="911"/>
      <c r="T149" s="911"/>
      <c r="U149" s="911"/>
      <c r="V149" s="911"/>
      <c r="W149" s="911">
        <f t="shared" si="60"/>
        <v>0</v>
      </c>
      <c r="X149" s="906"/>
      <c r="Y149" s="906"/>
      <c r="Z149" s="843">
        <f t="shared" si="61"/>
        <v>0</v>
      </c>
    </row>
    <row r="150" spans="1:26" ht="24" thickTop="1" thickBot="1" x14ac:dyDescent="0.3">
      <c r="A150" s="908">
        <v>1</v>
      </c>
      <c r="B150" s="909" t="s">
        <v>817</v>
      </c>
      <c r="C150" s="909" t="s">
        <v>817</v>
      </c>
      <c r="D150" s="909" t="s">
        <v>738</v>
      </c>
      <c r="E150" s="909" t="s">
        <v>841</v>
      </c>
      <c r="F150" s="909" t="s">
        <v>927</v>
      </c>
      <c r="G150" s="909" t="s">
        <v>930</v>
      </c>
      <c r="H150" s="909" t="s">
        <v>734</v>
      </c>
      <c r="I150" s="909"/>
      <c r="J150" s="909"/>
      <c r="K150" s="910" t="s">
        <v>981</v>
      </c>
      <c r="L150" s="911"/>
      <c r="M150" s="911"/>
      <c r="N150" s="911"/>
      <c r="O150" s="904">
        <f>+L150+M150-N150</f>
        <v>0</v>
      </c>
      <c r="P150" s="911"/>
      <c r="Q150" s="911"/>
      <c r="R150" s="911"/>
      <c r="S150" s="911"/>
      <c r="T150" s="911"/>
      <c r="U150" s="911"/>
      <c r="V150" s="911"/>
      <c r="W150" s="911">
        <f t="shared" si="60"/>
        <v>0</v>
      </c>
      <c r="X150" s="906"/>
      <c r="Y150" s="906"/>
      <c r="Z150" s="843">
        <f t="shared" si="61"/>
        <v>0</v>
      </c>
    </row>
    <row r="151" spans="1:26" ht="16.5" thickTop="1" thickBot="1" x14ac:dyDescent="0.3">
      <c r="A151" s="908">
        <v>1</v>
      </c>
      <c r="B151" s="909" t="s">
        <v>817</v>
      </c>
      <c r="C151" s="909" t="s">
        <v>817</v>
      </c>
      <c r="D151" s="909" t="s">
        <v>738</v>
      </c>
      <c r="E151" s="909" t="s">
        <v>841</v>
      </c>
      <c r="F151" s="909" t="s">
        <v>927</v>
      </c>
      <c r="G151" s="909" t="s">
        <v>735</v>
      </c>
      <c r="H151" s="909"/>
      <c r="I151" s="909"/>
      <c r="J151" s="909"/>
      <c r="K151" s="910" t="s">
        <v>935</v>
      </c>
      <c r="L151" s="911">
        <f>SUM(L152:L154)</f>
        <v>0</v>
      </c>
      <c r="M151" s="911">
        <f t="shared" ref="M151:V151" si="64">SUM(M152:M154)</f>
        <v>0</v>
      </c>
      <c r="N151" s="911">
        <f t="shared" si="64"/>
        <v>0</v>
      </c>
      <c r="O151" s="911">
        <f t="shared" si="64"/>
        <v>0</v>
      </c>
      <c r="P151" s="911">
        <f t="shared" si="64"/>
        <v>0</v>
      </c>
      <c r="Q151" s="911">
        <f t="shared" si="64"/>
        <v>0</v>
      </c>
      <c r="R151" s="911">
        <f t="shared" si="64"/>
        <v>0</v>
      </c>
      <c r="S151" s="911">
        <f t="shared" si="64"/>
        <v>0</v>
      </c>
      <c r="T151" s="911">
        <f t="shared" si="64"/>
        <v>0</v>
      </c>
      <c r="U151" s="911">
        <f t="shared" si="64"/>
        <v>0</v>
      </c>
      <c r="V151" s="911">
        <f t="shared" si="64"/>
        <v>0</v>
      </c>
      <c r="W151" s="911">
        <f t="shared" si="60"/>
        <v>0</v>
      </c>
      <c r="X151" s="906"/>
      <c r="Y151" s="906"/>
      <c r="Z151" s="843">
        <f t="shared" si="61"/>
        <v>0</v>
      </c>
    </row>
    <row r="152" spans="1:26" ht="16.5" thickTop="1" thickBot="1" x14ac:dyDescent="0.3">
      <c r="A152" s="908">
        <v>1</v>
      </c>
      <c r="B152" s="909" t="s">
        <v>817</v>
      </c>
      <c r="C152" s="909" t="s">
        <v>817</v>
      </c>
      <c r="D152" s="909" t="s">
        <v>738</v>
      </c>
      <c r="E152" s="909" t="s">
        <v>841</v>
      </c>
      <c r="F152" s="909" t="s">
        <v>927</v>
      </c>
      <c r="G152" s="909" t="s">
        <v>735</v>
      </c>
      <c r="H152" s="909" t="s">
        <v>817</v>
      </c>
      <c r="I152" s="909"/>
      <c r="J152" s="909"/>
      <c r="K152" s="910" t="s">
        <v>936</v>
      </c>
      <c r="L152" s="911"/>
      <c r="M152" s="911"/>
      <c r="N152" s="911"/>
      <c r="O152" s="904">
        <f>+L152+M152-N152</f>
        <v>0</v>
      </c>
      <c r="P152" s="911"/>
      <c r="Q152" s="911"/>
      <c r="R152" s="911"/>
      <c r="S152" s="911"/>
      <c r="T152" s="911"/>
      <c r="U152" s="911"/>
      <c r="V152" s="911"/>
      <c r="W152" s="911">
        <f t="shared" si="60"/>
        <v>0</v>
      </c>
      <c r="X152" s="906"/>
      <c r="Y152" s="906"/>
      <c r="Z152" s="843">
        <f t="shared" si="61"/>
        <v>0</v>
      </c>
    </row>
    <row r="153" spans="1:26" ht="16.5" thickTop="1" thickBot="1" x14ac:dyDescent="0.3">
      <c r="A153" s="908">
        <v>1</v>
      </c>
      <c r="B153" s="909" t="s">
        <v>817</v>
      </c>
      <c r="C153" s="909" t="s">
        <v>817</v>
      </c>
      <c r="D153" s="909" t="s">
        <v>738</v>
      </c>
      <c r="E153" s="909" t="s">
        <v>841</v>
      </c>
      <c r="F153" s="909" t="s">
        <v>927</v>
      </c>
      <c r="G153" s="909" t="s">
        <v>735</v>
      </c>
      <c r="H153" s="909" t="s">
        <v>734</v>
      </c>
      <c r="I153" s="909"/>
      <c r="J153" s="909"/>
      <c r="K153" s="910" t="s">
        <v>937</v>
      </c>
      <c r="L153" s="911"/>
      <c r="M153" s="911"/>
      <c r="N153" s="911"/>
      <c r="O153" s="904">
        <f>+L153+M153-N153</f>
        <v>0</v>
      </c>
      <c r="P153" s="911"/>
      <c r="Q153" s="911"/>
      <c r="R153" s="911"/>
      <c r="S153" s="911"/>
      <c r="T153" s="911"/>
      <c r="U153" s="911"/>
      <c r="V153" s="911"/>
      <c r="W153" s="911">
        <f t="shared" si="60"/>
        <v>0</v>
      </c>
      <c r="X153" s="906"/>
      <c r="Y153" s="906"/>
      <c r="Z153" s="843">
        <f t="shared" si="61"/>
        <v>0</v>
      </c>
    </row>
    <row r="154" spans="1:26" ht="24" thickTop="1" thickBot="1" x14ac:dyDescent="0.3">
      <c r="A154" s="908">
        <v>1</v>
      </c>
      <c r="B154" s="909" t="s">
        <v>817</v>
      </c>
      <c r="C154" s="909" t="s">
        <v>817</v>
      </c>
      <c r="D154" s="909" t="s">
        <v>738</v>
      </c>
      <c r="E154" s="909" t="s">
        <v>841</v>
      </c>
      <c r="F154" s="909" t="s">
        <v>927</v>
      </c>
      <c r="G154" s="909" t="s">
        <v>735</v>
      </c>
      <c r="H154" s="909" t="s">
        <v>828</v>
      </c>
      <c r="I154" s="909"/>
      <c r="J154" s="909"/>
      <c r="K154" s="910" t="s">
        <v>938</v>
      </c>
      <c r="L154" s="911"/>
      <c r="M154" s="911"/>
      <c r="N154" s="911"/>
      <c r="O154" s="904">
        <f>+L154+M154-N154</f>
        <v>0</v>
      </c>
      <c r="P154" s="911"/>
      <c r="Q154" s="911"/>
      <c r="R154" s="911"/>
      <c r="S154" s="911"/>
      <c r="T154" s="911"/>
      <c r="U154" s="911"/>
      <c r="V154" s="911"/>
      <c r="W154" s="911">
        <f t="shared" si="60"/>
        <v>0</v>
      </c>
      <c r="X154" s="906"/>
      <c r="Y154" s="906"/>
      <c r="Z154" s="843">
        <f t="shared" si="61"/>
        <v>0</v>
      </c>
    </row>
    <row r="155" spans="1:26" ht="24" thickTop="1" thickBot="1" x14ac:dyDescent="0.3">
      <c r="A155" s="908">
        <v>1</v>
      </c>
      <c r="B155" s="909" t="s">
        <v>817</v>
      </c>
      <c r="C155" s="909" t="s">
        <v>817</v>
      </c>
      <c r="D155" s="909" t="s">
        <v>738</v>
      </c>
      <c r="E155" s="909" t="s">
        <v>841</v>
      </c>
      <c r="F155" s="909" t="s">
        <v>927</v>
      </c>
      <c r="G155" s="909" t="s">
        <v>738</v>
      </c>
      <c r="H155" s="909"/>
      <c r="I155" s="909"/>
      <c r="J155" s="909"/>
      <c r="K155" s="910" t="s">
        <v>939</v>
      </c>
      <c r="L155" s="911">
        <f>SUM(L156:L158)</f>
        <v>0</v>
      </c>
      <c r="M155" s="911">
        <f t="shared" ref="M155:V155" si="65">SUM(M156:M158)</f>
        <v>0</v>
      </c>
      <c r="N155" s="911">
        <f t="shared" si="65"/>
        <v>0</v>
      </c>
      <c r="O155" s="911">
        <f t="shared" si="65"/>
        <v>0</v>
      </c>
      <c r="P155" s="911">
        <f t="shared" si="65"/>
        <v>0</v>
      </c>
      <c r="Q155" s="911">
        <f t="shared" si="65"/>
        <v>0</v>
      </c>
      <c r="R155" s="911">
        <f t="shared" si="65"/>
        <v>0</v>
      </c>
      <c r="S155" s="911">
        <f t="shared" si="65"/>
        <v>0</v>
      </c>
      <c r="T155" s="911">
        <f t="shared" si="65"/>
        <v>0</v>
      </c>
      <c r="U155" s="911">
        <f t="shared" si="65"/>
        <v>0</v>
      </c>
      <c r="V155" s="911">
        <f t="shared" si="65"/>
        <v>0</v>
      </c>
      <c r="W155" s="911">
        <f t="shared" si="60"/>
        <v>0</v>
      </c>
      <c r="X155" s="906"/>
      <c r="Y155" s="906"/>
      <c r="Z155" s="843">
        <f t="shared" si="61"/>
        <v>0</v>
      </c>
    </row>
    <row r="156" spans="1:26" ht="24" thickTop="1" thickBot="1" x14ac:dyDescent="0.3">
      <c r="A156" s="908">
        <v>1</v>
      </c>
      <c r="B156" s="909" t="s">
        <v>817</v>
      </c>
      <c r="C156" s="909" t="s">
        <v>817</v>
      </c>
      <c r="D156" s="909" t="s">
        <v>738</v>
      </c>
      <c r="E156" s="909" t="s">
        <v>841</v>
      </c>
      <c r="F156" s="909" t="s">
        <v>927</v>
      </c>
      <c r="G156" s="909" t="s">
        <v>738</v>
      </c>
      <c r="H156" s="909" t="s">
        <v>817</v>
      </c>
      <c r="I156" s="909"/>
      <c r="J156" s="909"/>
      <c r="K156" s="910" t="s">
        <v>940</v>
      </c>
      <c r="L156" s="911"/>
      <c r="M156" s="911"/>
      <c r="N156" s="911"/>
      <c r="O156" s="904">
        <f>+L156+M156-N156</f>
        <v>0</v>
      </c>
      <c r="P156" s="911"/>
      <c r="Q156" s="911"/>
      <c r="R156" s="911"/>
      <c r="S156" s="911"/>
      <c r="T156" s="911"/>
      <c r="U156" s="911"/>
      <c r="V156" s="911"/>
      <c r="W156" s="911">
        <f t="shared" si="60"/>
        <v>0</v>
      </c>
      <c r="X156" s="906"/>
      <c r="Y156" s="906"/>
      <c r="Z156" s="843">
        <f t="shared" si="61"/>
        <v>0</v>
      </c>
    </row>
    <row r="157" spans="1:26" ht="24" thickTop="1" thickBot="1" x14ac:dyDescent="0.3">
      <c r="A157" s="908">
        <v>1</v>
      </c>
      <c r="B157" s="909" t="s">
        <v>817</v>
      </c>
      <c r="C157" s="909" t="s">
        <v>817</v>
      </c>
      <c r="D157" s="909" t="s">
        <v>738</v>
      </c>
      <c r="E157" s="909" t="s">
        <v>841</v>
      </c>
      <c r="F157" s="909" t="s">
        <v>927</v>
      </c>
      <c r="G157" s="909" t="s">
        <v>738</v>
      </c>
      <c r="H157" s="909" t="s">
        <v>734</v>
      </c>
      <c r="I157" s="909"/>
      <c r="J157" s="909"/>
      <c r="K157" s="910" t="s">
        <v>941</v>
      </c>
      <c r="L157" s="911"/>
      <c r="M157" s="911"/>
      <c r="N157" s="911"/>
      <c r="O157" s="904">
        <f>+L157+M157-N157</f>
        <v>0</v>
      </c>
      <c r="P157" s="911"/>
      <c r="Q157" s="911"/>
      <c r="R157" s="911"/>
      <c r="S157" s="911"/>
      <c r="T157" s="911"/>
      <c r="U157" s="911"/>
      <c r="V157" s="911"/>
      <c r="W157" s="911">
        <f t="shared" si="60"/>
        <v>0</v>
      </c>
      <c r="X157" s="906"/>
      <c r="Y157" s="906"/>
      <c r="Z157" s="843">
        <f t="shared" si="61"/>
        <v>0</v>
      </c>
    </row>
    <row r="158" spans="1:26" ht="24" thickTop="1" thickBot="1" x14ac:dyDescent="0.3">
      <c r="A158" s="908">
        <v>1</v>
      </c>
      <c r="B158" s="909" t="s">
        <v>817</v>
      </c>
      <c r="C158" s="909" t="s">
        <v>817</v>
      </c>
      <c r="D158" s="909" t="s">
        <v>738</v>
      </c>
      <c r="E158" s="909" t="s">
        <v>841</v>
      </c>
      <c r="F158" s="909" t="s">
        <v>927</v>
      </c>
      <c r="G158" s="909" t="s">
        <v>738</v>
      </c>
      <c r="H158" s="909" t="s">
        <v>828</v>
      </c>
      <c r="I158" s="909"/>
      <c r="J158" s="909"/>
      <c r="K158" s="910" t="s">
        <v>942</v>
      </c>
      <c r="L158" s="911"/>
      <c r="M158" s="911"/>
      <c r="N158" s="911"/>
      <c r="O158" s="904">
        <f>+L158+M158-N158</f>
        <v>0</v>
      </c>
      <c r="P158" s="911"/>
      <c r="Q158" s="911"/>
      <c r="R158" s="911"/>
      <c r="S158" s="911"/>
      <c r="T158" s="911"/>
      <c r="U158" s="911"/>
      <c r="V158" s="911"/>
      <c r="W158" s="911">
        <f t="shared" si="60"/>
        <v>0</v>
      </c>
      <c r="X158" s="906"/>
      <c r="Y158" s="906"/>
      <c r="Z158" s="843">
        <f t="shared" si="61"/>
        <v>0</v>
      </c>
    </row>
    <row r="159" spans="1:26" ht="24" thickTop="1" thickBot="1" x14ac:dyDescent="0.3">
      <c r="A159" s="908">
        <v>1</v>
      </c>
      <c r="B159" s="909" t="s">
        <v>817</v>
      </c>
      <c r="C159" s="909" t="s">
        <v>817</v>
      </c>
      <c r="D159" s="909" t="s">
        <v>738</v>
      </c>
      <c r="E159" s="909" t="s">
        <v>841</v>
      </c>
      <c r="F159" s="909" t="s">
        <v>927</v>
      </c>
      <c r="G159" s="909" t="s">
        <v>742</v>
      </c>
      <c r="H159" s="909"/>
      <c r="I159" s="909"/>
      <c r="J159" s="909"/>
      <c r="K159" s="910" t="s">
        <v>943</v>
      </c>
      <c r="L159" s="911">
        <f>SUM(L160:L162)</f>
        <v>0</v>
      </c>
      <c r="M159" s="911">
        <f t="shared" ref="M159:V159" si="66">SUM(M160:M162)</f>
        <v>0</v>
      </c>
      <c r="N159" s="911">
        <f t="shared" si="66"/>
        <v>0</v>
      </c>
      <c r="O159" s="911">
        <f t="shared" si="66"/>
        <v>0</v>
      </c>
      <c r="P159" s="911">
        <f t="shared" si="66"/>
        <v>0</v>
      </c>
      <c r="Q159" s="911">
        <f t="shared" si="66"/>
        <v>0</v>
      </c>
      <c r="R159" s="911">
        <f t="shared" si="66"/>
        <v>0</v>
      </c>
      <c r="S159" s="911">
        <f t="shared" si="66"/>
        <v>0</v>
      </c>
      <c r="T159" s="911">
        <f t="shared" si="66"/>
        <v>0</v>
      </c>
      <c r="U159" s="911">
        <f t="shared" si="66"/>
        <v>0</v>
      </c>
      <c r="V159" s="911">
        <f t="shared" si="66"/>
        <v>0</v>
      </c>
      <c r="W159" s="911">
        <f t="shared" si="60"/>
        <v>0</v>
      </c>
      <c r="X159" s="906"/>
      <c r="Y159" s="906"/>
      <c r="Z159" s="843">
        <f t="shared" si="61"/>
        <v>0</v>
      </c>
    </row>
    <row r="160" spans="1:26" ht="24" thickTop="1" thickBot="1" x14ac:dyDescent="0.3">
      <c r="A160" s="908">
        <v>1</v>
      </c>
      <c r="B160" s="909" t="s">
        <v>817</v>
      </c>
      <c r="C160" s="909" t="s">
        <v>817</v>
      </c>
      <c r="D160" s="909" t="s">
        <v>738</v>
      </c>
      <c r="E160" s="909" t="s">
        <v>841</v>
      </c>
      <c r="F160" s="909" t="s">
        <v>927</v>
      </c>
      <c r="G160" s="909" t="s">
        <v>742</v>
      </c>
      <c r="H160" s="909" t="s">
        <v>817</v>
      </c>
      <c r="I160" s="909"/>
      <c r="J160" s="909"/>
      <c r="K160" s="910" t="s">
        <v>944</v>
      </c>
      <c r="L160" s="911"/>
      <c r="M160" s="911"/>
      <c r="N160" s="911"/>
      <c r="O160" s="904">
        <f>+L160+M160-N160</f>
        <v>0</v>
      </c>
      <c r="P160" s="911"/>
      <c r="Q160" s="911"/>
      <c r="R160" s="911"/>
      <c r="S160" s="911"/>
      <c r="T160" s="911"/>
      <c r="U160" s="911"/>
      <c r="V160" s="911"/>
      <c r="W160" s="911">
        <f t="shared" si="60"/>
        <v>0</v>
      </c>
      <c r="X160" s="906"/>
      <c r="Y160" s="906"/>
      <c r="Z160" s="843">
        <f t="shared" si="61"/>
        <v>0</v>
      </c>
    </row>
    <row r="161" spans="1:26" ht="24" thickTop="1" thickBot="1" x14ac:dyDescent="0.3">
      <c r="A161" s="908">
        <v>1</v>
      </c>
      <c r="B161" s="909" t="s">
        <v>817</v>
      </c>
      <c r="C161" s="909" t="s">
        <v>817</v>
      </c>
      <c r="D161" s="909" t="s">
        <v>738</v>
      </c>
      <c r="E161" s="909" t="s">
        <v>841</v>
      </c>
      <c r="F161" s="909" t="s">
        <v>927</v>
      </c>
      <c r="G161" s="909" t="s">
        <v>742</v>
      </c>
      <c r="H161" s="909" t="s">
        <v>734</v>
      </c>
      <c r="I161" s="909"/>
      <c r="J161" s="909"/>
      <c r="K161" s="910" t="s">
        <v>945</v>
      </c>
      <c r="L161" s="911"/>
      <c r="M161" s="911"/>
      <c r="N161" s="911"/>
      <c r="O161" s="904">
        <f>+L161+M161-N161</f>
        <v>0</v>
      </c>
      <c r="P161" s="911"/>
      <c r="Q161" s="911"/>
      <c r="R161" s="911"/>
      <c r="S161" s="911"/>
      <c r="T161" s="911"/>
      <c r="U161" s="911"/>
      <c r="V161" s="911"/>
      <c r="W161" s="911">
        <f t="shared" si="60"/>
        <v>0</v>
      </c>
      <c r="X161" s="906"/>
      <c r="Y161" s="906"/>
      <c r="Z161" s="843">
        <f t="shared" si="61"/>
        <v>0</v>
      </c>
    </row>
    <row r="162" spans="1:26" ht="24" thickTop="1" thickBot="1" x14ac:dyDescent="0.3">
      <c r="A162" s="908">
        <v>1</v>
      </c>
      <c r="B162" s="909" t="s">
        <v>817</v>
      </c>
      <c r="C162" s="909" t="s">
        <v>817</v>
      </c>
      <c r="D162" s="909" t="s">
        <v>738</v>
      </c>
      <c r="E162" s="909" t="s">
        <v>841</v>
      </c>
      <c r="F162" s="909" t="s">
        <v>927</v>
      </c>
      <c r="G162" s="909" t="s">
        <v>742</v>
      </c>
      <c r="H162" s="909" t="s">
        <v>828</v>
      </c>
      <c r="I162" s="909"/>
      <c r="J162" s="909"/>
      <c r="K162" s="910" t="s">
        <v>946</v>
      </c>
      <c r="L162" s="911"/>
      <c r="M162" s="911"/>
      <c r="N162" s="911"/>
      <c r="O162" s="904">
        <f>+L162+M162-N162</f>
        <v>0</v>
      </c>
      <c r="P162" s="911"/>
      <c r="Q162" s="911"/>
      <c r="R162" s="911"/>
      <c r="S162" s="911"/>
      <c r="T162" s="911"/>
      <c r="U162" s="911"/>
      <c r="V162" s="911"/>
      <c r="W162" s="911">
        <f t="shared" si="60"/>
        <v>0</v>
      </c>
      <c r="X162" s="906"/>
      <c r="Y162" s="906"/>
      <c r="Z162" s="843">
        <f t="shared" si="61"/>
        <v>0</v>
      </c>
    </row>
    <row r="163" spans="1:26" ht="16.5" thickTop="1" thickBot="1" x14ac:dyDescent="0.3">
      <c r="A163" s="908">
        <v>1</v>
      </c>
      <c r="B163" s="909" t="s">
        <v>817</v>
      </c>
      <c r="C163" s="909" t="s">
        <v>817</v>
      </c>
      <c r="D163" s="909" t="s">
        <v>738</v>
      </c>
      <c r="E163" s="909" t="s">
        <v>841</v>
      </c>
      <c r="F163" s="909" t="s">
        <v>927</v>
      </c>
      <c r="G163" s="909" t="s">
        <v>758</v>
      </c>
      <c r="H163" s="909"/>
      <c r="I163" s="909"/>
      <c r="J163" s="909"/>
      <c r="K163" s="910" t="s">
        <v>947</v>
      </c>
      <c r="L163" s="911">
        <f>SUM(L164:L166)</f>
        <v>0</v>
      </c>
      <c r="M163" s="911">
        <f t="shared" ref="M163:V163" si="67">SUM(M164:M166)</f>
        <v>0</v>
      </c>
      <c r="N163" s="911">
        <f t="shared" si="67"/>
        <v>0</v>
      </c>
      <c r="O163" s="911">
        <f t="shared" si="67"/>
        <v>0</v>
      </c>
      <c r="P163" s="911">
        <f t="shared" si="67"/>
        <v>0</v>
      </c>
      <c r="Q163" s="911">
        <f t="shared" si="67"/>
        <v>0</v>
      </c>
      <c r="R163" s="911">
        <f t="shared" si="67"/>
        <v>0</v>
      </c>
      <c r="S163" s="911">
        <f t="shared" si="67"/>
        <v>0</v>
      </c>
      <c r="T163" s="911">
        <f t="shared" si="67"/>
        <v>0</v>
      </c>
      <c r="U163" s="911">
        <f t="shared" si="67"/>
        <v>0</v>
      </c>
      <c r="V163" s="911">
        <f t="shared" si="67"/>
        <v>0</v>
      </c>
      <c r="W163" s="911">
        <f t="shared" si="60"/>
        <v>0</v>
      </c>
      <c r="X163" s="906"/>
      <c r="Y163" s="906"/>
      <c r="Z163" s="843">
        <f t="shared" si="61"/>
        <v>0</v>
      </c>
    </row>
    <row r="164" spans="1:26" ht="16.5" thickTop="1" thickBot="1" x14ac:dyDescent="0.3">
      <c r="A164" s="908">
        <v>1</v>
      </c>
      <c r="B164" s="909" t="s">
        <v>817</v>
      </c>
      <c r="C164" s="909" t="s">
        <v>817</v>
      </c>
      <c r="D164" s="909" t="s">
        <v>738</v>
      </c>
      <c r="E164" s="909" t="s">
        <v>841</v>
      </c>
      <c r="F164" s="909" t="s">
        <v>927</v>
      </c>
      <c r="G164" s="909" t="s">
        <v>758</v>
      </c>
      <c r="H164" s="909" t="s">
        <v>817</v>
      </c>
      <c r="I164" s="909"/>
      <c r="J164" s="909"/>
      <c r="K164" s="910" t="s">
        <v>948</v>
      </c>
      <c r="L164" s="911"/>
      <c r="M164" s="911"/>
      <c r="N164" s="911"/>
      <c r="O164" s="904">
        <f>+L164+M164-N164</f>
        <v>0</v>
      </c>
      <c r="P164" s="911"/>
      <c r="Q164" s="911"/>
      <c r="R164" s="911"/>
      <c r="S164" s="911"/>
      <c r="T164" s="911"/>
      <c r="U164" s="911"/>
      <c r="V164" s="911"/>
      <c r="W164" s="911">
        <f t="shared" si="60"/>
        <v>0</v>
      </c>
      <c r="X164" s="906"/>
      <c r="Y164" s="906"/>
      <c r="Z164" s="843">
        <f t="shared" si="61"/>
        <v>0</v>
      </c>
    </row>
    <row r="165" spans="1:26" ht="24" thickTop="1" thickBot="1" x14ac:dyDescent="0.3">
      <c r="A165" s="908">
        <v>1</v>
      </c>
      <c r="B165" s="909" t="s">
        <v>817</v>
      </c>
      <c r="C165" s="909" t="s">
        <v>817</v>
      </c>
      <c r="D165" s="909" t="s">
        <v>738</v>
      </c>
      <c r="E165" s="909" t="s">
        <v>841</v>
      </c>
      <c r="F165" s="909" t="s">
        <v>927</v>
      </c>
      <c r="G165" s="909" t="s">
        <v>758</v>
      </c>
      <c r="H165" s="909" t="s">
        <v>734</v>
      </c>
      <c r="I165" s="909"/>
      <c r="J165" s="909"/>
      <c r="K165" s="910" t="s">
        <v>949</v>
      </c>
      <c r="L165" s="911"/>
      <c r="M165" s="911"/>
      <c r="N165" s="911"/>
      <c r="O165" s="904">
        <f>+L165+M165-N165</f>
        <v>0</v>
      </c>
      <c r="P165" s="911"/>
      <c r="Q165" s="911"/>
      <c r="R165" s="911"/>
      <c r="S165" s="911"/>
      <c r="T165" s="911"/>
      <c r="U165" s="911"/>
      <c r="V165" s="911"/>
      <c r="W165" s="911">
        <f t="shared" si="60"/>
        <v>0</v>
      </c>
      <c r="X165" s="906"/>
      <c r="Y165" s="906"/>
      <c r="Z165" s="843">
        <f t="shared" si="61"/>
        <v>0</v>
      </c>
    </row>
    <row r="166" spans="1:26" ht="24" thickTop="1" thickBot="1" x14ac:dyDescent="0.3">
      <c r="A166" s="908">
        <v>1</v>
      </c>
      <c r="B166" s="909" t="s">
        <v>817</v>
      </c>
      <c r="C166" s="909" t="s">
        <v>817</v>
      </c>
      <c r="D166" s="909" t="s">
        <v>738</v>
      </c>
      <c r="E166" s="909" t="s">
        <v>841</v>
      </c>
      <c r="F166" s="909" t="s">
        <v>927</v>
      </c>
      <c r="G166" s="909" t="s">
        <v>758</v>
      </c>
      <c r="H166" s="909" t="s">
        <v>828</v>
      </c>
      <c r="I166" s="909"/>
      <c r="J166" s="909"/>
      <c r="K166" s="910" t="s">
        <v>950</v>
      </c>
      <c r="L166" s="911"/>
      <c r="M166" s="911"/>
      <c r="N166" s="911"/>
      <c r="O166" s="904">
        <f>+L166+M166-N166</f>
        <v>0</v>
      </c>
      <c r="P166" s="911"/>
      <c r="Q166" s="911"/>
      <c r="R166" s="911"/>
      <c r="S166" s="911"/>
      <c r="T166" s="911"/>
      <c r="U166" s="911"/>
      <c r="V166" s="911"/>
      <c r="W166" s="911">
        <f t="shared" si="60"/>
        <v>0</v>
      </c>
      <c r="X166" s="906"/>
      <c r="Y166" s="906"/>
      <c r="Z166" s="843">
        <f t="shared" si="61"/>
        <v>0</v>
      </c>
    </row>
    <row r="167" spans="1:26" ht="16.5" thickTop="1" thickBot="1" x14ac:dyDescent="0.3">
      <c r="A167" s="908">
        <v>1</v>
      </c>
      <c r="B167" s="909" t="s">
        <v>817</v>
      </c>
      <c r="C167" s="909" t="s">
        <v>817</v>
      </c>
      <c r="D167" s="909" t="s">
        <v>738</v>
      </c>
      <c r="E167" s="909" t="s">
        <v>841</v>
      </c>
      <c r="F167" s="909" t="s">
        <v>927</v>
      </c>
      <c r="G167" s="909" t="s">
        <v>841</v>
      </c>
      <c r="H167" s="909"/>
      <c r="I167" s="909"/>
      <c r="J167" s="909"/>
      <c r="K167" s="910" t="s">
        <v>951</v>
      </c>
      <c r="L167" s="911">
        <f>SUM(L168:L170)</f>
        <v>0</v>
      </c>
      <c r="M167" s="911">
        <f t="shared" ref="M167:V167" si="68">SUM(M168:M170)</f>
        <v>0</v>
      </c>
      <c r="N167" s="911">
        <f t="shared" si="68"/>
        <v>0</v>
      </c>
      <c r="O167" s="911">
        <f t="shared" si="68"/>
        <v>0</v>
      </c>
      <c r="P167" s="911">
        <f t="shared" si="68"/>
        <v>0</v>
      </c>
      <c r="Q167" s="911">
        <f t="shared" si="68"/>
        <v>0</v>
      </c>
      <c r="R167" s="911">
        <f t="shared" si="68"/>
        <v>0</v>
      </c>
      <c r="S167" s="911">
        <f t="shared" si="68"/>
        <v>0</v>
      </c>
      <c r="T167" s="911">
        <f t="shared" si="68"/>
        <v>0</v>
      </c>
      <c r="U167" s="911">
        <f t="shared" si="68"/>
        <v>0</v>
      </c>
      <c r="V167" s="911">
        <f t="shared" si="68"/>
        <v>0</v>
      </c>
      <c r="W167" s="911">
        <f t="shared" si="60"/>
        <v>0</v>
      </c>
      <c r="X167" s="906"/>
      <c r="Y167" s="906"/>
      <c r="Z167" s="843">
        <f t="shared" si="61"/>
        <v>0</v>
      </c>
    </row>
    <row r="168" spans="1:26" ht="16.5" thickTop="1" thickBot="1" x14ac:dyDescent="0.3">
      <c r="A168" s="908">
        <v>1</v>
      </c>
      <c r="B168" s="909" t="s">
        <v>817</v>
      </c>
      <c r="C168" s="909" t="s">
        <v>817</v>
      </c>
      <c r="D168" s="909" t="s">
        <v>738</v>
      </c>
      <c r="E168" s="909" t="s">
        <v>841</v>
      </c>
      <c r="F168" s="909" t="s">
        <v>927</v>
      </c>
      <c r="G168" s="909" t="s">
        <v>841</v>
      </c>
      <c r="H168" s="909" t="s">
        <v>817</v>
      </c>
      <c r="I168" s="909"/>
      <c r="J168" s="909"/>
      <c r="K168" s="910" t="s">
        <v>952</v>
      </c>
      <c r="L168" s="911"/>
      <c r="M168" s="911"/>
      <c r="N168" s="911"/>
      <c r="O168" s="904">
        <f>+L168+M168-N168</f>
        <v>0</v>
      </c>
      <c r="P168" s="911"/>
      <c r="Q168" s="911"/>
      <c r="R168" s="911"/>
      <c r="S168" s="911"/>
      <c r="T168" s="911"/>
      <c r="U168" s="911"/>
      <c r="V168" s="911"/>
      <c r="W168" s="911">
        <f t="shared" si="60"/>
        <v>0</v>
      </c>
      <c r="X168" s="906"/>
      <c r="Y168" s="906"/>
      <c r="Z168" s="843">
        <f t="shared" si="61"/>
        <v>0</v>
      </c>
    </row>
    <row r="169" spans="1:26" ht="16.5" thickTop="1" thickBot="1" x14ac:dyDescent="0.3">
      <c r="A169" s="908">
        <v>1</v>
      </c>
      <c r="B169" s="909" t="s">
        <v>817</v>
      </c>
      <c r="C169" s="909" t="s">
        <v>817</v>
      </c>
      <c r="D169" s="909" t="s">
        <v>738</v>
      </c>
      <c r="E169" s="909" t="s">
        <v>841</v>
      </c>
      <c r="F169" s="909" t="s">
        <v>927</v>
      </c>
      <c r="G169" s="909" t="s">
        <v>841</v>
      </c>
      <c r="H169" s="909" t="s">
        <v>734</v>
      </c>
      <c r="I169" s="909"/>
      <c r="J169" s="909"/>
      <c r="K169" s="910" t="s">
        <v>953</v>
      </c>
      <c r="L169" s="911"/>
      <c r="M169" s="911"/>
      <c r="N169" s="911"/>
      <c r="O169" s="904">
        <f>+L169+M169-N169</f>
        <v>0</v>
      </c>
      <c r="P169" s="911"/>
      <c r="Q169" s="911"/>
      <c r="R169" s="911"/>
      <c r="S169" s="911"/>
      <c r="T169" s="911"/>
      <c r="U169" s="911"/>
      <c r="V169" s="911"/>
      <c r="W169" s="911">
        <f t="shared" si="60"/>
        <v>0</v>
      </c>
      <c r="X169" s="906"/>
      <c r="Y169" s="906"/>
      <c r="Z169" s="843">
        <f t="shared" si="61"/>
        <v>0</v>
      </c>
    </row>
    <row r="170" spans="1:26" ht="16.5" thickTop="1" thickBot="1" x14ac:dyDescent="0.3">
      <c r="A170" s="908">
        <v>1</v>
      </c>
      <c r="B170" s="909" t="s">
        <v>817</v>
      </c>
      <c r="C170" s="909" t="s">
        <v>817</v>
      </c>
      <c r="D170" s="909" t="s">
        <v>738</v>
      </c>
      <c r="E170" s="909" t="s">
        <v>841</v>
      </c>
      <c r="F170" s="909" t="s">
        <v>927</v>
      </c>
      <c r="G170" s="909" t="s">
        <v>841</v>
      </c>
      <c r="H170" s="909" t="s">
        <v>828</v>
      </c>
      <c r="I170" s="909"/>
      <c r="J170" s="909"/>
      <c r="K170" s="910" t="s">
        <v>954</v>
      </c>
      <c r="L170" s="911"/>
      <c r="M170" s="911"/>
      <c r="N170" s="911"/>
      <c r="O170" s="904">
        <f>+L170+M170-N170</f>
        <v>0</v>
      </c>
      <c r="P170" s="911"/>
      <c r="Q170" s="911"/>
      <c r="R170" s="911"/>
      <c r="S170" s="911"/>
      <c r="T170" s="911"/>
      <c r="U170" s="911"/>
      <c r="V170" s="911"/>
      <c r="W170" s="911">
        <f t="shared" si="60"/>
        <v>0</v>
      </c>
      <c r="X170" s="906"/>
      <c r="Y170" s="906"/>
      <c r="Z170" s="843">
        <f t="shared" si="61"/>
        <v>0</v>
      </c>
    </row>
    <row r="171" spans="1:26" ht="35.25" thickTop="1" thickBot="1" x14ac:dyDescent="0.3">
      <c r="A171" s="908">
        <v>1</v>
      </c>
      <c r="B171" s="909" t="s">
        <v>817</v>
      </c>
      <c r="C171" s="909" t="s">
        <v>817</v>
      </c>
      <c r="D171" s="909" t="s">
        <v>738</v>
      </c>
      <c r="E171" s="909" t="s">
        <v>841</v>
      </c>
      <c r="F171" s="909" t="s">
        <v>927</v>
      </c>
      <c r="G171" s="909" t="s">
        <v>955</v>
      </c>
      <c r="H171" s="909"/>
      <c r="I171" s="909"/>
      <c r="J171" s="909"/>
      <c r="K171" s="910" t="s">
        <v>956</v>
      </c>
      <c r="L171" s="911">
        <f>SUM(L172:L174)</f>
        <v>0</v>
      </c>
      <c r="M171" s="911">
        <f t="shared" ref="M171:V171" si="69">SUM(M172:M174)</f>
        <v>0</v>
      </c>
      <c r="N171" s="911">
        <f t="shared" si="69"/>
        <v>0</v>
      </c>
      <c r="O171" s="911">
        <f t="shared" si="69"/>
        <v>0</v>
      </c>
      <c r="P171" s="911">
        <f t="shared" si="69"/>
        <v>0</v>
      </c>
      <c r="Q171" s="911">
        <f t="shared" si="69"/>
        <v>0</v>
      </c>
      <c r="R171" s="911">
        <f t="shared" si="69"/>
        <v>0</v>
      </c>
      <c r="S171" s="911">
        <f t="shared" si="69"/>
        <v>0</v>
      </c>
      <c r="T171" s="911">
        <f t="shared" si="69"/>
        <v>0</v>
      </c>
      <c r="U171" s="911">
        <f t="shared" si="69"/>
        <v>0</v>
      </c>
      <c r="V171" s="911">
        <f t="shared" si="69"/>
        <v>0</v>
      </c>
      <c r="W171" s="911">
        <f t="shared" si="60"/>
        <v>0</v>
      </c>
      <c r="X171" s="906"/>
      <c r="Y171" s="906"/>
      <c r="Z171" s="843">
        <f t="shared" si="61"/>
        <v>0</v>
      </c>
    </row>
    <row r="172" spans="1:26" ht="35.25" thickTop="1" thickBot="1" x14ac:dyDescent="0.3">
      <c r="A172" s="908">
        <v>1</v>
      </c>
      <c r="B172" s="909" t="s">
        <v>817</v>
      </c>
      <c r="C172" s="909" t="s">
        <v>817</v>
      </c>
      <c r="D172" s="909" t="s">
        <v>738</v>
      </c>
      <c r="E172" s="909" t="s">
        <v>841</v>
      </c>
      <c r="F172" s="909" t="s">
        <v>927</v>
      </c>
      <c r="G172" s="909" t="s">
        <v>955</v>
      </c>
      <c r="H172" s="909" t="s">
        <v>817</v>
      </c>
      <c r="I172" s="909"/>
      <c r="J172" s="909"/>
      <c r="K172" s="910" t="s">
        <v>982</v>
      </c>
      <c r="L172" s="911"/>
      <c r="M172" s="911"/>
      <c r="N172" s="911"/>
      <c r="O172" s="904">
        <f>+L172+M172-N172</f>
        <v>0</v>
      </c>
      <c r="P172" s="911"/>
      <c r="Q172" s="911"/>
      <c r="R172" s="911"/>
      <c r="S172" s="911"/>
      <c r="T172" s="911"/>
      <c r="U172" s="911"/>
      <c r="V172" s="911"/>
      <c r="W172" s="911">
        <f t="shared" si="60"/>
        <v>0</v>
      </c>
      <c r="X172" s="906"/>
      <c r="Y172" s="906"/>
      <c r="Z172" s="843">
        <f t="shared" si="61"/>
        <v>0</v>
      </c>
    </row>
    <row r="173" spans="1:26" ht="35.25" thickTop="1" thickBot="1" x14ac:dyDescent="0.3">
      <c r="A173" s="908">
        <v>1</v>
      </c>
      <c r="B173" s="909" t="s">
        <v>817</v>
      </c>
      <c r="C173" s="909" t="s">
        <v>817</v>
      </c>
      <c r="D173" s="909" t="s">
        <v>738</v>
      </c>
      <c r="E173" s="909" t="s">
        <v>841</v>
      </c>
      <c r="F173" s="909" t="s">
        <v>927</v>
      </c>
      <c r="G173" s="909" t="s">
        <v>955</v>
      </c>
      <c r="H173" s="909" t="s">
        <v>734</v>
      </c>
      <c r="I173" s="909"/>
      <c r="J173" s="909"/>
      <c r="K173" s="910" t="s">
        <v>958</v>
      </c>
      <c r="L173" s="911"/>
      <c r="M173" s="911"/>
      <c r="N173" s="911"/>
      <c r="O173" s="904">
        <f>+L173+M173-N173</f>
        <v>0</v>
      </c>
      <c r="P173" s="911"/>
      <c r="Q173" s="911"/>
      <c r="R173" s="911"/>
      <c r="S173" s="911"/>
      <c r="T173" s="911"/>
      <c r="U173" s="911"/>
      <c r="V173" s="911"/>
      <c r="W173" s="911">
        <f t="shared" si="60"/>
        <v>0</v>
      </c>
      <c r="X173" s="906"/>
      <c r="Y173" s="906"/>
      <c r="Z173" s="843">
        <f t="shared" si="61"/>
        <v>0</v>
      </c>
    </row>
    <row r="174" spans="1:26" ht="46.5" thickTop="1" thickBot="1" x14ac:dyDescent="0.3">
      <c r="A174" s="908">
        <v>1</v>
      </c>
      <c r="B174" s="909" t="s">
        <v>817</v>
      </c>
      <c r="C174" s="909" t="s">
        <v>817</v>
      </c>
      <c r="D174" s="909" t="s">
        <v>738</v>
      </c>
      <c r="E174" s="909" t="s">
        <v>841</v>
      </c>
      <c r="F174" s="909" t="s">
        <v>927</v>
      </c>
      <c r="G174" s="909" t="s">
        <v>955</v>
      </c>
      <c r="H174" s="909" t="s">
        <v>828</v>
      </c>
      <c r="I174" s="909"/>
      <c r="J174" s="909"/>
      <c r="K174" s="910" t="s">
        <v>959</v>
      </c>
      <c r="L174" s="911"/>
      <c r="M174" s="911"/>
      <c r="N174" s="911"/>
      <c r="O174" s="904">
        <f>+L174+M174-N174</f>
        <v>0</v>
      </c>
      <c r="P174" s="911"/>
      <c r="Q174" s="911"/>
      <c r="R174" s="911"/>
      <c r="S174" s="911"/>
      <c r="T174" s="911"/>
      <c r="U174" s="911"/>
      <c r="V174" s="911"/>
      <c r="W174" s="911">
        <f t="shared" si="60"/>
        <v>0</v>
      </c>
      <c r="X174" s="906"/>
      <c r="Y174" s="906"/>
      <c r="Z174" s="843">
        <f t="shared" si="61"/>
        <v>0</v>
      </c>
    </row>
    <row r="175" spans="1:26" ht="24" thickTop="1" thickBot="1" x14ac:dyDescent="0.3">
      <c r="A175" s="908">
        <v>1</v>
      </c>
      <c r="B175" s="909" t="s">
        <v>817</v>
      </c>
      <c r="C175" s="909" t="s">
        <v>817</v>
      </c>
      <c r="D175" s="909" t="s">
        <v>738</v>
      </c>
      <c r="E175" s="909" t="s">
        <v>841</v>
      </c>
      <c r="F175" s="909" t="s">
        <v>927</v>
      </c>
      <c r="G175" s="909" t="s">
        <v>960</v>
      </c>
      <c r="H175" s="909"/>
      <c r="I175" s="909"/>
      <c r="J175" s="909"/>
      <c r="K175" s="910" t="s">
        <v>961</v>
      </c>
      <c r="L175" s="911">
        <f>SUM(L176:L178)</f>
        <v>0</v>
      </c>
      <c r="M175" s="911">
        <f t="shared" ref="M175:V175" si="70">SUM(M176:M178)</f>
        <v>0</v>
      </c>
      <c r="N175" s="911">
        <f t="shared" si="70"/>
        <v>0</v>
      </c>
      <c r="O175" s="911">
        <f t="shared" si="70"/>
        <v>0</v>
      </c>
      <c r="P175" s="911">
        <f t="shared" si="70"/>
        <v>0</v>
      </c>
      <c r="Q175" s="911">
        <f t="shared" si="70"/>
        <v>0</v>
      </c>
      <c r="R175" s="911">
        <f t="shared" si="70"/>
        <v>0</v>
      </c>
      <c r="S175" s="911">
        <f t="shared" si="70"/>
        <v>0</v>
      </c>
      <c r="T175" s="911">
        <f t="shared" si="70"/>
        <v>0</v>
      </c>
      <c r="U175" s="911">
        <f t="shared" si="70"/>
        <v>0</v>
      </c>
      <c r="V175" s="911">
        <f t="shared" si="70"/>
        <v>0</v>
      </c>
      <c r="W175" s="911">
        <f t="shared" si="60"/>
        <v>0</v>
      </c>
      <c r="X175" s="906"/>
      <c r="Y175" s="906"/>
      <c r="Z175" s="843">
        <f t="shared" si="61"/>
        <v>0</v>
      </c>
    </row>
    <row r="176" spans="1:26" ht="24" thickTop="1" thickBot="1" x14ac:dyDescent="0.3">
      <c r="A176" s="908">
        <v>1</v>
      </c>
      <c r="B176" s="909" t="s">
        <v>817</v>
      </c>
      <c r="C176" s="909" t="s">
        <v>817</v>
      </c>
      <c r="D176" s="909" t="s">
        <v>738</v>
      </c>
      <c r="E176" s="909" t="s">
        <v>841</v>
      </c>
      <c r="F176" s="909" t="s">
        <v>927</v>
      </c>
      <c r="G176" s="909" t="s">
        <v>960</v>
      </c>
      <c r="H176" s="909" t="s">
        <v>817</v>
      </c>
      <c r="I176" s="909"/>
      <c r="J176" s="909"/>
      <c r="K176" s="910" t="s">
        <v>963</v>
      </c>
      <c r="L176" s="911"/>
      <c r="M176" s="911"/>
      <c r="N176" s="911"/>
      <c r="O176" s="904">
        <f>+L176+M176-N176</f>
        <v>0</v>
      </c>
      <c r="P176" s="911"/>
      <c r="Q176" s="911"/>
      <c r="R176" s="911"/>
      <c r="S176" s="911"/>
      <c r="T176" s="911"/>
      <c r="U176" s="911"/>
      <c r="V176" s="911"/>
      <c r="W176" s="911">
        <f t="shared" si="60"/>
        <v>0</v>
      </c>
      <c r="X176" s="906"/>
      <c r="Y176" s="906"/>
      <c r="Z176" s="843">
        <f t="shared" si="61"/>
        <v>0</v>
      </c>
    </row>
    <row r="177" spans="1:26" ht="24" thickTop="1" thickBot="1" x14ac:dyDescent="0.3">
      <c r="A177" s="908">
        <v>1</v>
      </c>
      <c r="B177" s="909" t="s">
        <v>817</v>
      </c>
      <c r="C177" s="909" t="s">
        <v>817</v>
      </c>
      <c r="D177" s="909" t="s">
        <v>738</v>
      </c>
      <c r="E177" s="909" t="s">
        <v>841</v>
      </c>
      <c r="F177" s="909" t="s">
        <v>927</v>
      </c>
      <c r="G177" s="909" t="s">
        <v>960</v>
      </c>
      <c r="H177" s="909" t="s">
        <v>734</v>
      </c>
      <c r="I177" s="909"/>
      <c r="J177" s="909"/>
      <c r="K177" s="910" t="s">
        <v>962</v>
      </c>
      <c r="L177" s="911"/>
      <c r="M177" s="911"/>
      <c r="N177" s="911"/>
      <c r="O177" s="904">
        <f>+L177+M177-N177</f>
        <v>0</v>
      </c>
      <c r="P177" s="911"/>
      <c r="Q177" s="911"/>
      <c r="R177" s="911"/>
      <c r="S177" s="911"/>
      <c r="T177" s="911"/>
      <c r="U177" s="911"/>
      <c r="V177" s="911"/>
      <c r="W177" s="911">
        <f t="shared" si="60"/>
        <v>0</v>
      </c>
      <c r="X177" s="906"/>
      <c r="Y177" s="906"/>
      <c r="Z177" s="843">
        <f t="shared" si="61"/>
        <v>0</v>
      </c>
    </row>
    <row r="178" spans="1:26" ht="35.25" thickTop="1" thickBot="1" x14ac:dyDescent="0.3">
      <c r="A178" s="908">
        <v>1</v>
      </c>
      <c r="B178" s="909" t="s">
        <v>817</v>
      </c>
      <c r="C178" s="909" t="s">
        <v>817</v>
      </c>
      <c r="D178" s="909" t="s">
        <v>738</v>
      </c>
      <c r="E178" s="909" t="s">
        <v>841</v>
      </c>
      <c r="F178" s="909" t="s">
        <v>927</v>
      </c>
      <c r="G178" s="909" t="s">
        <v>960</v>
      </c>
      <c r="H178" s="909" t="s">
        <v>828</v>
      </c>
      <c r="I178" s="909"/>
      <c r="J178" s="909"/>
      <c r="K178" s="910" t="s">
        <v>964</v>
      </c>
      <c r="L178" s="911"/>
      <c r="M178" s="911"/>
      <c r="N178" s="911"/>
      <c r="O178" s="904">
        <f>+L178+M178-N178</f>
        <v>0</v>
      </c>
      <c r="P178" s="911"/>
      <c r="Q178" s="911"/>
      <c r="R178" s="911"/>
      <c r="S178" s="911"/>
      <c r="T178" s="911"/>
      <c r="U178" s="911"/>
      <c r="V178" s="911"/>
      <c r="W178" s="911">
        <f t="shared" si="60"/>
        <v>0</v>
      </c>
      <c r="X178" s="906"/>
      <c r="Y178" s="906"/>
      <c r="Z178" s="843">
        <f t="shared" si="61"/>
        <v>0</v>
      </c>
    </row>
    <row r="179" spans="1:26" ht="24" thickTop="1" thickBot="1" x14ac:dyDescent="0.3">
      <c r="A179" s="908">
        <v>1</v>
      </c>
      <c r="B179" s="909" t="s">
        <v>817</v>
      </c>
      <c r="C179" s="909" t="s">
        <v>817</v>
      </c>
      <c r="D179" s="909" t="s">
        <v>738</v>
      </c>
      <c r="E179" s="909" t="s">
        <v>841</v>
      </c>
      <c r="F179" s="909" t="s">
        <v>927</v>
      </c>
      <c r="G179" s="909" t="s">
        <v>965</v>
      </c>
      <c r="H179" s="909"/>
      <c r="I179" s="909"/>
      <c r="J179" s="909"/>
      <c r="K179" s="910" t="s">
        <v>966</v>
      </c>
      <c r="L179" s="911">
        <f>SUM(L180:L182)</f>
        <v>0</v>
      </c>
      <c r="M179" s="911">
        <f t="shared" ref="M179:V179" si="71">SUM(M180:M182)</f>
        <v>0</v>
      </c>
      <c r="N179" s="911">
        <f t="shared" si="71"/>
        <v>0</v>
      </c>
      <c r="O179" s="911">
        <f t="shared" si="71"/>
        <v>0</v>
      </c>
      <c r="P179" s="911">
        <f t="shared" si="71"/>
        <v>0</v>
      </c>
      <c r="Q179" s="911">
        <f t="shared" si="71"/>
        <v>0</v>
      </c>
      <c r="R179" s="911">
        <f t="shared" si="71"/>
        <v>0</v>
      </c>
      <c r="S179" s="911">
        <f t="shared" si="71"/>
        <v>0</v>
      </c>
      <c r="T179" s="911">
        <f t="shared" si="71"/>
        <v>0</v>
      </c>
      <c r="U179" s="911">
        <f t="shared" si="71"/>
        <v>0</v>
      </c>
      <c r="V179" s="911">
        <f t="shared" si="71"/>
        <v>0</v>
      </c>
      <c r="W179" s="911">
        <f t="shared" si="60"/>
        <v>0</v>
      </c>
      <c r="X179" s="906"/>
      <c r="Y179" s="906"/>
      <c r="Z179" s="843">
        <f t="shared" si="61"/>
        <v>0</v>
      </c>
    </row>
    <row r="180" spans="1:26" ht="24" thickTop="1" thickBot="1" x14ac:dyDescent="0.3">
      <c r="A180" s="908">
        <v>1</v>
      </c>
      <c r="B180" s="909" t="s">
        <v>817</v>
      </c>
      <c r="C180" s="909" t="s">
        <v>817</v>
      </c>
      <c r="D180" s="909" t="s">
        <v>738</v>
      </c>
      <c r="E180" s="909" t="s">
        <v>841</v>
      </c>
      <c r="F180" s="909" t="s">
        <v>927</v>
      </c>
      <c r="G180" s="909" t="s">
        <v>965</v>
      </c>
      <c r="H180" s="909" t="s">
        <v>817</v>
      </c>
      <c r="I180" s="909"/>
      <c r="J180" s="909"/>
      <c r="K180" s="910" t="s">
        <v>967</v>
      </c>
      <c r="L180" s="911"/>
      <c r="M180" s="911"/>
      <c r="N180" s="911"/>
      <c r="O180" s="904">
        <f>+L180+M180-N180</f>
        <v>0</v>
      </c>
      <c r="P180" s="911"/>
      <c r="Q180" s="911"/>
      <c r="R180" s="911"/>
      <c r="S180" s="911"/>
      <c r="T180" s="911"/>
      <c r="U180" s="911"/>
      <c r="V180" s="911"/>
      <c r="W180" s="911">
        <f t="shared" si="60"/>
        <v>0</v>
      </c>
      <c r="X180" s="906"/>
      <c r="Y180" s="906"/>
      <c r="Z180" s="843">
        <f t="shared" si="61"/>
        <v>0</v>
      </c>
    </row>
    <row r="181" spans="1:26" ht="24" thickTop="1" thickBot="1" x14ac:dyDescent="0.3">
      <c r="A181" s="908">
        <v>1</v>
      </c>
      <c r="B181" s="909" t="s">
        <v>817</v>
      </c>
      <c r="C181" s="909" t="s">
        <v>817</v>
      </c>
      <c r="D181" s="909" t="s">
        <v>738</v>
      </c>
      <c r="E181" s="909" t="s">
        <v>841</v>
      </c>
      <c r="F181" s="909" t="s">
        <v>927</v>
      </c>
      <c r="G181" s="909" t="s">
        <v>965</v>
      </c>
      <c r="H181" s="909" t="s">
        <v>734</v>
      </c>
      <c r="I181" s="909"/>
      <c r="J181" s="909"/>
      <c r="K181" s="910" t="s">
        <v>968</v>
      </c>
      <c r="L181" s="911"/>
      <c r="M181" s="911"/>
      <c r="N181" s="911"/>
      <c r="O181" s="904">
        <f>+L181+M181-N181</f>
        <v>0</v>
      </c>
      <c r="P181" s="911"/>
      <c r="Q181" s="911"/>
      <c r="R181" s="911"/>
      <c r="S181" s="911"/>
      <c r="T181" s="911"/>
      <c r="U181" s="911"/>
      <c r="V181" s="911"/>
      <c r="W181" s="911">
        <f t="shared" si="60"/>
        <v>0</v>
      </c>
      <c r="X181" s="906"/>
      <c r="Y181" s="906"/>
      <c r="Z181" s="843">
        <f t="shared" si="61"/>
        <v>0</v>
      </c>
    </row>
    <row r="182" spans="1:26" ht="24" thickTop="1" thickBot="1" x14ac:dyDescent="0.3">
      <c r="A182" s="908">
        <v>1</v>
      </c>
      <c r="B182" s="909" t="s">
        <v>817</v>
      </c>
      <c r="C182" s="909" t="s">
        <v>817</v>
      </c>
      <c r="D182" s="909" t="s">
        <v>738</v>
      </c>
      <c r="E182" s="909" t="s">
        <v>841</v>
      </c>
      <c r="F182" s="909" t="s">
        <v>927</v>
      </c>
      <c r="G182" s="909" t="s">
        <v>965</v>
      </c>
      <c r="H182" s="909" t="s">
        <v>828</v>
      </c>
      <c r="I182" s="909"/>
      <c r="J182" s="909"/>
      <c r="K182" s="910" t="s">
        <v>983</v>
      </c>
      <c r="L182" s="911"/>
      <c r="M182" s="911"/>
      <c r="N182" s="911"/>
      <c r="O182" s="904">
        <f>+L182+M182-N182</f>
        <v>0</v>
      </c>
      <c r="P182" s="911"/>
      <c r="Q182" s="911"/>
      <c r="R182" s="911"/>
      <c r="S182" s="911"/>
      <c r="T182" s="911"/>
      <c r="U182" s="911"/>
      <c r="V182" s="911"/>
      <c r="W182" s="911">
        <f t="shared" si="60"/>
        <v>0</v>
      </c>
      <c r="X182" s="906"/>
      <c r="Y182" s="906"/>
      <c r="Z182" s="843">
        <f t="shared" si="61"/>
        <v>0</v>
      </c>
    </row>
    <row r="183" spans="1:26" ht="16.5" thickTop="1" thickBot="1" x14ac:dyDescent="0.3">
      <c r="A183" s="908">
        <v>1</v>
      </c>
      <c r="B183" s="909" t="s">
        <v>817</v>
      </c>
      <c r="C183" s="909" t="s">
        <v>817</v>
      </c>
      <c r="D183" s="909" t="s">
        <v>738</v>
      </c>
      <c r="E183" s="909" t="s">
        <v>841</v>
      </c>
      <c r="F183" s="909" t="s">
        <v>927</v>
      </c>
      <c r="G183" s="909" t="s">
        <v>970</v>
      </c>
      <c r="H183" s="909"/>
      <c r="I183" s="909"/>
      <c r="J183" s="909"/>
      <c r="K183" s="910" t="s">
        <v>971</v>
      </c>
      <c r="L183" s="911">
        <f>SUM(L184:L186)</f>
        <v>0</v>
      </c>
      <c r="M183" s="911">
        <f t="shared" ref="M183:V183" si="72">SUM(M184:M186)</f>
        <v>0</v>
      </c>
      <c r="N183" s="911">
        <f t="shared" si="72"/>
        <v>0</v>
      </c>
      <c r="O183" s="911">
        <f t="shared" si="72"/>
        <v>0</v>
      </c>
      <c r="P183" s="911">
        <f t="shared" si="72"/>
        <v>0</v>
      </c>
      <c r="Q183" s="911">
        <f t="shared" si="72"/>
        <v>0</v>
      </c>
      <c r="R183" s="911">
        <f t="shared" si="72"/>
        <v>0</v>
      </c>
      <c r="S183" s="911">
        <f t="shared" si="72"/>
        <v>0</v>
      </c>
      <c r="T183" s="911">
        <f t="shared" si="72"/>
        <v>0</v>
      </c>
      <c r="U183" s="911">
        <f t="shared" si="72"/>
        <v>0</v>
      </c>
      <c r="V183" s="911">
        <f t="shared" si="72"/>
        <v>0</v>
      </c>
      <c r="W183" s="911">
        <f t="shared" si="60"/>
        <v>0</v>
      </c>
      <c r="X183" s="906"/>
      <c r="Y183" s="906"/>
      <c r="Z183" s="843">
        <f t="shared" si="61"/>
        <v>0</v>
      </c>
    </row>
    <row r="184" spans="1:26" ht="24" thickTop="1" thickBot="1" x14ac:dyDescent="0.3">
      <c r="A184" s="908">
        <v>1</v>
      </c>
      <c r="B184" s="909" t="s">
        <v>817</v>
      </c>
      <c r="C184" s="909" t="s">
        <v>817</v>
      </c>
      <c r="D184" s="909" t="s">
        <v>738</v>
      </c>
      <c r="E184" s="909" t="s">
        <v>841</v>
      </c>
      <c r="F184" s="909" t="s">
        <v>927</v>
      </c>
      <c r="G184" s="909" t="s">
        <v>970</v>
      </c>
      <c r="H184" s="909" t="s">
        <v>817</v>
      </c>
      <c r="I184" s="909"/>
      <c r="J184" s="909"/>
      <c r="K184" s="910" t="s">
        <v>972</v>
      </c>
      <c r="L184" s="911"/>
      <c r="M184" s="911"/>
      <c r="N184" s="911"/>
      <c r="O184" s="904">
        <f>+L184+M184-N184</f>
        <v>0</v>
      </c>
      <c r="P184" s="911"/>
      <c r="Q184" s="911"/>
      <c r="R184" s="911"/>
      <c r="S184" s="911"/>
      <c r="T184" s="911"/>
      <c r="U184" s="911"/>
      <c r="V184" s="911"/>
      <c r="W184" s="911">
        <f t="shared" si="60"/>
        <v>0</v>
      </c>
      <c r="X184" s="906"/>
      <c r="Y184" s="906"/>
      <c r="Z184" s="843">
        <f t="shared" si="61"/>
        <v>0</v>
      </c>
    </row>
    <row r="185" spans="1:26" ht="24" thickTop="1" thickBot="1" x14ac:dyDescent="0.3">
      <c r="A185" s="908">
        <v>1</v>
      </c>
      <c r="B185" s="909" t="s">
        <v>817</v>
      </c>
      <c r="C185" s="909" t="s">
        <v>817</v>
      </c>
      <c r="D185" s="909" t="s">
        <v>738</v>
      </c>
      <c r="E185" s="909" t="s">
        <v>841</v>
      </c>
      <c r="F185" s="909" t="s">
        <v>927</v>
      </c>
      <c r="G185" s="909" t="s">
        <v>970</v>
      </c>
      <c r="H185" s="909" t="s">
        <v>734</v>
      </c>
      <c r="I185" s="909"/>
      <c r="J185" s="909"/>
      <c r="K185" s="910" t="s">
        <v>973</v>
      </c>
      <c r="L185" s="911"/>
      <c r="M185" s="911"/>
      <c r="N185" s="911"/>
      <c r="O185" s="904">
        <f>+L185+M185-N185</f>
        <v>0</v>
      </c>
      <c r="P185" s="911"/>
      <c r="Q185" s="911"/>
      <c r="R185" s="911"/>
      <c r="S185" s="911"/>
      <c r="T185" s="911"/>
      <c r="U185" s="911"/>
      <c r="V185" s="911"/>
      <c r="W185" s="911">
        <f t="shared" si="60"/>
        <v>0</v>
      </c>
      <c r="X185" s="906"/>
      <c r="Y185" s="906"/>
      <c r="Z185" s="843">
        <f t="shared" si="61"/>
        <v>0</v>
      </c>
    </row>
    <row r="186" spans="1:26" ht="24" thickTop="1" thickBot="1" x14ac:dyDescent="0.3">
      <c r="A186" s="908">
        <v>1</v>
      </c>
      <c r="B186" s="909" t="s">
        <v>817</v>
      </c>
      <c r="C186" s="909" t="s">
        <v>817</v>
      </c>
      <c r="D186" s="909" t="s">
        <v>738</v>
      </c>
      <c r="E186" s="909" t="s">
        <v>841</v>
      </c>
      <c r="F186" s="909" t="s">
        <v>927</v>
      </c>
      <c r="G186" s="909" t="s">
        <v>970</v>
      </c>
      <c r="H186" s="909" t="s">
        <v>828</v>
      </c>
      <c r="I186" s="909"/>
      <c r="J186" s="909"/>
      <c r="K186" s="910" t="s">
        <v>974</v>
      </c>
      <c r="L186" s="911"/>
      <c r="M186" s="911"/>
      <c r="N186" s="911"/>
      <c r="O186" s="904">
        <f>+L186+M186-N186</f>
        <v>0</v>
      </c>
      <c r="P186" s="911"/>
      <c r="Q186" s="911"/>
      <c r="R186" s="911"/>
      <c r="S186" s="911"/>
      <c r="T186" s="911"/>
      <c r="U186" s="911"/>
      <c r="V186" s="911"/>
      <c r="W186" s="911">
        <f t="shared" si="60"/>
        <v>0</v>
      </c>
      <c r="X186" s="906"/>
      <c r="Y186" s="906"/>
      <c r="Z186" s="843">
        <f t="shared" si="61"/>
        <v>0</v>
      </c>
    </row>
    <row r="187" spans="1:26" ht="16.5" thickTop="1" thickBot="1" x14ac:dyDescent="0.3">
      <c r="A187" s="908">
        <v>1</v>
      </c>
      <c r="B187" s="909" t="s">
        <v>817</v>
      </c>
      <c r="C187" s="909" t="s">
        <v>817</v>
      </c>
      <c r="D187" s="909" t="s">
        <v>738</v>
      </c>
      <c r="E187" s="909" t="s">
        <v>955</v>
      </c>
      <c r="F187" s="909"/>
      <c r="G187" s="909"/>
      <c r="H187" s="909"/>
      <c r="I187" s="909"/>
      <c r="J187" s="909"/>
      <c r="K187" s="910" t="s">
        <v>984</v>
      </c>
      <c r="L187" s="911">
        <f>+L188+L199+L205+L219+L223</f>
        <v>0</v>
      </c>
      <c r="M187" s="911">
        <f t="shared" ref="M187:V187" si="73">+M188+M199+M205+M219+M223</f>
        <v>0</v>
      </c>
      <c r="N187" s="911">
        <f t="shared" si="73"/>
        <v>0</v>
      </c>
      <c r="O187" s="911">
        <f t="shared" si="73"/>
        <v>0</v>
      </c>
      <c r="P187" s="911">
        <f t="shared" si="73"/>
        <v>0</v>
      </c>
      <c r="Q187" s="911">
        <f t="shared" si="73"/>
        <v>0</v>
      </c>
      <c r="R187" s="911">
        <f t="shared" si="73"/>
        <v>0</v>
      </c>
      <c r="S187" s="911">
        <f t="shared" si="73"/>
        <v>0</v>
      </c>
      <c r="T187" s="911">
        <f t="shared" si="73"/>
        <v>0</v>
      </c>
      <c r="U187" s="911">
        <f t="shared" si="73"/>
        <v>0</v>
      </c>
      <c r="V187" s="911">
        <f t="shared" si="73"/>
        <v>0</v>
      </c>
      <c r="W187" s="911">
        <f t="shared" si="60"/>
        <v>0</v>
      </c>
      <c r="X187" s="906"/>
      <c r="Y187" s="906"/>
      <c r="Z187" s="843">
        <f t="shared" si="61"/>
        <v>0</v>
      </c>
    </row>
    <row r="188" spans="1:26" ht="16.5" thickTop="1" thickBot="1" x14ac:dyDescent="0.3">
      <c r="A188" s="908">
        <v>1</v>
      </c>
      <c r="B188" s="909" t="s">
        <v>817</v>
      </c>
      <c r="C188" s="909" t="s">
        <v>817</v>
      </c>
      <c r="D188" s="909" t="s">
        <v>738</v>
      </c>
      <c r="E188" s="909" t="s">
        <v>955</v>
      </c>
      <c r="F188" s="909" t="s">
        <v>985</v>
      </c>
      <c r="G188" s="909"/>
      <c r="H188" s="909"/>
      <c r="I188" s="909"/>
      <c r="J188" s="909"/>
      <c r="K188" s="910" t="s">
        <v>986</v>
      </c>
      <c r="L188" s="904">
        <f>+L189+L194</f>
        <v>0</v>
      </c>
      <c r="M188" s="904">
        <f t="shared" ref="M188:V188" si="74">+M189+M194</f>
        <v>0</v>
      </c>
      <c r="N188" s="904">
        <f t="shared" si="74"/>
        <v>0</v>
      </c>
      <c r="O188" s="904">
        <f t="shared" si="74"/>
        <v>0</v>
      </c>
      <c r="P188" s="904">
        <f t="shared" si="74"/>
        <v>0</v>
      </c>
      <c r="Q188" s="904">
        <f t="shared" si="74"/>
        <v>0</v>
      </c>
      <c r="R188" s="904">
        <f t="shared" si="74"/>
        <v>0</v>
      </c>
      <c r="S188" s="904">
        <f t="shared" si="74"/>
        <v>0</v>
      </c>
      <c r="T188" s="904">
        <f t="shared" si="74"/>
        <v>0</v>
      </c>
      <c r="U188" s="904">
        <f t="shared" si="74"/>
        <v>0</v>
      </c>
      <c r="V188" s="904">
        <f t="shared" si="74"/>
        <v>0</v>
      </c>
      <c r="W188" s="904">
        <f t="shared" si="60"/>
        <v>0</v>
      </c>
      <c r="X188" s="906"/>
      <c r="Y188" s="906"/>
      <c r="Z188" s="843">
        <f t="shared" si="61"/>
        <v>0</v>
      </c>
    </row>
    <row r="189" spans="1:26" ht="16.5" thickTop="1" thickBot="1" x14ac:dyDescent="0.3">
      <c r="A189" s="908">
        <v>1</v>
      </c>
      <c r="B189" s="909" t="s">
        <v>817</v>
      </c>
      <c r="C189" s="909" t="s">
        <v>817</v>
      </c>
      <c r="D189" s="909" t="s">
        <v>738</v>
      </c>
      <c r="E189" s="909" t="s">
        <v>955</v>
      </c>
      <c r="F189" s="909" t="s">
        <v>985</v>
      </c>
      <c r="G189" s="909" t="s">
        <v>735</v>
      </c>
      <c r="H189" s="909"/>
      <c r="I189" s="909"/>
      <c r="J189" s="909"/>
      <c r="K189" s="910" t="s">
        <v>987</v>
      </c>
      <c r="L189" s="911">
        <f>+L190</f>
        <v>0</v>
      </c>
      <c r="M189" s="911">
        <f t="shared" ref="M189:V189" si="75">+M190</f>
        <v>0</v>
      </c>
      <c r="N189" s="911">
        <f t="shared" si="75"/>
        <v>0</v>
      </c>
      <c r="O189" s="911">
        <f t="shared" si="75"/>
        <v>0</v>
      </c>
      <c r="P189" s="911">
        <f t="shared" si="75"/>
        <v>0</v>
      </c>
      <c r="Q189" s="911">
        <f t="shared" si="75"/>
        <v>0</v>
      </c>
      <c r="R189" s="911">
        <f t="shared" si="75"/>
        <v>0</v>
      </c>
      <c r="S189" s="911">
        <f t="shared" si="75"/>
        <v>0</v>
      </c>
      <c r="T189" s="911">
        <f t="shared" si="75"/>
        <v>0</v>
      </c>
      <c r="U189" s="911">
        <f t="shared" si="75"/>
        <v>0</v>
      </c>
      <c r="V189" s="911">
        <f t="shared" si="75"/>
        <v>0</v>
      </c>
      <c r="W189" s="911">
        <f t="shared" si="60"/>
        <v>0</v>
      </c>
      <c r="X189" s="906"/>
      <c r="Y189" s="906"/>
      <c r="Z189" s="843">
        <f t="shared" si="61"/>
        <v>0</v>
      </c>
    </row>
    <row r="190" spans="1:26" ht="24" thickTop="1" thickBot="1" x14ac:dyDescent="0.3">
      <c r="A190" s="908">
        <v>1</v>
      </c>
      <c r="B190" s="909" t="s">
        <v>817</v>
      </c>
      <c r="C190" s="909" t="s">
        <v>817</v>
      </c>
      <c r="D190" s="909" t="s">
        <v>738</v>
      </c>
      <c r="E190" s="909" t="s">
        <v>955</v>
      </c>
      <c r="F190" s="909" t="s">
        <v>985</v>
      </c>
      <c r="G190" s="909" t="s">
        <v>735</v>
      </c>
      <c r="H190" s="909" t="s">
        <v>988</v>
      </c>
      <c r="I190" s="909"/>
      <c r="J190" s="909"/>
      <c r="K190" s="910" t="s">
        <v>989</v>
      </c>
      <c r="L190" s="911">
        <f>SUM(L191:L193)</f>
        <v>0</v>
      </c>
      <c r="M190" s="911">
        <f t="shared" ref="M190:V190" si="76">SUM(M191:M193)</f>
        <v>0</v>
      </c>
      <c r="N190" s="911">
        <f t="shared" si="76"/>
        <v>0</v>
      </c>
      <c r="O190" s="911">
        <f t="shared" si="76"/>
        <v>0</v>
      </c>
      <c r="P190" s="911">
        <f t="shared" si="76"/>
        <v>0</v>
      </c>
      <c r="Q190" s="911">
        <f t="shared" si="76"/>
        <v>0</v>
      </c>
      <c r="R190" s="911">
        <f t="shared" si="76"/>
        <v>0</v>
      </c>
      <c r="S190" s="911">
        <f t="shared" si="76"/>
        <v>0</v>
      </c>
      <c r="T190" s="911">
        <f t="shared" si="76"/>
        <v>0</v>
      </c>
      <c r="U190" s="911">
        <f t="shared" si="76"/>
        <v>0</v>
      </c>
      <c r="V190" s="911">
        <f t="shared" si="76"/>
        <v>0</v>
      </c>
      <c r="W190" s="911">
        <f t="shared" si="60"/>
        <v>0</v>
      </c>
      <c r="X190" s="906"/>
      <c r="Y190" s="906"/>
      <c r="Z190" s="843">
        <f t="shared" si="61"/>
        <v>0</v>
      </c>
    </row>
    <row r="191" spans="1:26" ht="24" thickTop="1" thickBot="1" x14ac:dyDescent="0.3">
      <c r="A191" s="908">
        <v>1</v>
      </c>
      <c r="B191" s="909" t="s">
        <v>817</v>
      </c>
      <c r="C191" s="909" t="s">
        <v>817</v>
      </c>
      <c r="D191" s="909" t="s">
        <v>738</v>
      </c>
      <c r="E191" s="909" t="s">
        <v>955</v>
      </c>
      <c r="F191" s="909" t="s">
        <v>985</v>
      </c>
      <c r="G191" s="909" t="s">
        <v>735</v>
      </c>
      <c r="H191" s="909" t="s">
        <v>988</v>
      </c>
      <c r="I191" s="909" t="s">
        <v>817</v>
      </c>
      <c r="J191" s="909"/>
      <c r="K191" s="910" t="s">
        <v>990</v>
      </c>
      <c r="L191" s="911"/>
      <c r="M191" s="911"/>
      <c r="N191" s="911"/>
      <c r="O191" s="904">
        <f>+L191+M191-N191</f>
        <v>0</v>
      </c>
      <c r="P191" s="911"/>
      <c r="Q191" s="911"/>
      <c r="R191" s="911"/>
      <c r="S191" s="911"/>
      <c r="T191" s="911"/>
      <c r="U191" s="911"/>
      <c r="V191" s="911"/>
      <c r="W191" s="911">
        <f t="shared" si="60"/>
        <v>0</v>
      </c>
      <c r="X191" s="906"/>
      <c r="Y191" s="906"/>
      <c r="Z191" s="843">
        <f t="shared" si="61"/>
        <v>0</v>
      </c>
    </row>
    <row r="192" spans="1:26" ht="24" thickTop="1" thickBot="1" x14ac:dyDescent="0.3">
      <c r="A192" s="908">
        <v>1</v>
      </c>
      <c r="B192" s="909" t="s">
        <v>817</v>
      </c>
      <c r="C192" s="909" t="s">
        <v>817</v>
      </c>
      <c r="D192" s="909" t="s">
        <v>738</v>
      </c>
      <c r="E192" s="909" t="s">
        <v>955</v>
      </c>
      <c r="F192" s="909" t="s">
        <v>985</v>
      </c>
      <c r="G192" s="909" t="s">
        <v>735</v>
      </c>
      <c r="H192" s="909" t="s">
        <v>988</v>
      </c>
      <c r="I192" s="909" t="s">
        <v>734</v>
      </c>
      <c r="J192" s="909"/>
      <c r="K192" s="910" t="s">
        <v>991</v>
      </c>
      <c r="L192" s="911"/>
      <c r="M192" s="911"/>
      <c r="N192" s="911"/>
      <c r="O192" s="904">
        <f>+L192+M192-N192</f>
        <v>0</v>
      </c>
      <c r="P192" s="911"/>
      <c r="Q192" s="911"/>
      <c r="R192" s="911"/>
      <c r="S192" s="911"/>
      <c r="T192" s="911"/>
      <c r="U192" s="911"/>
      <c r="V192" s="911"/>
      <c r="W192" s="911">
        <f t="shared" si="60"/>
        <v>0</v>
      </c>
      <c r="X192" s="906"/>
      <c r="Y192" s="906"/>
      <c r="Z192" s="843">
        <f t="shared" si="61"/>
        <v>0</v>
      </c>
    </row>
    <row r="193" spans="1:26" ht="24" thickTop="1" thickBot="1" x14ac:dyDescent="0.3">
      <c r="A193" s="908">
        <v>1</v>
      </c>
      <c r="B193" s="909" t="s">
        <v>817</v>
      </c>
      <c r="C193" s="909" t="s">
        <v>817</v>
      </c>
      <c r="D193" s="909" t="s">
        <v>738</v>
      </c>
      <c r="E193" s="909" t="s">
        <v>955</v>
      </c>
      <c r="F193" s="909" t="s">
        <v>985</v>
      </c>
      <c r="G193" s="909" t="s">
        <v>735</v>
      </c>
      <c r="H193" s="909" t="s">
        <v>988</v>
      </c>
      <c r="I193" s="909" t="s">
        <v>828</v>
      </c>
      <c r="J193" s="909"/>
      <c r="K193" s="910" t="s">
        <v>992</v>
      </c>
      <c r="L193" s="911"/>
      <c r="M193" s="911"/>
      <c r="N193" s="911"/>
      <c r="O193" s="904">
        <f>+L193+M193-N193</f>
        <v>0</v>
      </c>
      <c r="P193" s="911"/>
      <c r="Q193" s="911"/>
      <c r="R193" s="911"/>
      <c r="S193" s="911"/>
      <c r="T193" s="911"/>
      <c r="U193" s="911"/>
      <c r="V193" s="911"/>
      <c r="W193" s="911">
        <f t="shared" si="60"/>
        <v>0</v>
      </c>
      <c r="X193" s="906"/>
      <c r="Y193" s="906"/>
      <c r="Z193" s="843">
        <f t="shared" si="61"/>
        <v>0</v>
      </c>
    </row>
    <row r="194" spans="1:26" ht="16.5" thickTop="1" thickBot="1" x14ac:dyDescent="0.3">
      <c r="A194" s="908">
        <v>1</v>
      </c>
      <c r="B194" s="909" t="s">
        <v>817</v>
      </c>
      <c r="C194" s="909" t="s">
        <v>817</v>
      </c>
      <c r="D194" s="909" t="s">
        <v>738</v>
      </c>
      <c r="E194" s="909" t="s">
        <v>955</v>
      </c>
      <c r="F194" s="909" t="s">
        <v>985</v>
      </c>
      <c r="G194" s="909" t="s">
        <v>742</v>
      </c>
      <c r="H194" s="909"/>
      <c r="I194" s="909"/>
      <c r="J194" s="909"/>
      <c r="K194" s="910" t="s">
        <v>993</v>
      </c>
      <c r="L194" s="911">
        <f>+L195</f>
        <v>0</v>
      </c>
      <c r="M194" s="911">
        <f t="shared" ref="M194:V194" si="77">+M195</f>
        <v>0</v>
      </c>
      <c r="N194" s="911">
        <f t="shared" si="77"/>
        <v>0</v>
      </c>
      <c r="O194" s="911">
        <f t="shared" si="77"/>
        <v>0</v>
      </c>
      <c r="P194" s="911">
        <f t="shared" si="77"/>
        <v>0</v>
      </c>
      <c r="Q194" s="911">
        <f t="shared" si="77"/>
        <v>0</v>
      </c>
      <c r="R194" s="911">
        <f t="shared" si="77"/>
        <v>0</v>
      </c>
      <c r="S194" s="911">
        <f t="shared" si="77"/>
        <v>0</v>
      </c>
      <c r="T194" s="911">
        <f t="shared" si="77"/>
        <v>0</v>
      </c>
      <c r="U194" s="911">
        <f t="shared" si="77"/>
        <v>0</v>
      </c>
      <c r="V194" s="911">
        <f t="shared" si="77"/>
        <v>0</v>
      </c>
      <c r="W194" s="911">
        <f t="shared" si="60"/>
        <v>0</v>
      </c>
      <c r="X194" s="906"/>
      <c r="Y194" s="906"/>
      <c r="Z194" s="843">
        <f t="shared" si="61"/>
        <v>0</v>
      </c>
    </row>
    <row r="195" spans="1:26" ht="24" thickTop="1" thickBot="1" x14ac:dyDescent="0.3">
      <c r="A195" s="908">
        <v>1</v>
      </c>
      <c r="B195" s="909" t="s">
        <v>817</v>
      </c>
      <c r="C195" s="909" t="s">
        <v>817</v>
      </c>
      <c r="D195" s="909" t="s">
        <v>738</v>
      </c>
      <c r="E195" s="909" t="s">
        <v>955</v>
      </c>
      <c r="F195" s="909" t="s">
        <v>985</v>
      </c>
      <c r="G195" s="909" t="s">
        <v>742</v>
      </c>
      <c r="H195" s="909" t="s">
        <v>742</v>
      </c>
      <c r="I195" s="909"/>
      <c r="J195" s="909"/>
      <c r="K195" s="910" t="s">
        <v>994</v>
      </c>
      <c r="L195" s="911">
        <f>SUM(L196:L198)</f>
        <v>0</v>
      </c>
      <c r="M195" s="911">
        <f t="shared" ref="M195:V195" si="78">SUM(M196:M198)</f>
        <v>0</v>
      </c>
      <c r="N195" s="911">
        <f t="shared" si="78"/>
        <v>0</v>
      </c>
      <c r="O195" s="911">
        <f t="shared" si="78"/>
        <v>0</v>
      </c>
      <c r="P195" s="911">
        <f t="shared" si="78"/>
        <v>0</v>
      </c>
      <c r="Q195" s="911">
        <f t="shared" si="78"/>
        <v>0</v>
      </c>
      <c r="R195" s="911">
        <f t="shared" si="78"/>
        <v>0</v>
      </c>
      <c r="S195" s="911">
        <f t="shared" si="78"/>
        <v>0</v>
      </c>
      <c r="T195" s="911">
        <f t="shared" si="78"/>
        <v>0</v>
      </c>
      <c r="U195" s="911">
        <f t="shared" si="78"/>
        <v>0</v>
      </c>
      <c r="V195" s="911">
        <f t="shared" si="78"/>
        <v>0</v>
      </c>
      <c r="W195" s="911">
        <f t="shared" si="60"/>
        <v>0</v>
      </c>
      <c r="X195" s="906"/>
      <c r="Y195" s="906"/>
      <c r="Z195" s="843">
        <f t="shared" si="61"/>
        <v>0</v>
      </c>
    </row>
    <row r="196" spans="1:26" ht="24" thickTop="1" thickBot="1" x14ac:dyDescent="0.3">
      <c r="A196" s="908">
        <v>1</v>
      </c>
      <c r="B196" s="909" t="s">
        <v>817</v>
      </c>
      <c r="C196" s="909" t="s">
        <v>817</v>
      </c>
      <c r="D196" s="909" t="s">
        <v>738</v>
      </c>
      <c r="E196" s="909" t="s">
        <v>955</v>
      </c>
      <c r="F196" s="909" t="s">
        <v>985</v>
      </c>
      <c r="G196" s="909" t="s">
        <v>742</v>
      </c>
      <c r="H196" s="909" t="s">
        <v>742</v>
      </c>
      <c r="I196" s="909" t="s">
        <v>817</v>
      </c>
      <c r="J196" s="909"/>
      <c r="K196" s="910" t="s">
        <v>995</v>
      </c>
      <c r="L196" s="911"/>
      <c r="M196" s="911"/>
      <c r="N196" s="911"/>
      <c r="O196" s="904">
        <f>+L196+M196-N196</f>
        <v>0</v>
      </c>
      <c r="P196" s="911"/>
      <c r="Q196" s="911"/>
      <c r="R196" s="911"/>
      <c r="S196" s="911"/>
      <c r="T196" s="911"/>
      <c r="U196" s="911"/>
      <c r="V196" s="911"/>
      <c r="W196" s="911">
        <f t="shared" si="60"/>
        <v>0</v>
      </c>
      <c r="X196" s="906"/>
      <c r="Y196" s="906"/>
      <c r="Z196" s="843">
        <f t="shared" si="61"/>
        <v>0</v>
      </c>
    </row>
    <row r="197" spans="1:26" ht="24" thickTop="1" thickBot="1" x14ac:dyDescent="0.3">
      <c r="A197" s="908">
        <v>1</v>
      </c>
      <c r="B197" s="909" t="s">
        <v>817</v>
      </c>
      <c r="C197" s="909" t="s">
        <v>817</v>
      </c>
      <c r="D197" s="909" t="s">
        <v>738</v>
      </c>
      <c r="E197" s="909" t="s">
        <v>955</v>
      </c>
      <c r="F197" s="909" t="s">
        <v>985</v>
      </c>
      <c r="G197" s="909" t="s">
        <v>742</v>
      </c>
      <c r="H197" s="909" t="s">
        <v>742</v>
      </c>
      <c r="I197" s="909" t="s">
        <v>734</v>
      </c>
      <c r="J197" s="909"/>
      <c r="K197" s="910" t="s">
        <v>996</v>
      </c>
      <c r="L197" s="911"/>
      <c r="M197" s="911"/>
      <c r="N197" s="911"/>
      <c r="O197" s="904">
        <f>+L197+M197-N197</f>
        <v>0</v>
      </c>
      <c r="P197" s="911"/>
      <c r="Q197" s="911"/>
      <c r="R197" s="911"/>
      <c r="S197" s="911"/>
      <c r="T197" s="911"/>
      <c r="U197" s="911"/>
      <c r="V197" s="911"/>
      <c r="W197" s="911">
        <f t="shared" si="60"/>
        <v>0</v>
      </c>
      <c r="X197" s="906"/>
      <c r="Y197" s="906"/>
      <c r="Z197" s="843">
        <f t="shared" si="61"/>
        <v>0</v>
      </c>
    </row>
    <row r="198" spans="1:26" ht="24" thickTop="1" thickBot="1" x14ac:dyDescent="0.3">
      <c r="A198" s="908">
        <v>1</v>
      </c>
      <c r="B198" s="909" t="s">
        <v>817</v>
      </c>
      <c r="C198" s="909" t="s">
        <v>817</v>
      </c>
      <c r="D198" s="909" t="s">
        <v>738</v>
      </c>
      <c r="E198" s="909" t="s">
        <v>955</v>
      </c>
      <c r="F198" s="909" t="s">
        <v>985</v>
      </c>
      <c r="G198" s="909" t="s">
        <v>742</v>
      </c>
      <c r="H198" s="909" t="s">
        <v>742</v>
      </c>
      <c r="I198" s="909" t="s">
        <v>828</v>
      </c>
      <c r="J198" s="909"/>
      <c r="K198" s="910" t="s">
        <v>997</v>
      </c>
      <c r="L198" s="911"/>
      <c r="M198" s="911"/>
      <c r="N198" s="911"/>
      <c r="O198" s="904">
        <f>+L198+M198-N198</f>
        <v>0</v>
      </c>
      <c r="P198" s="911"/>
      <c r="Q198" s="911"/>
      <c r="R198" s="911"/>
      <c r="S198" s="911"/>
      <c r="T198" s="911"/>
      <c r="U198" s="911"/>
      <c r="V198" s="911"/>
      <c r="W198" s="911">
        <f t="shared" si="60"/>
        <v>0</v>
      </c>
      <c r="X198" s="906"/>
      <c r="Y198" s="906"/>
      <c r="Z198" s="843">
        <f t="shared" si="61"/>
        <v>0</v>
      </c>
    </row>
    <row r="199" spans="1:26" ht="16.5" thickTop="1" thickBot="1" x14ac:dyDescent="0.3">
      <c r="A199" s="908">
        <v>1</v>
      </c>
      <c r="B199" s="908">
        <v>1</v>
      </c>
      <c r="C199" s="909" t="s">
        <v>817</v>
      </c>
      <c r="D199" s="908">
        <v>2</v>
      </c>
      <c r="E199" s="909" t="s">
        <v>955</v>
      </c>
      <c r="F199" s="909" t="s">
        <v>998</v>
      </c>
      <c r="G199" s="909"/>
      <c r="H199" s="909"/>
      <c r="I199" s="909"/>
      <c r="J199" s="909"/>
      <c r="K199" s="910" t="s">
        <v>999</v>
      </c>
      <c r="L199" s="911">
        <f>+L200</f>
        <v>0</v>
      </c>
      <c r="M199" s="911">
        <f t="shared" ref="M199:V200" si="79">+M200</f>
        <v>0</v>
      </c>
      <c r="N199" s="911">
        <f t="shared" si="79"/>
        <v>0</v>
      </c>
      <c r="O199" s="911">
        <f t="shared" si="79"/>
        <v>0</v>
      </c>
      <c r="P199" s="911">
        <f t="shared" si="79"/>
        <v>0</v>
      </c>
      <c r="Q199" s="911">
        <f t="shared" si="79"/>
        <v>0</v>
      </c>
      <c r="R199" s="911">
        <f t="shared" si="79"/>
        <v>0</v>
      </c>
      <c r="S199" s="911">
        <f t="shared" si="79"/>
        <v>0</v>
      </c>
      <c r="T199" s="911">
        <f t="shared" si="79"/>
        <v>0</v>
      </c>
      <c r="U199" s="911">
        <f t="shared" si="79"/>
        <v>0</v>
      </c>
      <c r="V199" s="911">
        <f t="shared" si="79"/>
        <v>0</v>
      </c>
      <c r="W199" s="911">
        <f t="shared" si="60"/>
        <v>0</v>
      </c>
      <c r="X199" s="906"/>
      <c r="Y199" s="906"/>
      <c r="Z199" s="843">
        <f t="shared" si="61"/>
        <v>0</v>
      </c>
    </row>
    <row r="200" spans="1:26" ht="16.5" thickTop="1" thickBot="1" x14ac:dyDescent="0.3">
      <c r="A200" s="908">
        <v>1</v>
      </c>
      <c r="B200" s="908">
        <v>1</v>
      </c>
      <c r="C200" s="909" t="s">
        <v>817</v>
      </c>
      <c r="D200" s="908">
        <v>2</v>
      </c>
      <c r="E200" s="909" t="s">
        <v>955</v>
      </c>
      <c r="F200" s="909" t="s">
        <v>998</v>
      </c>
      <c r="G200" s="909" t="s">
        <v>738</v>
      </c>
      <c r="H200" s="909"/>
      <c r="I200" s="909"/>
      <c r="J200" s="909"/>
      <c r="K200" s="910" t="s">
        <v>1000</v>
      </c>
      <c r="L200" s="911">
        <f>+L201</f>
        <v>0</v>
      </c>
      <c r="M200" s="911">
        <f t="shared" si="79"/>
        <v>0</v>
      </c>
      <c r="N200" s="911">
        <f t="shared" si="79"/>
        <v>0</v>
      </c>
      <c r="O200" s="911">
        <f t="shared" si="79"/>
        <v>0</v>
      </c>
      <c r="P200" s="911">
        <f t="shared" si="79"/>
        <v>0</v>
      </c>
      <c r="Q200" s="911">
        <f t="shared" si="79"/>
        <v>0</v>
      </c>
      <c r="R200" s="911">
        <f t="shared" si="79"/>
        <v>0</v>
      </c>
      <c r="S200" s="911">
        <f t="shared" si="79"/>
        <v>0</v>
      </c>
      <c r="T200" s="911">
        <f t="shared" si="79"/>
        <v>0</v>
      </c>
      <c r="U200" s="911">
        <f t="shared" si="79"/>
        <v>0</v>
      </c>
      <c r="V200" s="911">
        <f t="shared" si="79"/>
        <v>0</v>
      </c>
      <c r="W200" s="911">
        <f t="shared" si="60"/>
        <v>0</v>
      </c>
      <c r="X200" s="906"/>
      <c r="Y200" s="906"/>
      <c r="Z200" s="843">
        <f t="shared" si="61"/>
        <v>0</v>
      </c>
    </row>
    <row r="201" spans="1:26" ht="16.5" thickTop="1" thickBot="1" x14ac:dyDescent="0.3">
      <c r="A201" s="908">
        <v>1</v>
      </c>
      <c r="B201" s="908">
        <v>1</v>
      </c>
      <c r="C201" s="909" t="s">
        <v>817</v>
      </c>
      <c r="D201" s="908">
        <v>2</v>
      </c>
      <c r="E201" s="909" t="s">
        <v>955</v>
      </c>
      <c r="F201" s="909" t="s">
        <v>998</v>
      </c>
      <c r="G201" s="909" t="s">
        <v>738</v>
      </c>
      <c r="H201" s="909" t="s">
        <v>742</v>
      </c>
      <c r="I201" s="909"/>
      <c r="J201" s="909"/>
      <c r="K201" s="910" t="s">
        <v>1001</v>
      </c>
      <c r="L201" s="911">
        <f>SUM(L202:L204)</f>
        <v>0</v>
      </c>
      <c r="M201" s="911">
        <f t="shared" ref="M201:V201" si="80">SUM(M202:M204)</f>
        <v>0</v>
      </c>
      <c r="N201" s="911">
        <f t="shared" si="80"/>
        <v>0</v>
      </c>
      <c r="O201" s="911">
        <f t="shared" si="80"/>
        <v>0</v>
      </c>
      <c r="P201" s="911">
        <f t="shared" si="80"/>
        <v>0</v>
      </c>
      <c r="Q201" s="911">
        <f t="shared" si="80"/>
        <v>0</v>
      </c>
      <c r="R201" s="911">
        <f t="shared" si="80"/>
        <v>0</v>
      </c>
      <c r="S201" s="911">
        <f t="shared" si="80"/>
        <v>0</v>
      </c>
      <c r="T201" s="911">
        <f t="shared" si="80"/>
        <v>0</v>
      </c>
      <c r="U201" s="911">
        <f t="shared" si="80"/>
        <v>0</v>
      </c>
      <c r="V201" s="911">
        <f t="shared" si="80"/>
        <v>0</v>
      </c>
      <c r="W201" s="911">
        <f t="shared" si="60"/>
        <v>0</v>
      </c>
      <c r="X201" s="906"/>
      <c r="Y201" s="906"/>
      <c r="Z201" s="843">
        <f t="shared" si="61"/>
        <v>0</v>
      </c>
    </row>
    <row r="202" spans="1:26" ht="16.5" thickTop="1" thickBot="1" x14ac:dyDescent="0.3">
      <c r="A202" s="908">
        <v>1</v>
      </c>
      <c r="B202" s="908">
        <v>1</v>
      </c>
      <c r="C202" s="909" t="s">
        <v>817</v>
      </c>
      <c r="D202" s="908">
        <v>2</v>
      </c>
      <c r="E202" s="909" t="s">
        <v>955</v>
      </c>
      <c r="F202" s="909" t="s">
        <v>998</v>
      </c>
      <c r="G202" s="909" t="s">
        <v>738</v>
      </c>
      <c r="H202" s="909" t="s">
        <v>742</v>
      </c>
      <c r="I202" s="909" t="s">
        <v>817</v>
      </c>
      <c r="J202" s="909"/>
      <c r="K202" s="910" t="s">
        <v>1002</v>
      </c>
      <c r="L202" s="911"/>
      <c r="M202" s="911"/>
      <c r="N202" s="911"/>
      <c r="O202" s="904">
        <f>+L202+M202-N202</f>
        <v>0</v>
      </c>
      <c r="P202" s="911"/>
      <c r="Q202" s="911"/>
      <c r="R202" s="911"/>
      <c r="S202" s="911"/>
      <c r="T202" s="911"/>
      <c r="U202" s="911"/>
      <c r="V202" s="911"/>
      <c r="W202" s="911">
        <f t="shared" si="60"/>
        <v>0</v>
      </c>
      <c r="X202" s="906"/>
      <c r="Y202" s="906"/>
      <c r="Z202" s="843">
        <f t="shared" si="61"/>
        <v>0</v>
      </c>
    </row>
    <row r="203" spans="1:26" ht="16.5" thickTop="1" thickBot="1" x14ac:dyDescent="0.3">
      <c r="A203" s="908">
        <v>1</v>
      </c>
      <c r="B203" s="908">
        <v>1</v>
      </c>
      <c r="C203" s="909" t="s">
        <v>817</v>
      </c>
      <c r="D203" s="908">
        <v>2</v>
      </c>
      <c r="E203" s="909" t="s">
        <v>955</v>
      </c>
      <c r="F203" s="909" t="s">
        <v>998</v>
      </c>
      <c r="G203" s="909" t="s">
        <v>738</v>
      </c>
      <c r="H203" s="909" t="s">
        <v>742</v>
      </c>
      <c r="I203" s="909" t="s">
        <v>734</v>
      </c>
      <c r="J203" s="909"/>
      <c r="K203" s="910" t="s">
        <v>1003</v>
      </c>
      <c r="L203" s="911"/>
      <c r="M203" s="911"/>
      <c r="N203" s="911"/>
      <c r="O203" s="904">
        <f>+L203+M203-N203</f>
        <v>0</v>
      </c>
      <c r="P203" s="911"/>
      <c r="Q203" s="911"/>
      <c r="R203" s="911"/>
      <c r="S203" s="911"/>
      <c r="T203" s="911"/>
      <c r="U203" s="911"/>
      <c r="V203" s="911"/>
      <c r="W203" s="911">
        <f t="shared" si="60"/>
        <v>0</v>
      </c>
      <c r="X203" s="906"/>
      <c r="Y203" s="906"/>
      <c r="Z203" s="843">
        <f t="shared" si="61"/>
        <v>0</v>
      </c>
    </row>
    <row r="204" spans="1:26" ht="16.5" thickTop="1" thickBot="1" x14ac:dyDescent="0.3">
      <c r="A204" s="908">
        <v>1</v>
      </c>
      <c r="B204" s="908">
        <v>1</v>
      </c>
      <c r="C204" s="909" t="s">
        <v>817</v>
      </c>
      <c r="D204" s="908">
        <v>2</v>
      </c>
      <c r="E204" s="909" t="s">
        <v>955</v>
      </c>
      <c r="F204" s="909" t="s">
        <v>998</v>
      </c>
      <c r="G204" s="909" t="s">
        <v>738</v>
      </c>
      <c r="H204" s="909" t="s">
        <v>742</v>
      </c>
      <c r="I204" s="909" t="s">
        <v>828</v>
      </c>
      <c r="J204" s="909"/>
      <c r="K204" s="910" t="s">
        <v>1004</v>
      </c>
      <c r="L204" s="911"/>
      <c r="M204" s="911"/>
      <c r="N204" s="911"/>
      <c r="O204" s="904">
        <f>+L204+M204-N204</f>
        <v>0</v>
      </c>
      <c r="P204" s="911"/>
      <c r="Q204" s="911"/>
      <c r="R204" s="911"/>
      <c r="S204" s="911"/>
      <c r="T204" s="911"/>
      <c r="U204" s="911"/>
      <c r="V204" s="911"/>
      <c r="W204" s="911">
        <f t="shared" si="60"/>
        <v>0</v>
      </c>
      <c r="X204" s="906"/>
      <c r="Y204" s="906"/>
      <c r="Z204" s="843">
        <f t="shared" si="61"/>
        <v>0</v>
      </c>
    </row>
    <row r="205" spans="1:26" ht="16.5" thickTop="1" thickBot="1" x14ac:dyDescent="0.3">
      <c r="A205" s="908">
        <v>1</v>
      </c>
      <c r="B205" s="908">
        <v>1</v>
      </c>
      <c r="C205" s="909" t="s">
        <v>817</v>
      </c>
      <c r="D205" s="908">
        <v>2</v>
      </c>
      <c r="E205" s="909" t="s">
        <v>955</v>
      </c>
      <c r="F205" s="909" t="s">
        <v>1005</v>
      </c>
      <c r="G205" s="909"/>
      <c r="H205" s="909"/>
      <c r="I205" s="909"/>
      <c r="J205" s="909"/>
      <c r="K205" s="910" t="s">
        <v>1006</v>
      </c>
      <c r="L205" s="911">
        <f>+L206</f>
        <v>0</v>
      </c>
      <c r="M205" s="911">
        <f t="shared" ref="M205:V205" si="81">+M206</f>
        <v>0</v>
      </c>
      <c r="N205" s="911">
        <f t="shared" si="81"/>
        <v>0</v>
      </c>
      <c r="O205" s="911">
        <f t="shared" si="81"/>
        <v>0</v>
      </c>
      <c r="P205" s="911">
        <f t="shared" si="81"/>
        <v>0</v>
      </c>
      <c r="Q205" s="911">
        <f t="shared" si="81"/>
        <v>0</v>
      </c>
      <c r="R205" s="911">
        <f t="shared" si="81"/>
        <v>0</v>
      </c>
      <c r="S205" s="911">
        <f t="shared" si="81"/>
        <v>0</v>
      </c>
      <c r="T205" s="911">
        <f t="shared" si="81"/>
        <v>0</v>
      </c>
      <c r="U205" s="911">
        <f t="shared" si="81"/>
        <v>0</v>
      </c>
      <c r="V205" s="911">
        <f t="shared" si="81"/>
        <v>0</v>
      </c>
      <c r="W205" s="911">
        <f t="shared" si="60"/>
        <v>0</v>
      </c>
      <c r="X205" s="906"/>
      <c r="Y205" s="906"/>
      <c r="Z205" s="843">
        <f t="shared" si="61"/>
        <v>0</v>
      </c>
    </row>
    <row r="206" spans="1:26" ht="16.5" thickTop="1" thickBot="1" x14ac:dyDescent="0.3">
      <c r="A206" s="908">
        <v>1</v>
      </c>
      <c r="B206" s="908">
        <v>1</v>
      </c>
      <c r="C206" s="909" t="s">
        <v>817</v>
      </c>
      <c r="D206" s="908">
        <v>2</v>
      </c>
      <c r="E206" s="909" t="s">
        <v>955</v>
      </c>
      <c r="F206" s="909" t="s">
        <v>1005</v>
      </c>
      <c r="G206" s="909" t="s">
        <v>735</v>
      </c>
      <c r="H206" s="909"/>
      <c r="I206" s="909"/>
      <c r="J206" s="909"/>
      <c r="K206" s="910" t="s">
        <v>1007</v>
      </c>
      <c r="L206" s="911">
        <f>+L207+L211+L215</f>
        <v>0</v>
      </c>
      <c r="M206" s="911">
        <f t="shared" ref="M206:V206" si="82">+M207+M211+M215</f>
        <v>0</v>
      </c>
      <c r="N206" s="911">
        <f t="shared" si="82"/>
        <v>0</v>
      </c>
      <c r="O206" s="911">
        <f t="shared" si="82"/>
        <v>0</v>
      </c>
      <c r="P206" s="911">
        <f t="shared" si="82"/>
        <v>0</v>
      </c>
      <c r="Q206" s="911">
        <f t="shared" si="82"/>
        <v>0</v>
      </c>
      <c r="R206" s="911">
        <f t="shared" si="82"/>
        <v>0</v>
      </c>
      <c r="S206" s="911">
        <f t="shared" si="82"/>
        <v>0</v>
      </c>
      <c r="T206" s="911">
        <f t="shared" si="82"/>
        <v>0</v>
      </c>
      <c r="U206" s="911">
        <f t="shared" si="82"/>
        <v>0</v>
      </c>
      <c r="V206" s="911">
        <f t="shared" si="82"/>
        <v>0</v>
      </c>
      <c r="W206" s="911">
        <f t="shared" si="60"/>
        <v>0</v>
      </c>
      <c r="X206" s="906"/>
      <c r="Y206" s="906"/>
      <c r="Z206" s="843">
        <f t="shared" si="61"/>
        <v>0</v>
      </c>
    </row>
    <row r="207" spans="1:26" ht="16.5" thickTop="1" thickBot="1" x14ac:dyDescent="0.3">
      <c r="A207" s="908">
        <v>1</v>
      </c>
      <c r="B207" s="908">
        <v>1</v>
      </c>
      <c r="C207" s="909" t="s">
        <v>817</v>
      </c>
      <c r="D207" s="908">
        <v>2</v>
      </c>
      <c r="E207" s="909" t="s">
        <v>955</v>
      </c>
      <c r="F207" s="909" t="s">
        <v>1005</v>
      </c>
      <c r="G207" s="909" t="s">
        <v>735</v>
      </c>
      <c r="H207" s="909" t="s">
        <v>735</v>
      </c>
      <c r="I207" s="909"/>
      <c r="J207" s="909"/>
      <c r="K207" s="910" t="s">
        <v>1008</v>
      </c>
      <c r="L207" s="911">
        <f>SUM(L208:L210)</f>
        <v>0</v>
      </c>
      <c r="M207" s="911">
        <f t="shared" ref="M207:V207" si="83">SUM(M208:M210)</f>
        <v>0</v>
      </c>
      <c r="N207" s="911">
        <f t="shared" si="83"/>
        <v>0</v>
      </c>
      <c r="O207" s="911">
        <f t="shared" si="83"/>
        <v>0</v>
      </c>
      <c r="P207" s="911">
        <f t="shared" si="83"/>
        <v>0</v>
      </c>
      <c r="Q207" s="911">
        <f t="shared" si="83"/>
        <v>0</v>
      </c>
      <c r="R207" s="911">
        <f t="shared" si="83"/>
        <v>0</v>
      </c>
      <c r="S207" s="911">
        <f t="shared" si="83"/>
        <v>0</v>
      </c>
      <c r="T207" s="911">
        <f t="shared" si="83"/>
        <v>0</v>
      </c>
      <c r="U207" s="911">
        <f t="shared" si="83"/>
        <v>0</v>
      </c>
      <c r="V207" s="911">
        <f t="shared" si="83"/>
        <v>0</v>
      </c>
      <c r="W207" s="911">
        <f t="shared" si="60"/>
        <v>0</v>
      </c>
      <c r="X207" s="906"/>
      <c r="Y207" s="906"/>
      <c r="Z207" s="843">
        <f t="shared" si="61"/>
        <v>0</v>
      </c>
    </row>
    <row r="208" spans="1:26" ht="16.5" thickTop="1" thickBot="1" x14ac:dyDescent="0.3">
      <c r="A208" s="908">
        <v>1</v>
      </c>
      <c r="B208" s="908">
        <v>1</v>
      </c>
      <c r="C208" s="909" t="s">
        <v>817</v>
      </c>
      <c r="D208" s="908">
        <v>2</v>
      </c>
      <c r="E208" s="909" t="s">
        <v>955</v>
      </c>
      <c r="F208" s="909" t="s">
        <v>1005</v>
      </c>
      <c r="G208" s="909" t="s">
        <v>735</v>
      </c>
      <c r="H208" s="909" t="s">
        <v>735</v>
      </c>
      <c r="I208" s="909" t="s">
        <v>817</v>
      </c>
      <c r="J208" s="909"/>
      <c r="K208" s="910" t="s">
        <v>1009</v>
      </c>
      <c r="L208" s="911"/>
      <c r="M208" s="911"/>
      <c r="N208" s="911"/>
      <c r="O208" s="904">
        <f>+L208+M208-N208</f>
        <v>0</v>
      </c>
      <c r="P208" s="911"/>
      <c r="Q208" s="911"/>
      <c r="R208" s="911"/>
      <c r="S208" s="911"/>
      <c r="T208" s="911"/>
      <c r="U208" s="911"/>
      <c r="V208" s="911"/>
      <c r="W208" s="911">
        <f t="shared" ref="W208:W278" si="84">SUBTOTAL(9,P208:S208)</f>
        <v>0</v>
      </c>
      <c r="X208" s="906"/>
      <c r="Y208" s="906"/>
      <c r="Z208" s="843">
        <f t="shared" ref="Z208:Z278" si="85">W208-O208</f>
        <v>0</v>
      </c>
    </row>
    <row r="209" spans="1:26" ht="16.5" thickTop="1" thickBot="1" x14ac:dyDescent="0.3">
      <c r="A209" s="908">
        <v>1</v>
      </c>
      <c r="B209" s="908">
        <v>1</v>
      </c>
      <c r="C209" s="909" t="s">
        <v>817</v>
      </c>
      <c r="D209" s="908">
        <v>2</v>
      </c>
      <c r="E209" s="909" t="s">
        <v>955</v>
      </c>
      <c r="F209" s="909" t="s">
        <v>1005</v>
      </c>
      <c r="G209" s="909" t="s">
        <v>735</v>
      </c>
      <c r="H209" s="909" t="s">
        <v>735</v>
      </c>
      <c r="I209" s="909" t="s">
        <v>734</v>
      </c>
      <c r="J209" s="909"/>
      <c r="K209" s="910" t="s">
        <v>1010</v>
      </c>
      <c r="L209" s="911"/>
      <c r="M209" s="911"/>
      <c r="N209" s="911"/>
      <c r="O209" s="904">
        <f>+L209+M209-N209</f>
        <v>0</v>
      </c>
      <c r="P209" s="911"/>
      <c r="Q209" s="911"/>
      <c r="R209" s="911"/>
      <c r="S209" s="911"/>
      <c r="T209" s="911"/>
      <c r="U209" s="911"/>
      <c r="V209" s="911"/>
      <c r="W209" s="911">
        <f t="shared" si="84"/>
        <v>0</v>
      </c>
      <c r="X209" s="906"/>
      <c r="Y209" s="906"/>
      <c r="Z209" s="843">
        <f t="shared" si="85"/>
        <v>0</v>
      </c>
    </row>
    <row r="210" spans="1:26" ht="16.5" thickTop="1" thickBot="1" x14ac:dyDescent="0.3">
      <c r="A210" s="908">
        <v>1</v>
      </c>
      <c r="B210" s="908">
        <v>1</v>
      </c>
      <c r="C210" s="909" t="s">
        <v>817</v>
      </c>
      <c r="D210" s="908">
        <v>2</v>
      </c>
      <c r="E210" s="909" t="s">
        <v>955</v>
      </c>
      <c r="F210" s="909" t="s">
        <v>1005</v>
      </c>
      <c r="G210" s="909" t="s">
        <v>735</v>
      </c>
      <c r="H210" s="909" t="s">
        <v>735</v>
      </c>
      <c r="I210" s="909" t="s">
        <v>828</v>
      </c>
      <c r="J210" s="909"/>
      <c r="K210" s="910" t="s">
        <v>1011</v>
      </c>
      <c r="L210" s="911"/>
      <c r="M210" s="911"/>
      <c r="N210" s="911"/>
      <c r="O210" s="904">
        <f>+L210+M210-N210</f>
        <v>0</v>
      </c>
      <c r="P210" s="911"/>
      <c r="Q210" s="911"/>
      <c r="R210" s="911"/>
      <c r="S210" s="911"/>
      <c r="T210" s="911"/>
      <c r="U210" s="911"/>
      <c r="V210" s="911"/>
      <c r="W210" s="911">
        <f t="shared" si="84"/>
        <v>0</v>
      </c>
      <c r="X210" s="906"/>
      <c r="Y210" s="906"/>
      <c r="Z210" s="843">
        <f t="shared" si="85"/>
        <v>0</v>
      </c>
    </row>
    <row r="211" spans="1:26" ht="16.5" thickTop="1" thickBot="1" x14ac:dyDescent="0.3">
      <c r="A211" s="908">
        <v>1</v>
      </c>
      <c r="B211" s="908">
        <v>1</v>
      </c>
      <c r="C211" s="909" t="s">
        <v>817</v>
      </c>
      <c r="D211" s="908">
        <v>2</v>
      </c>
      <c r="E211" s="909" t="s">
        <v>955</v>
      </c>
      <c r="F211" s="909" t="s">
        <v>1005</v>
      </c>
      <c r="G211" s="909" t="s">
        <v>735</v>
      </c>
      <c r="H211" s="909" t="s">
        <v>738</v>
      </c>
      <c r="I211" s="909"/>
      <c r="J211" s="909"/>
      <c r="K211" s="910" t="s">
        <v>757</v>
      </c>
      <c r="L211" s="911">
        <f>SUM(L212:L214)</f>
        <v>0</v>
      </c>
      <c r="M211" s="911">
        <f t="shared" ref="M211:V211" si="86">SUM(M212:M214)</f>
        <v>0</v>
      </c>
      <c r="N211" s="911">
        <f t="shared" si="86"/>
        <v>0</v>
      </c>
      <c r="O211" s="911">
        <f t="shared" si="86"/>
        <v>0</v>
      </c>
      <c r="P211" s="911">
        <f t="shared" si="86"/>
        <v>0</v>
      </c>
      <c r="Q211" s="911">
        <f t="shared" si="86"/>
        <v>0</v>
      </c>
      <c r="R211" s="911">
        <f t="shared" si="86"/>
        <v>0</v>
      </c>
      <c r="S211" s="911">
        <f t="shared" si="86"/>
        <v>0</v>
      </c>
      <c r="T211" s="911">
        <f t="shared" si="86"/>
        <v>0</v>
      </c>
      <c r="U211" s="911">
        <f t="shared" si="86"/>
        <v>0</v>
      </c>
      <c r="V211" s="911">
        <f t="shared" si="86"/>
        <v>0</v>
      </c>
      <c r="W211" s="911">
        <f t="shared" si="84"/>
        <v>0</v>
      </c>
      <c r="X211" s="906"/>
      <c r="Y211" s="906"/>
      <c r="Z211" s="843">
        <f t="shared" si="85"/>
        <v>0</v>
      </c>
    </row>
    <row r="212" spans="1:26" ht="16.5" thickTop="1" thickBot="1" x14ac:dyDescent="0.3">
      <c r="A212" s="908">
        <v>1</v>
      </c>
      <c r="B212" s="908">
        <v>1</v>
      </c>
      <c r="C212" s="909" t="s">
        <v>817</v>
      </c>
      <c r="D212" s="908">
        <v>2</v>
      </c>
      <c r="E212" s="909" t="s">
        <v>955</v>
      </c>
      <c r="F212" s="909" t="s">
        <v>1005</v>
      </c>
      <c r="G212" s="909" t="s">
        <v>735</v>
      </c>
      <c r="H212" s="909" t="s">
        <v>738</v>
      </c>
      <c r="I212" s="909" t="s">
        <v>817</v>
      </c>
      <c r="J212" s="909"/>
      <c r="K212" s="910" t="s">
        <v>1012</v>
      </c>
      <c r="L212" s="911"/>
      <c r="M212" s="911"/>
      <c r="N212" s="911"/>
      <c r="O212" s="904">
        <f>+L212+M212-N212</f>
        <v>0</v>
      </c>
      <c r="P212" s="911"/>
      <c r="Q212" s="911"/>
      <c r="R212" s="911"/>
      <c r="S212" s="911"/>
      <c r="T212" s="911"/>
      <c r="U212" s="911"/>
      <c r="V212" s="911"/>
      <c r="W212" s="911">
        <f t="shared" si="84"/>
        <v>0</v>
      </c>
      <c r="X212" s="906"/>
      <c r="Y212" s="906"/>
      <c r="Z212" s="843">
        <f t="shared" si="85"/>
        <v>0</v>
      </c>
    </row>
    <row r="213" spans="1:26" ht="16.5" thickTop="1" thickBot="1" x14ac:dyDescent="0.3">
      <c r="A213" s="908">
        <v>1</v>
      </c>
      <c r="B213" s="908">
        <v>1</v>
      </c>
      <c r="C213" s="909" t="s">
        <v>817</v>
      </c>
      <c r="D213" s="908">
        <v>2</v>
      </c>
      <c r="E213" s="909" t="s">
        <v>955</v>
      </c>
      <c r="F213" s="909" t="s">
        <v>1005</v>
      </c>
      <c r="G213" s="909" t="s">
        <v>735</v>
      </c>
      <c r="H213" s="909" t="s">
        <v>738</v>
      </c>
      <c r="I213" s="909" t="s">
        <v>734</v>
      </c>
      <c r="J213" s="909"/>
      <c r="K213" s="910" t="s">
        <v>1013</v>
      </c>
      <c r="L213" s="911"/>
      <c r="M213" s="911"/>
      <c r="N213" s="911"/>
      <c r="O213" s="904">
        <f>+L213+M213-N213</f>
        <v>0</v>
      </c>
      <c r="P213" s="911"/>
      <c r="Q213" s="911"/>
      <c r="R213" s="911"/>
      <c r="S213" s="911"/>
      <c r="T213" s="911"/>
      <c r="U213" s="911"/>
      <c r="V213" s="911"/>
      <c r="W213" s="911">
        <f t="shared" si="84"/>
        <v>0</v>
      </c>
      <c r="X213" s="906"/>
      <c r="Y213" s="906"/>
      <c r="Z213" s="843">
        <f t="shared" si="85"/>
        <v>0</v>
      </c>
    </row>
    <row r="214" spans="1:26" ht="16.5" thickTop="1" thickBot="1" x14ac:dyDescent="0.3">
      <c r="A214" s="908">
        <v>1</v>
      </c>
      <c r="B214" s="908">
        <v>1</v>
      </c>
      <c r="C214" s="909" t="s">
        <v>817</v>
      </c>
      <c r="D214" s="908">
        <v>2</v>
      </c>
      <c r="E214" s="909" t="s">
        <v>955</v>
      </c>
      <c r="F214" s="909" t="s">
        <v>1005</v>
      </c>
      <c r="G214" s="909" t="s">
        <v>735</v>
      </c>
      <c r="H214" s="909" t="s">
        <v>738</v>
      </c>
      <c r="I214" s="909" t="s">
        <v>828</v>
      </c>
      <c r="J214" s="909"/>
      <c r="K214" s="910" t="s">
        <v>1014</v>
      </c>
      <c r="L214" s="911"/>
      <c r="M214" s="911"/>
      <c r="N214" s="911"/>
      <c r="O214" s="904">
        <f>+L214+M214-N214</f>
        <v>0</v>
      </c>
      <c r="P214" s="911"/>
      <c r="Q214" s="911"/>
      <c r="R214" s="911"/>
      <c r="S214" s="911"/>
      <c r="T214" s="911"/>
      <c r="U214" s="911"/>
      <c r="V214" s="911"/>
      <c r="W214" s="911">
        <f t="shared" si="84"/>
        <v>0</v>
      </c>
      <c r="X214" s="906"/>
      <c r="Y214" s="906"/>
      <c r="Z214" s="843">
        <f t="shared" si="85"/>
        <v>0</v>
      </c>
    </row>
    <row r="215" spans="1:26" ht="16.5" thickTop="1" thickBot="1" x14ac:dyDescent="0.3">
      <c r="A215" s="908">
        <v>1</v>
      </c>
      <c r="B215" s="908">
        <v>1</v>
      </c>
      <c r="C215" s="909" t="s">
        <v>817</v>
      </c>
      <c r="D215" s="908">
        <v>2</v>
      </c>
      <c r="E215" s="909" t="s">
        <v>955</v>
      </c>
      <c r="F215" s="909" t="s">
        <v>1005</v>
      </c>
      <c r="G215" s="909" t="s">
        <v>735</v>
      </c>
      <c r="H215" s="909" t="s">
        <v>742</v>
      </c>
      <c r="I215" s="909"/>
      <c r="J215" s="902"/>
      <c r="K215" s="910" t="s">
        <v>1015</v>
      </c>
      <c r="L215" s="904">
        <f>SUM(L216:L218)</f>
        <v>0</v>
      </c>
      <c r="M215" s="904">
        <f t="shared" ref="M215:V215" si="87">SUM(M216:M218)</f>
        <v>0</v>
      </c>
      <c r="N215" s="904">
        <f t="shared" si="87"/>
        <v>0</v>
      </c>
      <c r="O215" s="904">
        <f t="shared" si="87"/>
        <v>0</v>
      </c>
      <c r="P215" s="904">
        <f t="shared" si="87"/>
        <v>0</v>
      </c>
      <c r="Q215" s="904">
        <f t="shared" si="87"/>
        <v>0</v>
      </c>
      <c r="R215" s="904">
        <f t="shared" si="87"/>
        <v>0</v>
      </c>
      <c r="S215" s="904">
        <f t="shared" si="87"/>
        <v>0</v>
      </c>
      <c r="T215" s="904">
        <f t="shared" si="87"/>
        <v>0</v>
      </c>
      <c r="U215" s="904">
        <f t="shared" si="87"/>
        <v>0</v>
      </c>
      <c r="V215" s="904">
        <f t="shared" si="87"/>
        <v>0</v>
      </c>
      <c r="W215" s="904">
        <f t="shared" si="84"/>
        <v>0</v>
      </c>
      <c r="X215" s="906"/>
      <c r="Y215" s="906"/>
      <c r="Z215" s="913">
        <f t="shared" si="85"/>
        <v>0</v>
      </c>
    </row>
    <row r="216" spans="1:26" ht="16.5" thickTop="1" thickBot="1" x14ac:dyDescent="0.3">
      <c r="A216" s="908">
        <v>1</v>
      </c>
      <c r="B216" s="908">
        <v>1</v>
      </c>
      <c r="C216" s="909" t="s">
        <v>817</v>
      </c>
      <c r="D216" s="908">
        <v>2</v>
      </c>
      <c r="E216" s="909" t="s">
        <v>955</v>
      </c>
      <c r="F216" s="909" t="s">
        <v>1005</v>
      </c>
      <c r="G216" s="909" t="s">
        <v>735</v>
      </c>
      <c r="H216" s="909" t="s">
        <v>742</v>
      </c>
      <c r="I216" s="909" t="s">
        <v>817</v>
      </c>
      <c r="J216" s="902"/>
      <c r="K216" s="910" t="s">
        <v>1016</v>
      </c>
      <c r="L216" s="904"/>
      <c r="M216" s="904"/>
      <c r="N216" s="904"/>
      <c r="O216" s="904">
        <f>+L216+M216-N216</f>
        <v>0</v>
      </c>
      <c r="P216" s="904"/>
      <c r="Q216" s="904"/>
      <c r="R216" s="904"/>
      <c r="S216" s="904"/>
      <c r="T216" s="904"/>
      <c r="U216" s="904"/>
      <c r="V216" s="904"/>
      <c r="W216" s="904">
        <f t="shared" si="84"/>
        <v>0</v>
      </c>
      <c r="X216" s="906"/>
      <c r="Y216" s="906"/>
      <c r="Z216" s="913">
        <f t="shared" si="85"/>
        <v>0</v>
      </c>
    </row>
    <row r="217" spans="1:26" ht="16.5" thickTop="1" thickBot="1" x14ac:dyDescent="0.3">
      <c r="A217" s="908">
        <v>1</v>
      </c>
      <c r="B217" s="908">
        <v>1</v>
      </c>
      <c r="C217" s="909" t="s">
        <v>817</v>
      </c>
      <c r="D217" s="908">
        <v>2</v>
      </c>
      <c r="E217" s="909" t="s">
        <v>955</v>
      </c>
      <c r="F217" s="909" t="s">
        <v>1005</v>
      </c>
      <c r="G217" s="909" t="s">
        <v>735</v>
      </c>
      <c r="H217" s="909" t="s">
        <v>742</v>
      </c>
      <c r="I217" s="909" t="s">
        <v>734</v>
      </c>
      <c r="J217" s="902"/>
      <c r="K217" s="910" t="s">
        <v>1017</v>
      </c>
      <c r="L217" s="904"/>
      <c r="M217" s="904"/>
      <c r="N217" s="904"/>
      <c r="O217" s="904">
        <f>+L217+M217-N217</f>
        <v>0</v>
      </c>
      <c r="P217" s="904"/>
      <c r="Q217" s="904"/>
      <c r="R217" s="904"/>
      <c r="S217" s="904"/>
      <c r="T217" s="904"/>
      <c r="U217" s="904"/>
      <c r="V217" s="904"/>
      <c r="W217" s="904">
        <f t="shared" si="84"/>
        <v>0</v>
      </c>
      <c r="X217" s="906"/>
      <c r="Y217" s="906"/>
      <c r="Z217" s="913">
        <f t="shared" si="85"/>
        <v>0</v>
      </c>
    </row>
    <row r="218" spans="1:26" ht="16.5" thickTop="1" thickBot="1" x14ac:dyDescent="0.3">
      <c r="A218" s="908">
        <v>1</v>
      </c>
      <c r="B218" s="908">
        <v>1</v>
      </c>
      <c r="C218" s="909" t="s">
        <v>817</v>
      </c>
      <c r="D218" s="908">
        <v>2</v>
      </c>
      <c r="E218" s="909" t="s">
        <v>955</v>
      </c>
      <c r="F218" s="909" t="s">
        <v>1005</v>
      </c>
      <c r="G218" s="909" t="s">
        <v>735</v>
      </c>
      <c r="H218" s="909" t="s">
        <v>742</v>
      </c>
      <c r="I218" s="909" t="s">
        <v>828</v>
      </c>
      <c r="J218" s="902"/>
      <c r="K218" s="910" t="s">
        <v>1018</v>
      </c>
      <c r="L218" s="904"/>
      <c r="M218" s="904"/>
      <c r="N218" s="904"/>
      <c r="O218" s="904">
        <f>+L218+M218-N218</f>
        <v>0</v>
      </c>
      <c r="P218" s="904"/>
      <c r="Q218" s="904"/>
      <c r="R218" s="904"/>
      <c r="S218" s="904"/>
      <c r="T218" s="904"/>
      <c r="U218" s="904"/>
      <c r="V218" s="904"/>
      <c r="W218" s="904">
        <f t="shared" si="84"/>
        <v>0</v>
      </c>
      <c r="X218" s="906"/>
      <c r="Y218" s="906"/>
      <c r="Z218" s="913">
        <f t="shared" si="85"/>
        <v>0</v>
      </c>
    </row>
    <row r="219" spans="1:26" ht="16.5" thickTop="1" thickBot="1" x14ac:dyDescent="0.3">
      <c r="A219" s="908">
        <v>1</v>
      </c>
      <c r="B219" s="908">
        <v>1</v>
      </c>
      <c r="C219" s="909" t="s">
        <v>817</v>
      </c>
      <c r="D219" s="908">
        <v>2</v>
      </c>
      <c r="E219" s="909" t="s">
        <v>955</v>
      </c>
      <c r="F219" s="909" t="s">
        <v>1019</v>
      </c>
      <c r="G219" s="909"/>
      <c r="H219" s="909"/>
      <c r="I219" s="909"/>
      <c r="J219" s="902"/>
      <c r="K219" s="910" t="s">
        <v>1020</v>
      </c>
      <c r="L219" s="904">
        <f>SUM(L220:L222)</f>
        <v>0</v>
      </c>
      <c r="M219" s="904">
        <f t="shared" ref="M219:V219" si="88">SUM(M220:M222)</f>
        <v>0</v>
      </c>
      <c r="N219" s="904">
        <f t="shared" si="88"/>
        <v>0</v>
      </c>
      <c r="O219" s="904">
        <f t="shared" si="88"/>
        <v>0</v>
      </c>
      <c r="P219" s="904">
        <f t="shared" si="88"/>
        <v>0</v>
      </c>
      <c r="Q219" s="904">
        <f t="shared" si="88"/>
        <v>0</v>
      </c>
      <c r="R219" s="904">
        <f t="shared" si="88"/>
        <v>0</v>
      </c>
      <c r="S219" s="904">
        <f t="shared" si="88"/>
        <v>0</v>
      </c>
      <c r="T219" s="904">
        <f t="shared" si="88"/>
        <v>0</v>
      </c>
      <c r="U219" s="904">
        <f t="shared" si="88"/>
        <v>0</v>
      </c>
      <c r="V219" s="904">
        <f t="shared" si="88"/>
        <v>0</v>
      </c>
      <c r="W219" s="904">
        <f t="shared" si="84"/>
        <v>0</v>
      </c>
      <c r="X219" s="906"/>
      <c r="Y219" s="906"/>
      <c r="Z219" s="913">
        <f t="shared" si="85"/>
        <v>0</v>
      </c>
    </row>
    <row r="220" spans="1:26" ht="24" thickTop="1" thickBot="1" x14ac:dyDescent="0.3">
      <c r="A220" s="908">
        <v>1</v>
      </c>
      <c r="B220" s="908">
        <v>1</v>
      </c>
      <c r="C220" s="909" t="s">
        <v>817</v>
      </c>
      <c r="D220" s="908">
        <v>2</v>
      </c>
      <c r="E220" s="909" t="s">
        <v>955</v>
      </c>
      <c r="F220" s="909" t="s">
        <v>1019</v>
      </c>
      <c r="G220" s="909" t="s">
        <v>817</v>
      </c>
      <c r="H220" s="909"/>
      <c r="I220" s="909"/>
      <c r="J220" s="902"/>
      <c r="K220" s="910" t="s">
        <v>1021</v>
      </c>
      <c r="L220" s="904"/>
      <c r="M220" s="904"/>
      <c r="N220" s="904"/>
      <c r="O220" s="904">
        <f>+L220+M220-N220</f>
        <v>0</v>
      </c>
      <c r="P220" s="904"/>
      <c r="Q220" s="904"/>
      <c r="R220" s="904"/>
      <c r="S220" s="904"/>
      <c r="T220" s="904"/>
      <c r="U220" s="904"/>
      <c r="V220" s="904"/>
      <c r="W220" s="904">
        <f t="shared" si="84"/>
        <v>0</v>
      </c>
      <c r="X220" s="906"/>
      <c r="Y220" s="906"/>
      <c r="Z220" s="913">
        <f t="shared" si="85"/>
        <v>0</v>
      </c>
    </row>
    <row r="221" spans="1:26" ht="24" thickTop="1" thickBot="1" x14ac:dyDescent="0.3">
      <c r="A221" s="908">
        <v>1</v>
      </c>
      <c r="B221" s="908">
        <v>1</v>
      </c>
      <c r="C221" s="909" t="s">
        <v>817</v>
      </c>
      <c r="D221" s="908">
        <v>2</v>
      </c>
      <c r="E221" s="909" t="s">
        <v>955</v>
      </c>
      <c r="F221" s="909" t="s">
        <v>1019</v>
      </c>
      <c r="G221" s="909" t="s">
        <v>734</v>
      </c>
      <c r="H221" s="909"/>
      <c r="I221" s="909"/>
      <c r="J221" s="902"/>
      <c r="K221" s="910" t="s">
        <v>1022</v>
      </c>
      <c r="L221" s="904"/>
      <c r="M221" s="904"/>
      <c r="N221" s="904"/>
      <c r="O221" s="904">
        <f>+L221+M221-N221</f>
        <v>0</v>
      </c>
      <c r="P221" s="904"/>
      <c r="Q221" s="904"/>
      <c r="R221" s="904"/>
      <c r="S221" s="904"/>
      <c r="T221" s="904"/>
      <c r="U221" s="904"/>
      <c r="V221" s="904"/>
      <c r="W221" s="904">
        <f t="shared" si="84"/>
        <v>0</v>
      </c>
      <c r="X221" s="906"/>
      <c r="Y221" s="906"/>
      <c r="Z221" s="913">
        <f t="shared" si="85"/>
        <v>0</v>
      </c>
    </row>
    <row r="222" spans="1:26" ht="24" thickTop="1" thickBot="1" x14ac:dyDescent="0.3">
      <c r="A222" s="908">
        <v>1</v>
      </c>
      <c r="B222" s="908">
        <v>1</v>
      </c>
      <c r="C222" s="909" t="s">
        <v>817</v>
      </c>
      <c r="D222" s="908">
        <v>2</v>
      </c>
      <c r="E222" s="909" t="s">
        <v>955</v>
      </c>
      <c r="F222" s="909" t="s">
        <v>1019</v>
      </c>
      <c r="G222" s="909" t="s">
        <v>828</v>
      </c>
      <c r="H222" s="909"/>
      <c r="I222" s="909"/>
      <c r="J222" s="902"/>
      <c r="K222" s="910" t="s">
        <v>1023</v>
      </c>
      <c r="L222" s="904"/>
      <c r="M222" s="904"/>
      <c r="N222" s="904"/>
      <c r="O222" s="904">
        <f>+L222+M222-N222</f>
        <v>0</v>
      </c>
      <c r="P222" s="904"/>
      <c r="Q222" s="904"/>
      <c r="R222" s="904"/>
      <c r="S222" s="904"/>
      <c r="T222" s="904"/>
      <c r="U222" s="904"/>
      <c r="V222" s="904"/>
      <c r="W222" s="904">
        <f t="shared" si="84"/>
        <v>0</v>
      </c>
      <c r="X222" s="906"/>
      <c r="Y222" s="906"/>
      <c r="Z222" s="913">
        <f t="shared" si="85"/>
        <v>0</v>
      </c>
    </row>
    <row r="223" spans="1:26" ht="16.5" thickTop="1" thickBot="1" x14ac:dyDescent="0.3">
      <c r="A223" s="908">
        <v>1</v>
      </c>
      <c r="B223" s="908">
        <v>1</v>
      </c>
      <c r="C223" s="909" t="s">
        <v>817</v>
      </c>
      <c r="D223" s="908">
        <v>2</v>
      </c>
      <c r="E223" s="909" t="s">
        <v>955</v>
      </c>
      <c r="F223" s="909" t="s">
        <v>1024</v>
      </c>
      <c r="G223" s="909"/>
      <c r="H223" s="909"/>
      <c r="I223" s="909"/>
      <c r="J223" s="909"/>
      <c r="K223" s="910" t="s">
        <v>1025</v>
      </c>
      <c r="L223" s="904">
        <f>SUM(L224:L226)</f>
        <v>0</v>
      </c>
      <c r="M223" s="904">
        <f t="shared" ref="M223:V223" si="89">SUM(M224:M226)</f>
        <v>0</v>
      </c>
      <c r="N223" s="904">
        <f t="shared" si="89"/>
        <v>0</v>
      </c>
      <c r="O223" s="904">
        <f t="shared" si="89"/>
        <v>0</v>
      </c>
      <c r="P223" s="904">
        <f t="shared" si="89"/>
        <v>0</v>
      </c>
      <c r="Q223" s="904">
        <f t="shared" si="89"/>
        <v>0</v>
      </c>
      <c r="R223" s="904">
        <f t="shared" si="89"/>
        <v>0</v>
      </c>
      <c r="S223" s="904">
        <f t="shared" si="89"/>
        <v>0</v>
      </c>
      <c r="T223" s="904">
        <f t="shared" si="89"/>
        <v>0</v>
      </c>
      <c r="U223" s="904">
        <f t="shared" si="89"/>
        <v>0</v>
      </c>
      <c r="V223" s="904">
        <f t="shared" si="89"/>
        <v>0</v>
      </c>
      <c r="W223" s="904">
        <f t="shared" si="84"/>
        <v>0</v>
      </c>
      <c r="X223" s="906"/>
      <c r="Y223" s="906"/>
      <c r="Z223" s="913">
        <f t="shared" si="85"/>
        <v>0</v>
      </c>
    </row>
    <row r="224" spans="1:26" ht="16.5" thickTop="1" thickBot="1" x14ac:dyDescent="0.3">
      <c r="A224" s="908">
        <v>1</v>
      </c>
      <c r="B224" s="908">
        <v>1</v>
      </c>
      <c r="C224" s="909" t="s">
        <v>817</v>
      </c>
      <c r="D224" s="908">
        <v>2</v>
      </c>
      <c r="E224" s="909" t="s">
        <v>955</v>
      </c>
      <c r="F224" s="909" t="s">
        <v>1024</v>
      </c>
      <c r="G224" s="909" t="s">
        <v>817</v>
      </c>
      <c r="H224" s="909"/>
      <c r="I224" s="909"/>
      <c r="J224" s="909"/>
      <c r="K224" s="910" t="s">
        <v>1026</v>
      </c>
      <c r="L224" s="904"/>
      <c r="M224" s="904"/>
      <c r="N224" s="904"/>
      <c r="O224" s="904">
        <f>+L224+M224-N224</f>
        <v>0</v>
      </c>
      <c r="P224" s="904"/>
      <c r="Q224" s="904"/>
      <c r="R224" s="904"/>
      <c r="S224" s="904"/>
      <c r="T224" s="904"/>
      <c r="U224" s="904"/>
      <c r="V224" s="904"/>
      <c r="W224" s="904">
        <f t="shared" si="84"/>
        <v>0</v>
      </c>
      <c r="X224" s="906"/>
      <c r="Y224" s="906"/>
      <c r="Z224" s="913">
        <f t="shared" si="85"/>
        <v>0</v>
      </c>
    </row>
    <row r="225" spans="1:26" ht="24" thickTop="1" thickBot="1" x14ac:dyDescent="0.3">
      <c r="A225" s="908">
        <v>1</v>
      </c>
      <c r="B225" s="908">
        <v>1</v>
      </c>
      <c r="C225" s="909" t="s">
        <v>817</v>
      </c>
      <c r="D225" s="908">
        <v>2</v>
      </c>
      <c r="E225" s="909" t="s">
        <v>955</v>
      </c>
      <c r="F225" s="909" t="s">
        <v>1024</v>
      </c>
      <c r="G225" s="909" t="s">
        <v>734</v>
      </c>
      <c r="H225" s="909"/>
      <c r="I225" s="909"/>
      <c r="J225" s="909"/>
      <c r="K225" s="910" t="s">
        <v>1027</v>
      </c>
      <c r="L225" s="904"/>
      <c r="M225" s="904"/>
      <c r="N225" s="904"/>
      <c r="O225" s="904">
        <f>+L225+M225-N225</f>
        <v>0</v>
      </c>
      <c r="P225" s="904"/>
      <c r="Q225" s="904"/>
      <c r="R225" s="904"/>
      <c r="S225" s="904"/>
      <c r="T225" s="904"/>
      <c r="U225" s="904"/>
      <c r="V225" s="904"/>
      <c r="W225" s="904">
        <f t="shared" si="84"/>
        <v>0</v>
      </c>
      <c r="X225" s="906"/>
      <c r="Y225" s="906"/>
      <c r="Z225" s="913">
        <f t="shared" si="85"/>
        <v>0</v>
      </c>
    </row>
    <row r="226" spans="1:26" ht="24" thickTop="1" thickBot="1" x14ac:dyDescent="0.3">
      <c r="A226" s="908">
        <v>1</v>
      </c>
      <c r="B226" s="908">
        <v>1</v>
      </c>
      <c r="C226" s="909" t="s">
        <v>817</v>
      </c>
      <c r="D226" s="908">
        <v>2</v>
      </c>
      <c r="E226" s="909" t="s">
        <v>955</v>
      </c>
      <c r="F226" s="909" t="s">
        <v>1024</v>
      </c>
      <c r="G226" s="909" t="s">
        <v>828</v>
      </c>
      <c r="H226" s="909"/>
      <c r="I226" s="909"/>
      <c r="J226" s="909"/>
      <c r="K226" s="910" t="s">
        <v>1028</v>
      </c>
      <c r="L226" s="904"/>
      <c r="M226" s="904"/>
      <c r="N226" s="904"/>
      <c r="O226" s="904">
        <f>+L226+M226-N226</f>
        <v>0</v>
      </c>
      <c r="P226" s="904"/>
      <c r="Q226" s="904"/>
      <c r="R226" s="904"/>
      <c r="S226" s="904"/>
      <c r="T226" s="904"/>
      <c r="U226" s="904"/>
      <c r="V226" s="904"/>
      <c r="W226" s="904">
        <f t="shared" si="84"/>
        <v>0</v>
      </c>
      <c r="X226" s="906"/>
      <c r="Y226" s="906"/>
      <c r="Z226" s="913">
        <f t="shared" si="85"/>
        <v>0</v>
      </c>
    </row>
    <row r="227" spans="1:26" ht="16.5" thickTop="1" thickBot="1" x14ac:dyDescent="0.3">
      <c r="A227" s="861">
        <v>1</v>
      </c>
      <c r="B227" s="861" t="s">
        <v>817</v>
      </c>
      <c r="C227" s="861" t="s">
        <v>734</v>
      </c>
      <c r="D227" s="861"/>
      <c r="E227" s="861"/>
      <c r="F227" s="861"/>
      <c r="G227" s="861"/>
      <c r="H227" s="862"/>
      <c r="I227" s="863"/>
      <c r="J227" s="863"/>
      <c r="K227" s="864" t="s">
        <v>1029</v>
      </c>
      <c r="L227" s="865">
        <f>+L228+L294+L315+L352+L370+L385+L403+L409+L509</f>
        <v>0</v>
      </c>
      <c r="M227" s="865">
        <f t="shared" ref="M227:U227" si="90">+M228+M294+M315+M352+M370+M385+M403+M409+M509</f>
        <v>0</v>
      </c>
      <c r="N227" s="865">
        <f t="shared" si="90"/>
        <v>0</v>
      </c>
      <c r="O227" s="865">
        <f>+O228+O294+O315+O352+O370+O385+O403+O409+O509</f>
        <v>0</v>
      </c>
      <c r="P227" s="865">
        <f t="shared" si="90"/>
        <v>0</v>
      </c>
      <c r="Q227" s="904">
        <f t="shared" si="90"/>
        <v>0</v>
      </c>
      <c r="R227" s="904">
        <f t="shared" si="90"/>
        <v>0</v>
      </c>
      <c r="S227" s="865">
        <f t="shared" si="90"/>
        <v>0</v>
      </c>
      <c r="T227" s="865">
        <f>+T228+T294+T315+T352+T370+T385+T403+T409+T509</f>
        <v>199430692.62</v>
      </c>
      <c r="U227" s="904">
        <f t="shared" si="90"/>
        <v>199430692.62</v>
      </c>
      <c r="V227" s="866">
        <f t="shared" ref="V227:V297" si="91">U227/T227</f>
        <v>1</v>
      </c>
      <c r="W227" s="865"/>
      <c r="X227" s="867"/>
      <c r="Y227" s="867"/>
      <c r="Z227" s="868"/>
    </row>
    <row r="228" spans="1:26" ht="16.5" thickTop="1" thickBot="1" x14ac:dyDescent="0.3">
      <c r="A228" s="869">
        <v>1</v>
      </c>
      <c r="B228" s="870">
        <v>1</v>
      </c>
      <c r="C228" s="870" t="s">
        <v>734</v>
      </c>
      <c r="D228" s="870" t="s">
        <v>735</v>
      </c>
      <c r="E228" s="870"/>
      <c r="F228" s="870"/>
      <c r="G228" s="870"/>
      <c r="H228" s="871"/>
      <c r="I228" s="871"/>
      <c r="J228" s="871"/>
      <c r="K228" s="872" t="s">
        <v>1030</v>
      </c>
      <c r="L228" s="873">
        <f>+L229+L253</f>
        <v>0</v>
      </c>
      <c r="M228" s="873">
        <f t="shared" ref="M228:U228" si="92">+M229+M253</f>
        <v>0</v>
      </c>
      <c r="N228" s="873">
        <f t="shared" si="92"/>
        <v>0</v>
      </c>
      <c r="O228" s="873">
        <f t="shared" si="92"/>
        <v>0</v>
      </c>
      <c r="P228" s="873">
        <f t="shared" si="92"/>
        <v>0</v>
      </c>
      <c r="Q228" s="904">
        <f t="shared" si="92"/>
        <v>0</v>
      </c>
      <c r="R228" s="904">
        <f t="shared" si="92"/>
        <v>0</v>
      </c>
      <c r="S228" s="873">
        <f t="shared" si="92"/>
        <v>0</v>
      </c>
      <c r="T228" s="873">
        <f t="shared" si="92"/>
        <v>0</v>
      </c>
      <c r="U228" s="904">
        <f t="shared" si="92"/>
        <v>0</v>
      </c>
      <c r="V228" s="874" t="e">
        <f t="shared" si="91"/>
        <v>#DIV/0!</v>
      </c>
      <c r="W228" s="873"/>
      <c r="X228" s="875"/>
      <c r="Y228" s="875"/>
      <c r="Z228" s="876"/>
    </row>
    <row r="229" spans="1:26" ht="16.5" thickTop="1" thickBot="1" x14ac:dyDescent="0.3">
      <c r="A229" s="877">
        <v>1</v>
      </c>
      <c r="B229" s="878">
        <v>1</v>
      </c>
      <c r="C229" s="878" t="s">
        <v>734</v>
      </c>
      <c r="D229" s="878" t="s">
        <v>735</v>
      </c>
      <c r="E229" s="878" t="s">
        <v>735</v>
      </c>
      <c r="F229" s="878"/>
      <c r="G229" s="878"/>
      <c r="H229" s="879"/>
      <c r="I229" s="879"/>
      <c r="J229" s="879"/>
      <c r="K229" s="880" t="s">
        <v>1031</v>
      </c>
      <c r="L229" s="881">
        <f>+L230+L241+L245+L249</f>
        <v>0</v>
      </c>
      <c r="M229" s="881">
        <f t="shared" ref="M229:U229" si="93">+M230+M241+M245+M249</f>
        <v>0</v>
      </c>
      <c r="N229" s="881">
        <f t="shared" si="93"/>
        <v>0</v>
      </c>
      <c r="O229" s="881">
        <f t="shared" si="93"/>
        <v>0</v>
      </c>
      <c r="P229" s="881">
        <f t="shared" si="93"/>
        <v>0</v>
      </c>
      <c r="Q229" s="904">
        <f t="shared" si="93"/>
        <v>0</v>
      </c>
      <c r="R229" s="904">
        <f t="shared" si="93"/>
        <v>0</v>
      </c>
      <c r="S229" s="881">
        <f t="shared" si="93"/>
        <v>0</v>
      </c>
      <c r="T229" s="881">
        <f t="shared" si="93"/>
        <v>0</v>
      </c>
      <c r="U229" s="904">
        <f t="shared" si="93"/>
        <v>0</v>
      </c>
      <c r="V229" s="882" t="e">
        <f t="shared" si="91"/>
        <v>#DIV/0!</v>
      </c>
      <c r="W229" s="881"/>
      <c r="X229" s="883"/>
      <c r="Y229" s="883"/>
      <c r="Z229" s="884"/>
    </row>
    <row r="230" spans="1:26" ht="16.5" thickTop="1" thickBot="1" x14ac:dyDescent="0.3">
      <c r="A230" s="885">
        <v>1</v>
      </c>
      <c r="B230" s="886">
        <v>1</v>
      </c>
      <c r="C230" s="886" t="s">
        <v>734</v>
      </c>
      <c r="D230" s="886" t="s">
        <v>735</v>
      </c>
      <c r="E230" s="886" t="s">
        <v>735</v>
      </c>
      <c r="F230" s="886" t="s">
        <v>903</v>
      </c>
      <c r="G230" s="886"/>
      <c r="H230" s="887"/>
      <c r="I230" s="887"/>
      <c r="J230" s="887"/>
      <c r="K230" s="888" t="s">
        <v>1032</v>
      </c>
      <c r="L230" s="889">
        <f>SUM(L231:L233)</f>
        <v>0</v>
      </c>
      <c r="M230" s="889">
        <f t="shared" ref="M230:U230" si="94">SUM(M231:M233)</f>
        <v>0</v>
      </c>
      <c r="N230" s="889">
        <f t="shared" si="94"/>
        <v>0</v>
      </c>
      <c r="O230" s="889">
        <f t="shared" si="94"/>
        <v>0</v>
      </c>
      <c r="P230" s="889">
        <f t="shared" si="94"/>
        <v>0</v>
      </c>
      <c r="Q230" s="904">
        <f t="shared" si="94"/>
        <v>0</v>
      </c>
      <c r="R230" s="904">
        <f t="shared" si="94"/>
        <v>0</v>
      </c>
      <c r="S230" s="889">
        <f t="shared" si="94"/>
        <v>0</v>
      </c>
      <c r="T230" s="889">
        <f t="shared" si="94"/>
        <v>0</v>
      </c>
      <c r="U230" s="904">
        <f t="shared" si="94"/>
        <v>0</v>
      </c>
      <c r="V230" s="890" t="e">
        <f t="shared" si="91"/>
        <v>#DIV/0!</v>
      </c>
      <c r="W230" s="889"/>
      <c r="X230" s="891"/>
      <c r="Y230" s="891"/>
      <c r="Z230" s="892"/>
    </row>
    <row r="231" spans="1:26" ht="16.5" thickTop="1" thickBot="1" x14ac:dyDescent="0.3">
      <c r="A231" s="908">
        <v>1</v>
      </c>
      <c r="B231" s="908">
        <v>1</v>
      </c>
      <c r="C231" s="909" t="s">
        <v>734</v>
      </c>
      <c r="D231" s="909" t="s">
        <v>735</v>
      </c>
      <c r="E231" s="909" t="s">
        <v>735</v>
      </c>
      <c r="F231" s="909" t="s">
        <v>903</v>
      </c>
      <c r="G231" s="909" t="s">
        <v>817</v>
      </c>
      <c r="H231" s="909"/>
      <c r="I231" s="909"/>
      <c r="J231" s="909"/>
      <c r="K231" s="910" t="s">
        <v>1033</v>
      </c>
      <c r="L231" s="904"/>
      <c r="M231" s="904"/>
      <c r="N231" s="904"/>
      <c r="O231" s="904">
        <f>+L231+M231-N231</f>
        <v>0</v>
      </c>
      <c r="P231" s="904"/>
      <c r="Q231" s="904"/>
      <c r="R231" s="904"/>
      <c r="S231" s="904"/>
      <c r="T231" s="904"/>
      <c r="U231" s="904"/>
      <c r="V231" s="904" t="e">
        <f t="shared" si="91"/>
        <v>#DIV/0!</v>
      </c>
      <c r="W231" s="904">
        <f t="shared" si="84"/>
        <v>0</v>
      </c>
      <c r="X231" s="906"/>
      <c r="Y231" s="906"/>
      <c r="Z231" s="913">
        <f t="shared" si="85"/>
        <v>0</v>
      </c>
    </row>
    <row r="232" spans="1:26" ht="16.5" thickTop="1" thickBot="1" x14ac:dyDescent="0.3">
      <c r="A232" s="908">
        <v>1</v>
      </c>
      <c r="B232" s="908">
        <v>1</v>
      </c>
      <c r="C232" s="909" t="s">
        <v>734</v>
      </c>
      <c r="D232" s="909" t="s">
        <v>735</v>
      </c>
      <c r="E232" s="909" t="s">
        <v>735</v>
      </c>
      <c r="F232" s="909" t="s">
        <v>903</v>
      </c>
      <c r="G232" s="909" t="s">
        <v>734</v>
      </c>
      <c r="H232" s="909"/>
      <c r="I232" s="909"/>
      <c r="J232" s="909"/>
      <c r="K232" s="910" t="s">
        <v>1034</v>
      </c>
      <c r="L232" s="904"/>
      <c r="M232" s="904"/>
      <c r="N232" s="904"/>
      <c r="O232" s="904">
        <f>+L232+M232-N232</f>
        <v>0</v>
      </c>
      <c r="P232" s="904"/>
      <c r="Q232" s="904"/>
      <c r="R232" s="904"/>
      <c r="S232" s="904"/>
      <c r="T232" s="904"/>
      <c r="U232" s="904"/>
      <c r="V232" s="904" t="e">
        <f t="shared" si="91"/>
        <v>#DIV/0!</v>
      </c>
      <c r="W232" s="904">
        <f t="shared" si="84"/>
        <v>0</v>
      </c>
      <c r="X232" s="906"/>
      <c r="Y232" s="906"/>
      <c r="Z232" s="913">
        <f t="shared" si="85"/>
        <v>0</v>
      </c>
    </row>
    <row r="233" spans="1:26" ht="16.5" thickTop="1" thickBot="1" x14ac:dyDescent="0.3">
      <c r="A233" s="908">
        <v>1</v>
      </c>
      <c r="B233" s="908">
        <v>1</v>
      </c>
      <c r="C233" s="909" t="s">
        <v>734</v>
      </c>
      <c r="D233" s="909" t="s">
        <v>735</v>
      </c>
      <c r="E233" s="909" t="s">
        <v>735</v>
      </c>
      <c r="F233" s="909" t="s">
        <v>903</v>
      </c>
      <c r="G233" s="909" t="s">
        <v>828</v>
      </c>
      <c r="H233" s="909"/>
      <c r="I233" s="909"/>
      <c r="J233" s="909"/>
      <c r="K233" s="910" t="s">
        <v>1035</v>
      </c>
      <c r="L233" s="904">
        <f>SUM(L234:L240)</f>
        <v>0</v>
      </c>
      <c r="M233" s="904"/>
      <c r="N233" s="904"/>
      <c r="O233" s="904">
        <f>+L233+M233-N233</f>
        <v>0</v>
      </c>
      <c r="P233" s="904">
        <v>0</v>
      </c>
      <c r="Q233" s="904">
        <f>SUM(Q234:Q240)</f>
        <v>0</v>
      </c>
      <c r="R233" s="904">
        <f>SUM(R234:R240)</f>
        <v>0</v>
      </c>
      <c r="S233" s="904">
        <f>SUM(S234:S240)</f>
        <v>0</v>
      </c>
      <c r="T233" s="904">
        <f t="shared" ref="T233:U233" si="95">SUM(T234:T240)</f>
        <v>0</v>
      </c>
      <c r="U233" s="904">
        <f t="shared" si="95"/>
        <v>0</v>
      </c>
      <c r="V233" s="905" t="e">
        <f t="shared" si="91"/>
        <v>#DIV/0!</v>
      </c>
      <c r="W233" s="904"/>
      <c r="X233" s="906"/>
      <c r="Y233" s="906"/>
      <c r="Z233" s="913"/>
    </row>
    <row r="234" spans="1:26" ht="16.5" thickTop="1" thickBot="1" x14ac:dyDescent="0.3">
      <c r="A234" s="908"/>
      <c r="B234" s="908"/>
      <c r="C234" s="909"/>
      <c r="D234" s="909"/>
      <c r="E234" s="909"/>
      <c r="F234" s="909"/>
      <c r="G234" s="909"/>
      <c r="H234" s="909"/>
      <c r="I234" s="909"/>
      <c r="J234" s="909"/>
      <c r="K234" s="923" t="s">
        <v>1606</v>
      </c>
      <c r="L234" s="911">
        <v>0</v>
      </c>
      <c r="M234" s="904"/>
      <c r="N234" s="904"/>
      <c r="O234" s="911">
        <f t="shared" ref="O234:O240" si="96">+L234+M234-N234</f>
        <v>0</v>
      </c>
      <c r="P234" s="904"/>
      <c r="Q234" s="911">
        <v>0</v>
      </c>
      <c r="R234" s="911">
        <v>0</v>
      </c>
      <c r="S234" s="904"/>
      <c r="T234" s="911">
        <v>0</v>
      </c>
      <c r="U234" s="911">
        <v>0</v>
      </c>
      <c r="V234" s="905" t="e">
        <f t="shared" si="91"/>
        <v>#DIV/0!</v>
      </c>
      <c r="W234" s="904"/>
      <c r="X234" s="906"/>
      <c r="Y234" s="906"/>
      <c r="Z234" s="913"/>
    </row>
    <row r="235" spans="1:26" ht="16.5" thickTop="1" thickBot="1" x14ac:dyDescent="0.3">
      <c r="A235" s="908"/>
      <c r="B235" s="908"/>
      <c r="C235" s="909"/>
      <c r="D235" s="909"/>
      <c r="E235" s="909"/>
      <c r="F235" s="909"/>
      <c r="G235" s="909"/>
      <c r="H235" s="909"/>
      <c r="I235" s="909"/>
      <c r="J235" s="909"/>
      <c r="K235" s="923" t="s">
        <v>1607</v>
      </c>
      <c r="L235" s="911">
        <v>0</v>
      </c>
      <c r="M235" s="904"/>
      <c r="N235" s="904"/>
      <c r="O235" s="911">
        <f t="shared" si="96"/>
        <v>0</v>
      </c>
      <c r="P235" s="904"/>
      <c r="Q235" s="911">
        <v>0</v>
      </c>
      <c r="R235" s="911">
        <v>0</v>
      </c>
      <c r="S235" s="904"/>
      <c r="T235" s="911">
        <v>0</v>
      </c>
      <c r="U235" s="911">
        <v>0</v>
      </c>
      <c r="V235" s="905" t="e">
        <f t="shared" si="91"/>
        <v>#DIV/0!</v>
      </c>
      <c r="W235" s="904"/>
      <c r="X235" s="906"/>
      <c r="Y235" s="906"/>
      <c r="Z235" s="913"/>
    </row>
    <row r="236" spans="1:26" ht="16.5" thickTop="1" thickBot="1" x14ac:dyDescent="0.3">
      <c r="A236" s="908"/>
      <c r="B236" s="908"/>
      <c r="C236" s="909"/>
      <c r="D236" s="909"/>
      <c r="E236" s="909"/>
      <c r="F236" s="909"/>
      <c r="G236" s="909"/>
      <c r="H236" s="909"/>
      <c r="I236" s="909"/>
      <c r="J236" s="909"/>
      <c r="K236" s="923" t="s">
        <v>866</v>
      </c>
      <c r="L236" s="911">
        <v>0</v>
      </c>
      <c r="M236" s="904"/>
      <c r="N236" s="904"/>
      <c r="O236" s="911">
        <f t="shared" si="96"/>
        <v>0</v>
      </c>
      <c r="P236" s="904"/>
      <c r="Q236" s="911">
        <v>0</v>
      </c>
      <c r="R236" s="911">
        <v>0</v>
      </c>
      <c r="S236" s="904"/>
      <c r="T236" s="911">
        <v>0</v>
      </c>
      <c r="U236" s="911">
        <v>0</v>
      </c>
      <c r="V236" s="905" t="e">
        <f t="shared" si="91"/>
        <v>#DIV/0!</v>
      </c>
      <c r="W236" s="904"/>
      <c r="X236" s="906"/>
      <c r="Y236" s="906"/>
      <c r="Z236" s="913"/>
    </row>
    <row r="237" spans="1:26" ht="16.5" thickTop="1" thickBot="1" x14ac:dyDescent="0.3">
      <c r="A237" s="908"/>
      <c r="B237" s="908"/>
      <c r="C237" s="909"/>
      <c r="D237" s="909"/>
      <c r="E237" s="909"/>
      <c r="F237" s="909"/>
      <c r="G237" s="909"/>
      <c r="H237" s="909"/>
      <c r="I237" s="909"/>
      <c r="J237" s="909"/>
      <c r="K237" s="923" t="s">
        <v>1608</v>
      </c>
      <c r="L237" s="911">
        <v>0</v>
      </c>
      <c r="M237" s="904"/>
      <c r="N237" s="904"/>
      <c r="O237" s="911">
        <f t="shared" si="96"/>
        <v>0</v>
      </c>
      <c r="P237" s="904"/>
      <c r="Q237" s="911">
        <v>0</v>
      </c>
      <c r="R237" s="911">
        <v>0</v>
      </c>
      <c r="S237" s="904"/>
      <c r="T237" s="911">
        <v>0</v>
      </c>
      <c r="U237" s="911">
        <v>0</v>
      </c>
      <c r="V237" s="905" t="e">
        <f t="shared" si="91"/>
        <v>#DIV/0!</v>
      </c>
      <c r="W237" s="904"/>
      <c r="X237" s="906"/>
      <c r="Y237" s="906"/>
      <c r="Z237" s="913"/>
    </row>
    <row r="238" spans="1:26" ht="16.5" thickTop="1" thickBot="1" x14ac:dyDescent="0.3">
      <c r="A238" s="908"/>
      <c r="B238" s="908"/>
      <c r="C238" s="909"/>
      <c r="D238" s="909"/>
      <c r="E238" s="909"/>
      <c r="F238" s="909"/>
      <c r="G238" s="909"/>
      <c r="H238" s="909"/>
      <c r="I238" s="909"/>
      <c r="J238" s="909"/>
      <c r="K238" s="923" t="s">
        <v>1609</v>
      </c>
      <c r="L238" s="911">
        <v>0</v>
      </c>
      <c r="M238" s="904"/>
      <c r="N238" s="904"/>
      <c r="O238" s="911">
        <f t="shared" si="96"/>
        <v>0</v>
      </c>
      <c r="P238" s="904"/>
      <c r="Q238" s="911">
        <v>0</v>
      </c>
      <c r="R238" s="911">
        <v>0</v>
      </c>
      <c r="S238" s="904"/>
      <c r="T238" s="911">
        <v>0</v>
      </c>
      <c r="U238" s="911">
        <v>0</v>
      </c>
      <c r="V238" s="905" t="e">
        <f t="shared" si="91"/>
        <v>#DIV/0!</v>
      </c>
      <c r="W238" s="904"/>
      <c r="X238" s="906"/>
      <c r="Y238" s="906"/>
      <c r="Z238" s="913"/>
    </row>
    <row r="239" spans="1:26" ht="16.5" thickTop="1" thickBot="1" x14ac:dyDescent="0.3">
      <c r="A239" s="908"/>
      <c r="B239" s="908"/>
      <c r="C239" s="909"/>
      <c r="D239" s="909"/>
      <c r="E239" s="909"/>
      <c r="F239" s="909"/>
      <c r="G239" s="909"/>
      <c r="H239" s="909"/>
      <c r="I239" s="909"/>
      <c r="J239" s="909"/>
      <c r="K239" s="923" t="s">
        <v>881</v>
      </c>
      <c r="L239" s="911">
        <v>0</v>
      </c>
      <c r="M239" s="904"/>
      <c r="N239" s="904"/>
      <c r="O239" s="911">
        <f t="shared" si="96"/>
        <v>0</v>
      </c>
      <c r="P239" s="904"/>
      <c r="Q239" s="911">
        <v>0</v>
      </c>
      <c r="R239" s="911">
        <v>0</v>
      </c>
      <c r="S239" s="904"/>
      <c r="T239" s="911">
        <v>0</v>
      </c>
      <c r="U239" s="911">
        <v>0</v>
      </c>
      <c r="V239" s="905" t="e">
        <f t="shared" si="91"/>
        <v>#DIV/0!</v>
      </c>
      <c r="W239" s="904"/>
      <c r="X239" s="906"/>
      <c r="Y239" s="906"/>
      <c r="Z239" s="913"/>
    </row>
    <row r="240" spans="1:26" ht="16.5" thickTop="1" thickBot="1" x14ac:dyDescent="0.3">
      <c r="A240" s="908"/>
      <c r="B240" s="908"/>
      <c r="C240" s="909"/>
      <c r="D240" s="909"/>
      <c r="E240" s="909"/>
      <c r="F240" s="909"/>
      <c r="G240" s="909"/>
      <c r="H240" s="909"/>
      <c r="I240" s="909"/>
      <c r="J240" s="909"/>
      <c r="K240" s="923" t="s">
        <v>925</v>
      </c>
      <c r="L240" s="911">
        <v>0</v>
      </c>
      <c r="M240" s="904"/>
      <c r="N240" s="904"/>
      <c r="O240" s="911">
        <f t="shared" si="96"/>
        <v>0</v>
      </c>
      <c r="P240" s="904"/>
      <c r="Q240" s="911">
        <v>0</v>
      </c>
      <c r="R240" s="911"/>
      <c r="S240" s="904"/>
      <c r="T240" s="911">
        <v>0</v>
      </c>
      <c r="U240" s="911">
        <v>0</v>
      </c>
      <c r="V240" s="905" t="e">
        <f t="shared" si="91"/>
        <v>#DIV/0!</v>
      </c>
      <c r="W240" s="904"/>
      <c r="X240" s="906"/>
      <c r="Y240" s="906"/>
      <c r="Z240" s="913"/>
    </row>
    <row r="241" spans="1:26" ht="16.5" thickTop="1" thickBot="1" x14ac:dyDescent="0.3">
      <c r="A241" s="885">
        <v>1</v>
      </c>
      <c r="B241" s="886">
        <v>1</v>
      </c>
      <c r="C241" s="886" t="s">
        <v>734</v>
      </c>
      <c r="D241" s="886" t="s">
        <v>735</v>
      </c>
      <c r="E241" s="886" t="s">
        <v>735</v>
      </c>
      <c r="F241" s="886" t="s">
        <v>927</v>
      </c>
      <c r="G241" s="886"/>
      <c r="H241" s="887"/>
      <c r="I241" s="887"/>
      <c r="J241" s="887"/>
      <c r="K241" s="888" t="s">
        <v>1036</v>
      </c>
      <c r="L241" s="889">
        <f>SUM(L242:L244)</f>
        <v>0</v>
      </c>
      <c r="M241" s="889">
        <f t="shared" ref="M241:U241" si="97">SUM(M242:M244)</f>
        <v>0</v>
      </c>
      <c r="N241" s="889">
        <f t="shared" si="97"/>
        <v>0</v>
      </c>
      <c r="O241" s="889">
        <f t="shared" si="97"/>
        <v>0</v>
      </c>
      <c r="P241" s="889">
        <f t="shared" si="97"/>
        <v>0</v>
      </c>
      <c r="Q241" s="889">
        <f t="shared" si="97"/>
        <v>0</v>
      </c>
      <c r="R241" s="889">
        <f t="shared" si="97"/>
        <v>0</v>
      </c>
      <c r="S241" s="889">
        <f t="shared" si="97"/>
        <v>0</v>
      </c>
      <c r="T241" s="889">
        <f t="shared" si="97"/>
        <v>0</v>
      </c>
      <c r="U241" s="904">
        <f t="shared" si="97"/>
        <v>0</v>
      </c>
      <c r="V241" s="890" t="e">
        <f t="shared" si="91"/>
        <v>#DIV/0!</v>
      </c>
      <c r="W241" s="889">
        <f t="shared" si="84"/>
        <v>0</v>
      </c>
      <c r="X241" s="891"/>
      <c r="Y241" s="891"/>
      <c r="Z241" s="892">
        <f t="shared" si="85"/>
        <v>0</v>
      </c>
    </row>
    <row r="242" spans="1:26" ht="16.5" thickTop="1" thickBot="1" x14ac:dyDescent="0.3">
      <c r="A242" s="908">
        <v>1</v>
      </c>
      <c r="B242" s="908">
        <v>1</v>
      </c>
      <c r="C242" s="909" t="s">
        <v>734</v>
      </c>
      <c r="D242" s="909" t="s">
        <v>735</v>
      </c>
      <c r="E242" s="909" t="s">
        <v>735</v>
      </c>
      <c r="F242" s="909" t="s">
        <v>927</v>
      </c>
      <c r="G242" s="909" t="s">
        <v>817</v>
      </c>
      <c r="H242" s="909"/>
      <c r="I242" s="909"/>
      <c r="J242" s="909"/>
      <c r="K242" s="910" t="s">
        <v>1037</v>
      </c>
      <c r="L242" s="904"/>
      <c r="M242" s="904"/>
      <c r="N242" s="904"/>
      <c r="O242" s="904">
        <f>+L242+M242-N242</f>
        <v>0</v>
      </c>
      <c r="P242" s="904"/>
      <c r="Q242" s="904"/>
      <c r="R242" s="904"/>
      <c r="S242" s="904"/>
      <c r="T242" s="904"/>
      <c r="U242" s="904"/>
      <c r="V242" s="904" t="e">
        <f t="shared" si="91"/>
        <v>#DIV/0!</v>
      </c>
      <c r="W242" s="904">
        <f t="shared" si="84"/>
        <v>0</v>
      </c>
      <c r="X242" s="906"/>
      <c r="Y242" s="906"/>
      <c r="Z242" s="913">
        <f t="shared" si="85"/>
        <v>0</v>
      </c>
    </row>
    <row r="243" spans="1:26" ht="16.5" thickTop="1" thickBot="1" x14ac:dyDescent="0.3">
      <c r="A243" s="908">
        <v>1</v>
      </c>
      <c r="B243" s="908">
        <v>1</v>
      </c>
      <c r="C243" s="909" t="s">
        <v>734</v>
      </c>
      <c r="D243" s="909" t="s">
        <v>735</v>
      </c>
      <c r="E243" s="909" t="s">
        <v>735</v>
      </c>
      <c r="F243" s="909" t="s">
        <v>927</v>
      </c>
      <c r="G243" s="909" t="s">
        <v>734</v>
      </c>
      <c r="H243" s="909"/>
      <c r="I243" s="909"/>
      <c r="J243" s="909"/>
      <c r="K243" s="910" t="s">
        <v>1038</v>
      </c>
      <c r="L243" s="904"/>
      <c r="M243" s="904"/>
      <c r="N243" s="904"/>
      <c r="O243" s="904">
        <f>+L243+M243-N243</f>
        <v>0</v>
      </c>
      <c r="P243" s="904"/>
      <c r="Q243" s="904"/>
      <c r="R243" s="904"/>
      <c r="S243" s="904"/>
      <c r="T243" s="904"/>
      <c r="U243" s="904"/>
      <c r="V243" s="904" t="e">
        <f t="shared" si="91"/>
        <v>#DIV/0!</v>
      </c>
      <c r="W243" s="904">
        <f t="shared" si="84"/>
        <v>0</v>
      </c>
      <c r="X243" s="906"/>
      <c r="Y243" s="906"/>
      <c r="Z243" s="913">
        <f t="shared" si="85"/>
        <v>0</v>
      </c>
    </row>
    <row r="244" spans="1:26" ht="16.5" thickTop="1" thickBot="1" x14ac:dyDescent="0.3">
      <c r="A244" s="908">
        <v>1</v>
      </c>
      <c r="B244" s="908">
        <v>1</v>
      </c>
      <c r="C244" s="909" t="s">
        <v>734</v>
      </c>
      <c r="D244" s="909" t="s">
        <v>735</v>
      </c>
      <c r="E244" s="909" t="s">
        <v>735</v>
      </c>
      <c r="F244" s="909" t="s">
        <v>927</v>
      </c>
      <c r="G244" s="909" t="s">
        <v>828</v>
      </c>
      <c r="H244" s="909"/>
      <c r="I244" s="909"/>
      <c r="J244" s="909"/>
      <c r="K244" s="910" t="s">
        <v>1039</v>
      </c>
      <c r="L244" s="904"/>
      <c r="M244" s="904"/>
      <c r="N244" s="904"/>
      <c r="O244" s="904">
        <f>+L244+M244-N244</f>
        <v>0</v>
      </c>
      <c r="P244" s="904"/>
      <c r="Q244" s="904"/>
      <c r="R244" s="904"/>
      <c r="S244" s="904"/>
      <c r="T244" s="904"/>
      <c r="U244" s="904"/>
      <c r="V244" s="904" t="e">
        <f t="shared" si="91"/>
        <v>#DIV/0!</v>
      </c>
      <c r="W244" s="904">
        <f t="shared" si="84"/>
        <v>0</v>
      </c>
      <c r="X244" s="906"/>
      <c r="Y244" s="906"/>
      <c r="Z244" s="913">
        <f t="shared" si="85"/>
        <v>0</v>
      </c>
    </row>
    <row r="245" spans="1:26" ht="16.5" thickTop="1" thickBot="1" x14ac:dyDescent="0.3">
      <c r="A245" s="885">
        <v>1</v>
      </c>
      <c r="B245" s="886">
        <v>1</v>
      </c>
      <c r="C245" s="886" t="s">
        <v>734</v>
      </c>
      <c r="D245" s="886" t="s">
        <v>735</v>
      </c>
      <c r="E245" s="886" t="s">
        <v>735</v>
      </c>
      <c r="F245" s="886" t="s">
        <v>985</v>
      </c>
      <c r="G245" s="886"/>
      <c r="H245" s="887"/>
      <c r="I245" s="887"/>
      <c r="J245" s="887"/>
      <c r="K245" s="888" t="s">
        <v>1040</v>
      </c>
      <c r="L245" s="889">
        <f>SUM(L246:L248)</f>
        <v>0</v>
      </c>
      <c r="M245" s="889">
        <f t="shared" ref="M245:U245" si="98">SUM(M246:M248)</f>
        <v>0</v>
      </c>
      <c r="N245" s="889">
        <f t="shared" si="98"/>
        <v>0</v>
      </c>
      <c r="O245" s="889">
        <f t="shared" si="98"/>
        <v>0</v>
      </c>
      <c r="P245" s="889">
        <f t="shared" si="98"/>
        <v>0</v>
      </c>
      <c r="Q245" s="889">
        <f t="shared" si="98"/>
        <v>0</v>
      </c>
      <c r="R245" s="889">
        <f t="shared" si="98"/>
        <v>0</v>
      </c>
      <c r="S245" s="889">
        <f t="shared" si="98"/>
        <v>0</v>
      </c>
      <c r="T245" s="889">
        <f t="shared" si="98"/>
        <v>0</v>
      </c>
      <c r="U245" s="904">
        <f t="shared" si="98"/>
        <v>0</v>
      </c>
      <c r="V245" s="890" t="e">
        <f t="shared" si="91"/>
        <v>#DIV/0!</v>
      </c>
      <c r="W245" s="889">
        <f t="shared" si="84"/>
        <v>0</v>
      </c>
      <c r="X245" s="891"/>
      <c r="Y245" s="891"/>
      <c r="Z245" s="892">
        <f t="shared" si="85"/>
        <v>0</v>
      </c>
    </row>
    <row r="246" spans="1:26" ht="24" thickTop="1" thickBot="1" x14ac:dyDescent="0.3">
      <c r="A246" s="908">
        <v>1</v>
      </c>
      <c r="B246" s="908">
        <v>1</v>
      </c>
      <c r="C246" s="909" t="s">
        <v>734</v>
      </c>
      <c r="D246" s="909" t="s">
        <v>735</v>
      </c>
      <c r="E246" s="909" t="s">
        <v>735</v>
      </c>
      <c r="F246" s="909" t="s">
        <v>985</v>
      </c>
      <c r="G246" s="909" t="s">
        <v>817</v>
      </c>
      <c r="H246" s="909"/>
      <c r="I246" s="909"/>
      <c r="J246" s="909"/>
      <c r="K246" s="910" t="s">
        <v>1041</v>
      </c>
      <c r="L246" s="904"/>
      <c r="M246" s="904"/>
      <c r="N246" s="904"/>
      <c r="O246" s="904">
        <f>+L246+M246-N246</f>
        <v>0</v>
      </c>
      <c r="P246" s="904"/>
      <c r="Q246" s="904"/>
      <c r="R246" s="904"/>
      <c r="S246" s="904"/>
      <c r="T246" s="904"/>
      <c r="U246" s="904"/>
      <c r="V246" s="904" t="e">
        <f t="shared" si="91"/>
        <v>#DIV/0!</v>
      </c>
      <c r="W246" s="904">
        <f t="shared" si="84"/>
        <v>0</v>
      </c>
      <c r="X246" s="906"/>
      <c r="Y246" s="906"/>
      <c r="Z246" s="913">
        <f t="shared" si="85"/>
        <v>0</v>
      </c>
    </row>
    <row r="247" spans="1:26" ht="24" thickTop="1" thickBot="1" x14ac:dyDescent="0.3">
      <c r="A247" s="908">
        <v>1</v>
      </c>
      <c r="B247" s="908">
        <v>1</v>
      </c>
      <c r="C247" s="909" t="s">
        <v>734</v>
      </c>
      <c r="D247" s="909" t="s">
        <v>735</v>
      </c>
      <c r="E247" s="909" t="s">
        <v>735</v>
      </c>
      <c r="F247" s="909" t="s">
        <v>985</v>
      </c>
      <c r="G247" s="909" t="s">
        <v>734</v>
      </c>
      <c r="H247" s="909"/>
      <c r="I247" s="909"/>
      <c r="J247" s="909"/>
      <c r="K247" s="910" t="s">
        <v>1042</v>
      </c>
      <c r="L247" s="904"/>
      <c r="M247" s="904"/>
      <c r="N247" s="904"/>
      <c r="O247" s="904">
        <f>+L247+M247-N247</f>
        <v>0</v>
      </c>
      <c r="P247" s="904"/>
      <c r="Q247" s="904"/>
      <c r="R247" s="904"/>
      <c r="S247" s="904"/>
      <c r="T247" s="904"/>
      <c r="U247" s="904"/>
      <c r="V247" s="904" t="e">
        <f t="shared" si="91"/>
        <v>#DIV/0!</v>
      </c>
      <c r="W247" s="904">
        <f t="shared" si="84"/>
        <v>0</v>
      </c>
      <c r="X247" s="906"/>
      <c r="Y247" s="906"/>
      <c r="Z247" s="913">
        <f t="shared" si="85"/>
        <v>0</v>
      </c>
    </row>
    <row r="248" spans="1:26" ht="24" thickTop="1" thickBot="1" x14ac:dyDescent="0.3">
      <c r="A248" s="908">
        <v>1</v>
      </c>
      <c r="B248" s="908">
        <v>1</v>
      </c>
      <c r="C248" s="909" t="s">
        <v>734</v>
      </c>
      <c r="D248" s="909" t="s">
        <v>735</v>
      </c>
      <c r="E248" s="909" t="s">
        <v>735</v>
      </c>
      <c r="F248" s="909" t="s">
        <v>985</v>
      </c>
      <c r="G248" s="909" t="s">
        <v>828</v>
      </c>
      <c r="H248" s="909"/>
      <c r="I248" s="909"/>
      <c r="J248" s="909"/>
      <c r="K248" s="910" t="s">
        <v>1043</v>
      </c>
      <c r="L248" s="904"/>
      <c r="M248" s="904"/>
      <c r="N248" s="904"/>
      <c r="O248" s="904">
        <f>+L248+M248-N248</f>
        <v>0</v>
      </c>
      <c r="P248" s="904"/>
      <c r="Q248" s="904"/>
      <c r="R248" s="904"/>
      <c r="S248" s="904"/>
      <c r="T248" s="904"/>
      <c r="U248" s="904"/>
      <c r="V248" s="904" t="e">
        <f t="shared" si="91"/>
        <v>#DIV/0!</v>
      </c>
      <c r="W248" s="904">
        <f t="shared" si="84"/>
        <v>0</v>
      </c>
      <c r="X248" s="906"/>
      <c r="Y248" s="906"/>
      <c r="Z248" s="913">
        <f t="shared" si="85"/>
        <v>0</v>
      </c>
    </row>
    <row r="249" spans="1:26" ht="16.5" thickTop="1" thickBot="1" x14ac:dyDescent="0.3">
      <c r="A249" s="885">
        <v>1</v>
      </c>
      <c r="B249" s="886">
        <v>1</v>
      </c>
      <c r="C249" s="886" t="s">
        <v>734</v>
      </c>
      <c r="D249" s="886" t="s">
        <v>735</v>
      </c>
      <c r="E249" s="886" t="s">
        <v>735</v>
      </c>
      <c r="F249" s="886" t="s">
        <v>1044</v>
      </c>
      <c r="G249" s="886"/>
      <c r="H249" s="887"/>
      <c r="I249" s="887"/>
      <c r="J249" s="887"/>
      <c r="K249" s="888" t="s">
        <v>1045</v>
      </c>
      <c r="L249" s="889">
        <f>SUM(L250:L252)</f>
        <v>0</v>
      </c>
      <c r="M249" s="889">
        <f t="shared" ref="M249:U249" si="99">SUM(M250:M252)</f>
        <v>0</v>
      </c>
      <c r="N249" s="889">
        <f t="shared" si="99"/>
        <v>0</v>
      </c>
      <c r="O249" s="889">
        <f t="shared" si="99"/>
        <v>0</v>
      </c>
      <c r="P249" s="889">
        <f t="shared" si="99"/>
        <v>0</v>
      </c>
      <c r="Q249" s="889">
        <f t="shared" si="99"/>
        <v>0</v>
      </c>
      <c r="R249" s="889">
        <f t="shared" si="99"/>
        <v>0</v>
      </c>
      <c r="S249" s="889">
        <f t="shared" si="99"/>
        <v>0</v>
      </c>
      <c r="T249" s="889">
        <f t="shared" si="99"/>
        <v>0</v>
      </c>
      <c r="U249" s="904">
        <f t="shared" si="99"/>
        <v>0</v>
      </c>
      <c r="V249" s="890" t="e">
        <f t="shared" si="91"/>
        <v>#DIV/0!</v>
      </c>
      <c r="W249" s="889">
        <f t="shared" si="84"/>
        <v>0</v>
      </c>
      <c r="X249" s="891"/>
      <c r="Y249" s="891"/>
      <c r="Z249" s="892">
        <f t="shared" si="85"/>
        <v>0</v>
      </c>
    </row>
    <row r="250" spans="1:26" ht="16.5" thickTop="1" thickBot="1" x14ac:dyDescent="0.3">
      <c r="A250" s="908">
        <v>1</v>
      </c>
      <c r="B250" s="908">
        <v>1</v>
      </c>
      <c r="C250" s="909" t="s">
        <v>734</v>
      </c>
      <c r="D250" s="909" t="s">
        <v>735</v>
      </c>
      <c r="E250" s="909" t="s">
        <v>735</v>
      </c>
      <c r="F250" s="909" t="s">
        <v>1044</v>
      </c>
      <c r="G250" s="909" t="s">
        <v>817</v>
      </c>
      <c r="H250" s="909"/>
      <c r="I250" s="909"/>
      <c r="J250" s="909"/>
      <c r="K250" s="910" t="s">
        <v>1046</v>
      </c>
      <c r="L250" s="904"/>
      <c r="M250" s="904"/>
      <c r="N250" s="904"/>
      <c r="O250" s="904">
        <f>+L250+M250-N250</f>
        <v>0</v>
      </c>
      <c r="P250" s="904"/>
      <c r="Q250" s="904"/>
      <c r="R250" s="904"/>
      <c r="S250" s="904"/>
      <c r="T250" s="904"/>
      <c r="U250" s="904"/>
      <c r="V250" s="904" t="e">
        <f t="shared" si="91"/>
        <v>#DIV/0!</v>
      </c>
      <c r="W250" s="904">
        <f t="shared" si="84"/>
        <v>0</v>
      </c>
      <c r="X250" s="906"/>
      <c r="Y250" s="906"/>
      <c r="Z250" s="913">
        <f t="shared" si="85"/>
        <v>0</v>
      </c>
    </row>
    <row r="251" spans="1:26" ht="24" thickTop="1" thickBot="1" x14ac:dyDescent="0.3">
      <c r="A251" s="908">
        <v>1</v>
      </c>
      <c r="B251" s="908">
        <v>1</v>
      </c>
      <c r="C251" s="909" t="s">
        <v>734</v>
      </c>
      <c r="D251" s="909" t="s">
        <v>735</v>
      </c>
      <c r="E251" s="909" t="s">
        <v>735</v>
      </c>
      <c r="F251" s="909" t="s">
        <v>1044</v>
      </c>
      <c r="G251" s="909" t="s">
        <v>734</v>
      </c>
      <c r="H251" s="909"/>
      <c r="I251" s="909"/>
      <c r="J251" s="909"/>
      <c r="K251" s="910" t="s">
        <v>1047</v>
      </c>
      <c r="L251" s="904"/>
      <c r="M251" s="904"/>
      <c r="N251" s="904"/>
      <c r="O251" s="904">
        <f>+L251+M251-N251</f>
        <v>0</v>
      </c>
      <c r="P251" s="904"/>
      <c r="Q251" s="904"/>
      <c r="R251" s="904"/>
      <c r="S251" s="904"/>
      <c r="T251" s="904"/>
      <c r="U251" s="904"/>
      <c r="V251" s="904" t="e">
        <f t="shared" si="91"/>
        <v>#DIV/0!</v>
      </c>
      <c r="W251" s="904">
        <f t="shared" si="84"/>
        <v>0</v>
      </c>
      <c r="X251" s="906"/>
      <c r="Y251" s="906"/>
      <c r="Z251" s="913">
        <f t="shared" si="85"/>
        <v>0</v>
      </c>
    </row>
    <row r="252" spans="1:26" ht="24" thickTop="1" thickBot="1" x14ac:dyDescent="0.3">
      <c r="A252" s="908">
        <v>1</v>
      </c>
      <c r="B252" s="908">
        <v>1</v>
      </c>
      <c r="C252" s="909" t="s">
        <v>734</v>
      </c>
      <c r="D252" s="909" t="s">
        <v>735</v>
      </c>
      <c r="E252" s="909" t="s">
        <v>735</v>
      </c>
      <c r="F252" s="909" t="s">
        <v>1044</v>
      </c>
      <c r="G252" s="909" t="s">
        <v>828</v>
      </c>
      <c r="H252" s="909"/>
      <c r="I252" s="909"/>
      <c r="J252" s="909"/>
      <c r="K252" s="910" t="s">
        <v>1048</v>
      </c>
      <c r="L252" s="904"/>
      <c r="M252" s="904"/>
      <c r="N252" s="904"/>
      <c r="O252" s="904">
        <f>+L252+M252-N252</f>
        <v>0</v>
      </c>
      <c r="P252" s="904"/>
      <c r="Q252" s="904"/>
      <c r="R252" s="904"/>
      <c r="S252" s="904"/>
      <c r="T252" s="904"/>
      <c r="U252" s="904"/>
      <c r="V252" s="904" t="e">
        <f t="shared" si="91"/>
        <v>#DIV/0!</v>
      </c>
      <c r="W252" s="904">
        <f t="shared" si="84"/>
        <v>0</v>
      </c>
      <c r="X252" s="906"/>
      <c r="Y252" s="906"/>
      <c r="Z252" s="913">
        <f t="shared" si="85"/>
        <v>0</v>
      </c>
    </row>
    <row r="253" spans="1:26" ht="16.5" thickTop="1" thickBot="1" x14ac:dyDescent="0.3">
      <c r="A253" s="877">
        <v>1</v>
      </c>
      <c r="B253" s="878">
        <v>1</v>
      </c>
      <c r="C253" s="878" t="s">
        <v>734</v>
      </c>
      <c r="D253" s="878" t="s">
        <v>735</v>
      </c>
      <c r="E253" s="878" t="s">
        <v>738</v>
      </c>
      <c r="F253" s="878"/>
      <c r="G253" s="878"/>
      <c r="H253" s="879"/>
      <c r="I253" s="879"/>
      <c r="J253" s="879"/>
      <c r="K253" s="880" t="s">
        <v>1049</v>
      </c>
      <c r="L253" s="881">
        <f>+L254+L272+L285</f>
        <v>0</v>
      </c>
      <c r="M253" s="881">
        <f t="shared" ref="M253:U253" si="100">+M254+M272+M285</f>
        <v>0</v>
      </c>
      <c r="N253" s="881">
        <f t="shared" si="100"/>
        <v>0</v>
      </c>
      <c r="O253" s="881">
        <f t="shared" si="100"/>
        <v>0</v>
      </c>
      <c r="P253" s="881">
        <f t="shared" si="100"/>
        <v>0</v>
      </c>
      <c r="Q253" s="881">
        <f t="shared" si="100"/>
        <v>0</v>
      </c>
      <c r="R253" s="881">
        <f t="shared" si="100"/>
        <v>0</v>
      </c>
      <c r="S253" s="881">
        <f t="shared" si="100"/>
        <v>0</v>
      </c>
      <c r="T253" s="881">
        <f t="shared" si="100"/>
        <v>0</v>
      </c>
      <c r="U253" s="904">
        <f t="shared" si="100"/>
        <v>0</v>
      </c>
      <c r="V253" s="882" t="e">
        <f t="shared" si="91"/>
        <v>#DIV/0!</v>
      </c>
      <c r="W253" s="881">
        <f t="shared" si="84"/>
        <v>0</v>
      </c>
      <c r="X253" s="883"/>
      <c r="Y253" s="883"/>
      <c r="Z253" s="884">
        <f t="shared" si="85"/>
        <v>0</v>
      </c>
    </row>
    <row r="254" spans="1:26" ht="16.5" thickTop="1" thickBot="1" x14ac:dyDescent="0.3">
      <c r="A254" s="885">
        <v>1</v>
      </c>
      <c r="B254" s="886">
        <v>1</v>
      </c>
      <c r="C254" s="886" t="s">
        <v>734</v>
      </c>
      <c r="D254" s="886" t="s">
        <v>735</v>
      </c>
      <c r="E254" s="886" t="s">
        <v>738</v>
      </c>
      <c r="F254" s="886" t="s">
        <v>903</v>
      </c>
      <c r="G254" s="886"/>
      <c r="H254" s="887"/>
      <c r="I254" s="887"/>
      <c r="J254" s="887"/>
      <c r="K254" s="888" t="s">
        <v>1050</v>
      </c>
      <c r="L254" s="889">
        <f>+L255+L259+L263</f>
        <v>0</v>
      </c>
      <c r="M254" s="889">
        <f t="shared" ref="M254:U254" si="101">+M255+M259+M263</f>
        <v>0</v>
      </c>
      <c r="N254" s="889">
        <f t="shared" si="101"/>
        <v>0</v>
      </c>
      <c r="O254" s="889">
        <f t="shared" si="101"/>
        <v>0</v>
      </c>
      <c r="P254" s="889">
        <f t="shared" si="101"/>
        <v>0</v>
      </c>
      <c r="Q254" s="889">
        <f t="shared" si="101"/>
        <v>0</v>
      </c>
      <c r="R254" s="889">
        <f t="shared" si="101"/>
        <v>0</v>
      </c>
      <c r="S254" s="889">
        <f t="shared" si="101"/>
        <v>0</v>
      </c>
      <c r="T254" s="889">
        <f t="shared" si="101"/>
        <v>0</v>
      </c>
      <c r="U254" s="904">
        <f t="shared" si="101"/>
        <v>0</v>
      </c>
      <c r="V254" s="890" t="e">
        <f t="shared" si="91"/>
        <v>#DIV/0!</v>
      </c>
      <c r="W254" s="889">
        <f t="shared" si="84"/>
        <v>0</v>
      </c>
      <c r="X254" s="891"/>
      <c r="Y254" s="891"/>
      <c r="Z254" s="892">
        <f t="shared" si="85"/>
        <v>0</v>
      </c>
    </row>
    <row r="255" spans="1:26" ht="16.5" thickTop="1" thickBot="1" x14ac:dyDescent="0.3">
      <c r="A255" s="893">
        <v>1</v>
      </c>
      <c r="B255" s="893">
        <v>1</v>
      </c>
      <c r="C255" s="894" t="s">
        <v>734</v>
      </c>
      <c r="D255" s="894" t="s">
        <v>735</v>
      </c>
      <c r="E255" s="894" t="s">
        <v>738</v>
      </c>
      <c r="F255" s="894" t="s">
        <v>903</v>
      </c>
      <c r="G255" s="894" t="s">
        <v>735</v>
      </c>
      <c r="H255" s="894"/>
      <c r="I255" s="894"/>
      <c r="J255" s="894"/>
      <c r="K255" s="924" t="s">
        <v>1051</v>
      </c>
      <c r="L255" s="897">
        <f>SUM(L256:L258)</f>
        <v>0</v>
      </c>
      <c r="M255" s="897">
        <f t="shared" ref="M255:U255" si="102">SUM(M256:M258)</f>
        <v>0</v>
      </c>
      <c r="N255" s="897">
        <f t="shared" si="102"/>
        <v>0</v>
      </c>
      <c r="O255" s="897">
        <f t="shared" si="102"/>
        <v>0</v>
      </c>
      <c r="P255" s="897">
        <f t="shared" si="102"/>
        <v>0</v>
      </c>
      <c r="Q255" s="897">
        <f t="shared" si="102"/>
        <v>0</v>
      </c>
      <c r="R255" s="897">
        <f t="shared" si="102"/>
        <v>0</v>
      </c>
      <c r="S255" s="897">
        <f t="shared" si="102"/>
        <v>0</v>
      </c>
      <c r="T255" s="897">
        <f t="shared" si="102"/>
        <v>0</v>
      </c>
      <c r="U255" s="904">
        <f t="shared" si="102"/>
        <v>0</v>
      </c>
      <c r="V255" s="897" t="e">
        <f t="shared" si="91"/>
        <v>#DIV/0!</v>
      </c>
      <c r="W255" s="897">
        <f t="shared" si="84"/>
        <v>0</v>
      </c>
      <c r="X255" s="899"/>
      <c r="Y255" s="899"/>
      <c r="Z255" s="900">
        <f t="shared" si="85"/>
        <v>0</v>
      </c>
    </row>
    <row r="256" spans="1:26" ht="16.5" thickTop="1" thickBot="1" x14ac:dyDescent="0.3">
      <c r="A256" s="908">
        <v>1</v>
      </c>
      <c r="B256" s="908">
        <v>1</v>
      </c>
      <c r="C256" s="909" t="s">
        <v>734</v>
      </c>
      <c r="D256" s="909" t="s">
        <v>735</v>
      </c>
      <c r="E256" s="909" t="s">
        <v>738</v>
      </c>
      <c r="F256" s="909" t="s">
        <v>903</v>
      </c>
      <c r="G256" s="909" t="s">
        <v>735</v>
      </c>
      <c r="H256" s="909" t="s">
        <v>817</v>
      </c>
      <c r="I256" s="909"/>
      <c r="J256" s="909"/>
      <c r="K256" s="910" t="s">
        <v>1052</v>
      </c>
      <c r="L256" s="904"/>
      <c r="M256" s="904"/>
      <c r="N256" s="904"/>
      <c r="O256" s="904">
        <f>+L256+M256-N256</f>
        <v>0</v>
      </c>
      <c r="P256" s="904"/>
      <c r="Q256" s="904"/>
      <c r="R256" s="904"/>
      <c r="S256" s="904"/>
      <c r="T256" s="904"/>
      <c r="U256" s="904"/>
      <c r="V256" s="904" t="e">
        <f t="shared" si="91"/>
        <v>#DIV/0!</v>
      </c>
      <c r="W256" s="904">
        <f t="shared" si="84"/>
        <v>0</v>
      </c>
      <c r="X256" s="906"/>
      <c r="Y256" s="906"/>
      <c r="Z256" s="913">
        <f t="shared" si="85"/>
        <v>0</v>
      </c>
    </row>
    <row r="257" spans="1:26" ht="24" thickTop="1" thickBot="1" x14ac:dyDescent="0.3">
      <c r="A257" s="908">
        <v>1</v>
      </c>
      <c r="B257" s="908">
        <v>1</v>
      </c>
      <c r="C257" s="909" t="s">
        <v>734</v>
      </c>
      <c r="D257" s="909" t="s">
        <v>735</v>
      </c>
      <c r="E257" s="909" t="s">
        <v>738</v>
      </c>
      <c r="F257" s="909" t="s">
        <v>903</v>
      </c>
      <c r="G257" s="909" t="s">
        <v>735</v>
      </c>
      <c r="H257" s="909" t="s">
        <v>734</v>
      </c>
      <c r="I257" s="909"/>
      <c r="J257" s="909"/>
      <c r="K257" s="910" t="s">
        <v>1053</v>
      </c>
      <c r="L257" s="904"/>
      <c r="M257" s="904"/>
      <c r="N257" s="904"/>
      <c r="O257" s="904">
        <f>+L257+M257-N257</f>
        <v>0</v>
      </c>
      <c r="P257" s="904"/>
      <c r="Q257" s="904"/>
      <c r="R257" s="904"/>
      <c r="S257" s="904"/>
      <c r="T257" s="904"/>
      <c r="U257" s="904"/>
      <c r="V257" s="904" t="e">
        <f t="shared" si="91"/>
        <v>#DIV/0!</v>
      </c>
      <c r="W257" s="904">
        <f t="shared" si="84"/>
        <v>0</v>
      </c>
      <c r="X257" s="906"/>
      <c r="Y257" s="906"/>
      <c r="Z257" s="913">
        <f t="shared" si="85"/>
        <v>0</v>
      </c>
    </row>
    <row r="258" spans="1:26" ht="24" thickTop="1" thickBot="1" x14ac:dyDescent="0.3">
      <c r="A258" s="908">
        <v>1</v>
      </c>
      <c r="B258" s="908">
        <v>1</v>
      </c>
      <c r="C258" s="909" t="s">
        <v>734</v>
      </c>
      <c r="D258" s="909" t="s">
        <v>735</v>
      </c>
      <c r="E258" s="909" t="s">
        <v>738</v>
      </c>
      <c r="F258" s="909" t="s">
        <v>903</v>
      </c>
      <c r="G258" s="909" t="s">
        <v>735</v>
      </c>
      <c r="H258" s="909" t="s">
        <v>828</v>
      </c>
      <c r="I258" s="909"/>
      <c r="J258" s="909"/>
      <c r="K258" s="910" t="s">
        <v>1054</v>
      </c>
      <c r="L258" s="904"/>
      <c r="M258" s="904"/>
      <c r="N258" s="904"/>
      <c r="O258" s="904">
        <f>+L258+M258-N258</f>
        <v>0</v>
      </c>
      <c r="P258" s="904"/>
      <c r="Q258" s="904"/>
      <c r="R258" s="904"/>
      <c r="S258" s="904"/>
      <c r="T258" s="904"/>
      <c r="U258" s="904"/>
      <c r="V258" s="904" t="e">
        <f t="shared" si="91"/>
        <v>#DIV/0!</v>
      </c>
      <c r="W258" s="904">
        <f t="shared" si="84"/>
        <v>0</v>
      </c>
      <c r="X258" s="906"/>
      <c r="Y258" s="906"/>
      <c r="Z258" s="913">
        <f t="shared" si="85"/>
        <v>0</v>
      </c>
    </row>
    <row r="259" spans="1:26" ht="16.5" thickTop="1" thickBot="1" x14ac:dyDescent="0.3">
      <c r="A259" s="893">
        <v>1</v>
      </c>
      <c r="B259" s="893">
        <v>1</v>
      </c>
      <c r="C259" s="894" t="s">
        <v>734</v>
      </c>
      <c r="D259" s="894" t="s">
        <v>735</v>
      </c>
      <c r="E259" s="894" t="s">
        <v>738</v>
      </c>
      <c r="F259" s="894" t="s">
        <v>903</v>
      </c>
      <c r="G259" s="894" t="s">
        <v>738</v>
      </c>
      <c r="H259" s="894"/>
      <c r="I259" s="894"/>
      <c r="J259" s="894"/>
      <c r="K259" s="924" t="s">
        <v>1055</v>
      </c>
      <c r="L259" s="897">
        <f>SUM(L260:L262)</f>
        <v>0</v>
      </c>
      <c r="M259" s="897">
        <f t="shared" ref="M259:U259" si="103">SUM(M260:M262)</f>
        <v>0</v>
      </c>
      <c r="N259" s="897">
        <f t="shared" si="103"/>
        <v>0</v>
      </c>
      <c r="O259" s="897">
        <f t="shared" si="103"/>
        <v>0</v>
      </c>
      <c r="P259" s="897">
        <f t="shared" si="103"/>
        <v>0</v>
      </c>
      <c r="Q259" s="897">
        <f t="shared" si="103"/>
        <v>0</v>
      </c>
      <c r="R259" s="897">
        <f t="shared" si="103"/>
        <v>0</v>
      </c>
      <c r="S259" s="897">
        <f t="shared" si="103"/>
        <v>0</v>
      </c>
      <c r="T259" s="897">
        <f t="shared" si="103"/>
        <v>0</v>
      </c>
      <c r="U259" s="904">
        <f t="shared" si="103"/>
        <v>0</v>
      </c>
      <c r="V259" s="897" t="e">
        <f t="shared" si="91"/>
        <v>#DIV/0!</v>
      </c>
      <c r="W259" s="897">
        <f t="shared" si="84"/>
        <v>0</v>
      </c>
      <c r="X259" s="899"/>
      <c r="Y259" s="899"/>
      <c r="Z259" s="900">
        <f t="shared" si="85"/>
        <v>0</v>
      </c>
    </row>
    <row r="260" spans="1:26" ht="16.5" thickTop="1" thickBot="1" x14ac:dyDescent="0.3">
      <c r="A260" s="908">
        <v>1</v>
      </c>
      <c r="B260" s="908">
        <v>1</v>
      </c>
      <c r="C260" s="909" t="s">
        <v>734</v>
      </c>
      <c r="D260" s="909" t="s">
        <v>735</v>
      </c>
      <c r="E260" s="909" t="s">
        <v>738</v>
      </c>
      <c r="F260" s="909" t="s">
        <v>903</v>
      </c>
      <c r="G260" s="909" t="s">
        <v>738</v>
      </c>
      <c r="H260" s="909" t="s">
        <v>817</v>
      </c>
      <c r="I260" s="909"/>
      <c r="J260" s="909"/>
      <c r="K260" s="910" t="s">
        <v>1056</v>
      </c>
      <c r="L260" s="904"/>
      <c r="M260" s="904"/>
      <c r="N260" s="904"/>
      <c r="O260" s="904">
        <f>+L260+M260-N260</f>
        <v>0</v>
      </c>
      <c r="P260" s="904"/>
      <c r="Q260" s="904"/>
      <c r="R260" s="904"/>
      <c r="S260" s="904"/>
      <c r="T260" s="904"/>
      <c r="U260" s="904"/>
      <c r="V260" s="904" t="e">
        <f t="shared" si="91"/>
        <v>#DIV/0!</v>
      </c>
      <c r="W260" s="904">
        <f t="shared" si="84"/>
        <v>0</v>
      </c>
      <c r="X260" s="906"/>
      <c r="Y260" s="906"/>
      <c r="Z260" s="913">
        <f t="shared" si="85"/>
        <v>0</v>
      </c>
    </row>
    <row r="261" spans="1:26" ht="16.5" thickTop="1" thickBot="1" x14ac:dyDescent="0.3">
      <c r="A261" s="908">
        <v>1</v>
      </c>
      <c r="B261" s="908">
        <v>1</v>
      </c>
      <c r="C261" s="909" t="s">
        <v>734</v>
      </c>
      <c r="D261" s="909" t="s">
        <v>735</v>
      </c>
      <c r="E261" s="909" t="s">
        <v>738</v>
      </c>
      <c r="F261" s="909" t="s">
        <v>903</v>
      </c>
      <c r="G261" s="909" t="s">
        <v>738</v>
      </c>
      <c r="H261" s="909" t="s">
        <v>734</v>
      </c>
      <c r="I261" s="909"/>
      <c r="J261" s="909"/>
      <c r="K261" s="910" t="s">
        <v>1057</v>
      </c>
      <c r="L261" s="904"/>
      <c r="M261" s="904"/>
      <c r="N261" s="904"/>
      <c r="O261" s="904">
        <f>+L261+M261-N261</f>
        <v>0</v>
      </c>
      <c r="P261" s="904"/>
      <c r="Q261" s="904"/>
      <c r="R261" s="904"/>
      <c r="S261" s="904"/>
      <c r="T261" s="904"/>
      <c r="U261" s="904"/>
      <c r="V261" s="904" t="e">
        <f t="shared" si="91"/>
        <v>#DIV/0!</v>
      </c>
      <c r="W261" s="904">
        <f t="shared" si="84"/>
        <v>0</v>
      </c>
      <c r="X261" s="906"/>
      <c r="Y261" s="906"/>
      <c r="Z261" s="913">
        <f t="shared" si="85"/>
        <v>0</v>
      </c>
    </row>
    <row r="262" spans="1:26" ht="24" thickTop="1" thickBot="1" x14ac:dyDescent="0.3">
      <c r="A262" s="908">
        <v>1</v>
      </c>
      <c r="B262" s="908">
        <v>1</v>
      </c>
      <c r="C262" s="909" t="s">
        <v>734</v>
      </c>
      <c r="D262" s="909" t="s">
        <v>735</v>
      </c>
      <c r="E262" s="909" t="s">
        <v>738</v>
      </c>
      <c r="F262" s="909" t="s">
        <v>903</v>
      </c>
      <c r="G262" s="909" t="s">
        <v>738</v>
      </c>
      <c r="H262" s="909" t="s">
        <v>828</v>
      </c>
      <c r="I262" s="909"/>
      <c r="J262" s="909"/>
      <c r="K262" s="910" t="s">
        <v>1058</v>
      </c>
      <c r="L262" s="904"/>
      <c r="M262" s="904"/>
      <c r="N262" s="904"/>
      <c r="O262" s="904">
        <f>+L262+M262-N262</f>
        <v>0</v>
      </c>
      <c r="P262" s="904"/>
      <c r="Q262" s="904"/>
      <c r="R262" s="904"/>
      <c r="S262" s="904"/>
      <c r="T262" s="904"/>
      <c r="U262" s="904"/>
      <c r="V262" s="904" t="e">
        <f t="shared" si="91"/>
        <v>#DIV/0!</v>
      </c>
      <c r="W262" s="904">
        <f t="shared" si="84"/>
        <v>0</v>
      </c>
      <c r="X262" s="906"/>
      <c r="Y262" s="906"/>
      <c r="Z262" s="913">
        <f t="shared" si="85"/>
        <v>0</v>
      </c>
    </row>
    <row r="263" spans="1:26" ht="16.5" thickTop="1" thickBot="1" x14ac:dyDescent="0.3">
      <c r="A263" s="893">
        <v>1</v>
      </c>
      <c r="B263" s="893">
        <v>1</v>
      </c>
      <c r="C263" s="894" t="s">
        <v>734</v>
      </c>
      <c r="D263" s="894" t="s">
        <v>735</v>
      </c>
      <c r="E263" s="894" t="s">
        <v>738</v>
      </c>
      <c r="F263" s="894" t="s">
        <v>903</v>
      </c>
      <c r="G263" s="894" t="s">
        <v>742</v>
      </c>
      <c r="H263" s="894"/>
      <c r="I263" s="894"/>
      <c r="J263" s="894"/>
      <c r="K263" s="924" t="s">
        <v>1059</v>
      </c>
      <c r="L263" s="925">
        <f>+L264+L268</f>
        <v>0</v>
      </c>
      <c r="M263" s="925">
        <f t="shared" ref="M263:U263" si="104">+M264+M268</f>
        <v>0</v>
      </c>
      <c r="N263" s="925">
        <f t="shared" si="104"/>
        <v>0</v>
      </c>
      <c r="O263" s="925">
        <f t="shared" si="104"/>
        <v>0</v>
      </c>
      <c r="P263" s="925">
        <f t="shared" si="104"/>
        <v>0</v>
      </c>
      <c r="Q263" s="925">
        <f t="shared" si="104"/>
        <v>0</v>
      </c>
      <c r="R263" s="925">
        <f t="shared" si="104"/>
        <v>0</v>
      </c>
      <c r="S263" s="925">
        <f t="shared" si="104"/>
        <v>0</v>
      </c>
      <c r="T263" s="925">
        <f t="shared" si="104"/>
        <v>0</v>
      </c>
      <c r="U263" s="911">
        <f t="shared" si="104"/>
        <v>0</v>
      </c>
      <c r="V263" s="925" t="e">
        <f t="shared" si="91"/>
        <v>#DIV/0!</v>
      </c>
      <c r="W263" s="925">
        <f t="shared" si="84"/>
        <v>0</v>
      </c>
      <c r="X263" s="899"/>
      <c r="Y263" s="899"/>
      <c r="Z263" s="926">
        <f t="shared" si="85"/>
        <v>0</v>
      </c>
    </row>
    <row r="264" spans="1:26" ht="16.5" thickTop="1" thickBot="1" x14ac:dyDescent="0.3">
      <c r="A264" s="901">
        <v>1</v>
      </c>
      <c r="B264" s="901">
        <v>1</v>
      </c>
      <c r="C264" s="902" t="s">
        <v>734</v>
      </c>
      <c r="D264" s="902" t="s">
        <v>735</v>
      </c>
      <c r="E264" s="902" t="s">
        <v>738</v>
      </c>
      <c r="F264" s="902" t="s">
        <v>903</v>
      </c>
      <c r="G264" s="902" t="s">
        <v>742</v>
      </c>
      <c r="H264" s="902" t="s">
        <v>735</v>
      </c>
      <c r="I264" s="902"/>
      <c r="J264" s="902"/>
      <c r="K264" s="903" t="s">
        <v>1060</v>
      </c>
      <c r="L264" s="904">
        <f>SUM(L265:L267)</f>
        <v>0</v>
      </c>
      <c r="M264" s="904">
        <f t="shared" ref="M264:U264" si="105">SUM(M265:M267)</f>
        <v>0</v>
      </c>
      <c r="N264" s="904">
        <f t="shared" si="105"/>
        <v>0</v>
      </c>
      <c r="O264" s="904">
        <f t="shared" si="105"/>
        <v>0</v>
      </c>
      <c r="P264" s="904">
        <f t="shared" si="105"/>
        <v>0</v>
      </c>
      <c r="Q264" s="904">
        <f t="shared" si="105"/>
        <v>0</v>
      </c>
      <c r="R264" s="904">
        <f t="shared" si="105"/>
        <v>0</v>
      </c>
      <c r="S264" s="904">
        <f t="shared" si="105"/>
        <v>0</v>
      </c>
      <c r="T264" s="904">
        <f t="shared" si="105"/>
        <v>0</v>
      </c>
      <c r="U264" s="904">
        <f t="shared" si="105"/>
        <v>0</v>
      </c>
      <c r="V264" s="904" t="e">
        <f t="shared" si="91"/>
        <v>#DIV/0!</v>
      </c>
      <c r="W264" s="904">
        <f t="shared" si="84"/>
        <v>0</v>
      </c>
      <c r="X264" s="906"/>
      <c r="Y264" s="906"/>
      <c r="Z264" s="913">
        <f t="shared" si="85"/>
        <v>0</v>
      </c>
    </row>
    <row r="265" spans="1:26" ht="24" thickTop="1" thickBot="1" x14ac:dyDescent="0.3">
      <c r="A265" s="908">
        <v>1</v>
      </c>
      <c r="B265" s="908">
        <v>1</v>
      </c>
      <c r="C265" s="909" t="s">
        <v>734</v>
      </c>
      <c r="D265" s="909" t="s">
        <v>735</v>
      </c>
      <c r="E265" s="909" t="s">
        <v>738</v>
      </c>
      <c r="F265" s="909" t="s">
        <v>903</v>
      </c>
      <c r="G265" s="909" t="s">
        <v>742</v>
      </c>
      <c r="H265" s="909" t="s">
        <v>735</v>
      </c>
      <c r="I265" s="909" t="s">
        <v>817</v>
      </c>
      <c r="J265" s="909"/>
      <c r="K265" s="910" t="s">
        <v>1061</v>
      </c>
      <c r="L265" s="911"/>
      <c r="M265" s="911"/>
      <c r="N265" s="911"/>
      <c r="O265" s="904">
        <f>+L265+M265-N265</f>
        <v>0</v>
      </c>
      <c r="P265" s="911"/>
      <c r="Q265" s="911"/>
      <c r="R265" s="911"/>
      <c r="S265" s="911"/>
      <c r="T265" s="911"/>
      <c r="U265" s="911"/>
      <c r="V265" s="911" t="e">
        <f t="shared" si="91"/>
        <v>#DIV/0!</v>
      </c>
      <c r="W265" s="911">
        <f t="shared" si="84"/>
        <v>0</v>
      </c>
      <c r="X265" s="906"/>
      <c r="Y265" s="906"/>
      <c r="Z265" s="843">
        <f t="shared" si="85"/>
        <v>0</v>
      </c>
    </row>
    <row r="266" spans="1:26" ht="24" thickTop="1" thickBot="1" x14ac:dyDescent="0.3">
      <c r="A266" s="908">
        <v>1</v>
      </c>
      <c r="B266" s="908">
        <v>1</v>
      </c>
      <c r="C266" s="909" t="s">
        <v>734</v>
      </c>
      <c r="D266" s="909" t="s">
        <v>735</v>
      </c>
      <c r="E266" s="909" t="s">
        <v>738</v>
      </c>
      <c r="F266" s="909" t="s">
        <v>903</v>
      </c>
      <c r="G266" s="909" t="s">
        <v>742</v>
      </c>
      <c r="H266" s="909" t="s">
        <v>735</v>
      </c>
      <c r="I266" s="909" t="s">
        <v>734</v>
      </c>
      <c r="J266" s="909"/>
      <c r="K266" s="910" t="s">
        <v>1062</v>
      </c>
      <c r="L266" s="911"/>
      <c r="M266" s="911"/>
      <c r="N266" s="911"/>
      <c r="O266" s="904">
        <f>+L266+M266-N266</f>
        <v>0</v>
      </c>
      <c r="P266" s="911"/>
      <c r="Q266" s="911"/>
      <c r="R266" s="911"/>
      <c r="S266" s="911"/>
      <c r="T266" s="911"/>
      <c r="U266" s="911"/>
      <c r="V266" s="911" t="e">
        <f t="shared" si="91"/>
        <v>#DIV/0!</v>
      </c>
      <c r="W266" s="911">
        <f t="shared" si="84"/>
        <v>0</v>
      </c>
      <c r="X266" s="906"/>
      <c r="Y266" s="906"/>
      <c r="Z266" s="843">
        <f t="shared" si="85"/>
        <v>0</v>
      </c>
    </row>
    <row r="267" spans="1:26" ht="24" thickTop="1" thickBot="1" x14ac:dyDescent="0.3">
      <c r="A267" s="908">
        <v>1</v>
      </c>
      <c r="B267" s="908">
        <v>1</v>
      </c>
      <c r="C267" s="909" t="s">
        <v>734</v>
      </c>
      <c r="D267" s="909" t="s">
        <v>735</v>
      </c>
      <c r="E267" s="909" t="s">
        <v>738</v>
      </c>
      <c r="F267" s="909" t="s">
        <v>903</v>
      </c>
      <c r="G267" s="909" t="s">
        <v>742</v>
      </c>
      <c r="H267" s="909" t="s">
        <v>735</v>
      </c>
      <c r="I267" s="909" t="s">
        <v>828</v>
      </c>
      <c r="J267" s="909"/>
      <c r="K267" s="910" t="s">
        <v>1063</v>
      </c>
      <c r="L267" s="911"/>
      <c r="M267" s="911"/>
      <c r="N267" s="911"/>
      <c r="O267" s="904">
        <f>+L267+M267-N267</f>
        <v>0</v>
      </c>
      <c r="P267" s="911"/>
      <c r="Q267" s="911"/>
      <c r="R267" s="911"/>
      <c r="S267" s="911"/>
      <c r="T267" s="911"/>
      <c r="U267" s="911"/>
      <c r="V267" s="911" t="e">
        <f t="shared" si="91"/>
        <v>#DIV/0!</v>
      </c>
      <c r="W267" s="911">
        <f t="shared" si="84"/>
        <v>0</v>
      </c>
      <c r="X267" s="906"/>
      <c r="Y267" s="906"/>
      <c r="Z267" s="843">
        <f t="shared" si="85"/>
        <v>0</v>
      </c>
    </row>
    <row r="268" spans="1:26" ht="16.5" thickTop="1" thickBot="1" x14ac:dyDescent="0.3">
      <c r="A268" s="901">
        <v>1</v>
      </c>
      <c r="B268" s="901">
        <v>1</v>
      </c>
      <c r="C268" s="902" t="s">
        <v>734</v>
      </c>
      <c r="D268" s="902" t="s">
        <v>735</v>
      </c>
      <c r="E268" s="902" t="s">
        <v>738</v>
      </c>
      <c r="F268" s="902" t="s">
        <v>903</v>
      </c>
      <c r="G268" s="902" t="s">
        <v>742</v>
      </c>
      <c r="H268" s="902" t="s">
        <v>738</v>
      </c>
      <c r="I268" s="902"/>
      <c r="J268" s="902"/>
      <c r="K268" s="903" t="s">
        <v>1064</v>
      </c>
      <c r="L268" s="904">
        <f>SUM(L269:L271)</f>
        <v>0</v>
      </c>
      <c r="M268" s="904">
        <f t="shared" ref="M268:U268" si="106">SUM(M269:M271)</f>
        <v>0</v>
      </c>
      <c r="N268" s="904">
        <f t="shared" si="106"/>
        <v>0</v>
      </c>
      <c r="O268" s="904">
        <f t="shared" si="106"/>
        <v>0</v>
      </c>
      <c r="P268" s="904">
        <f t="shared" si="106"/>
        <v>0</v>
      </c>
      <c r="Q268" s="904">
        <f t="shared" si="106"/>
        <v>0</v>
      </c>
      <c r="R268" s="904">
        <f t="shared" si="106"/>
        <v>0</v>
      </c>
      <c r="S268" s="904">
        <f t="shared" si="106"/>
        <v>0</v>
      </c>
      <c r="T268" s="904">
        <f t="shared" si="106"/>
        <v>0</v>
      </c>
      <c r="U268" s="904">
        <f t="shared" si="106"/>
        <v>0</v>
      </c>
      <c r="V268" s="904" t="e">
        <f t="shared" si="91"/>
        <v>#DIV/0!</v>
      </c>
      <c r="W268" s="904">
        <f t="shared" si="84"/>
        <v>0</v>
      </c>
      <c r="X268" s="906"/>
      <c r="Y268" s="906"/>
      <c r="Z268" s="913">
        <f t="shared" si="85"/>
        <v>0</v>
      </c>
    </row>
    <row r="269" spans="1:26" ht="24" thickTop="1" thickBot="1" x14ac:dyDescent="0.3">
      <c r="A269" s="908">
        <v>1</v>
      </c>
      <c r="B269" s="908">
        <v>1</v>
      </c>
      <c r="C269" s="909" t="s">
        <v>734</v>
      </c>
      <c r="D269" s="909" t="s">
        <v>735</v>
      </c>
      <c r="E269" s="909" t="s">
        <v>738</v>
      </c>
      <c r="F269" s="909" t="s">
        <v>903</v>
      </c>
      <c r="G269" s="909" t="s">
        <v>742</v>
      </c>
      <c r="H269" s="909" t="s">
        <v>738</v>
      </c>
      <c r="I269" s="909" t="s">
        <v>817</v>
      </c>
      <c r="J269" s="909"/>
      <c r="K269" s="910" t="s">
        <v>1065</v>
      </c>
      <c r="L269" s="911"/>
      <c r="M269" s="911"/>
      <c r="N269" s="911"/>
      <c r="O269" s="904">
        <f>+L269+M269-N269</f>
        <v>0</v>
      </c>
      <c r="P269" s="911"/>
      <c r="Q269" s="911"/>
      <c r="R269" s="911"/>
      <c r="S269" s="911"/>
      <c r="T269" s="911"/>
      <c r="U269" s="911"/>
      <c r="V269" s="911" t="e">
        <f t="shared" si="91"/>
        <v>#DIV/0!</v>
      </c>
      <c r="W269" s="911">
        <f t="shared" si="84"/>
        <v>0</v>
      </c>
      <c r="X269" s="906"/>
      <c r="Y269" s="906"/>
      <c r="Z269" s="843">
        <f t="shared" si="85"/>
        <v>0</v>
      </c>
    </row>
    <row r="270" spans="1:26" ht="24" thickTop="1" thickBot="1" x14ac:dyDescent="0.3">
      <c r="A270" s="908">
        <v>1</v>
      </c>
      <c r="B270" s="908">
        <v>1</v>
      </c>
      <c r="C270" s="909" t="s">
        <v>734</v>
      </c>
      <c r="D270" s="909" t="s">
        <v>735</v>
      </c>
      <c r="E270" s="909" t="s">
        <v>738</v>
      </c>
      <c r="F270" s="909" t="s">
        <v>903</v>
      </c>
      <c r="G270" s="909" t="s">
        <v>742</v>
      </c>
      <c r="H270" s="909" t="s">
        <v>738</v>
      </c>
      <c r="I270" s="909" t="s">
        <v>734</v>
      </c>
      <c r="J270" s="909"/>
      <c r="K270" s="910" t="s">
        <v>1066</v>
      </c>
      <c r="L270" s="911"/>
      <c r="M270" s="911"/>
      <c r="N270" s="911"/>
      <c r="O270" s="904">
        <f>+L270+M270-N270</f>
        <v>0</v>
      </c>
      <c r="P270" s="911"/>
      <c r="Q270" s="911"/>
      <c r="R270" s="911"/>
      <c r="S270" s="911"/>
      <c r="T270" s="911"/>
      <c r="U270" s="911"/>
      <c r="V270" s="911" t="e">
        <f t="shared" si="91"/>
        <v>#DIV/0!</v>
      </c>
      <c r="W270" s="911">
        <f t="shared" si="84"/>
        <v>0</v>
      </c>
      <c r="X270" s="906"/>
      <c r="Y270" s="906"/>
      <c r="Z270" s="843">
        <f t="shared" si="85"/>
        <v>0</v>
      </c>
    </row>
    <row r="271" spans="1:26" ht="24" thickTop="1" thickBot="1" x14ac:dyDescent="0.3">
      <c r="A271" s="908">
        <v>1</v>
      </c>
      <c r="B271" s="908">
        <v>1</v>
      </c>
      <c r="C271" s="909" t="s">
        <v>734</v>
      </c>
      <c r="D271" s="909" t="s">
        <v>735</v>
      </c>
      <c r="E271" s="909" t="s">
        <v>738</v>
      </c>
      <c r="F271" s="909" t="s">
        <v>903</v>
      </c>
      <c r="G271" s="909" t="s">
        <v>742</v>
      </c>
      <c r="H271" s="909" t="s">
        <v>738</v>
      </c>
      <c r="I271" s="909" t="s">
        <v>828</v>
      </c>
      <c r="J271" s="909"/>
      <c r="K271" s="910" t="s">
        <v>1067</v>
      </c>
      <c r="L271" s="911"/>
      <c r="M271" s="911"/>
      <c r="N271" s="911"/>
      <c r="O271" s="904">
        <f>+L271+M271-N271</f>
        <v>0</v>
      </c>
      <c r="P271" s="911"/>
      <c r="Q271" s="911"/>
      <c r="R271" s="911"/>
      <c r="S271" s="911"/>
      <c r="T271" s="911"/>
      <c r="U271" s="911"/>
      <c r="V271" s="911" t="e">
        <f t="shared" si="91"/>
        <v>#DIV/0!</v>
      </c>
      <c r="W271" s="911">
        <f t="shared" si="84"/>
        <v>0</v>
      </c>
      <c r="X271" s="906"/>
      <c r="Y271" s="906"/>
      <c r="Z271" s="843">
        <f t="shared" si="85"/>
        <v>0</v>
      </c>
    </row>
    <row r="272" spans="1:26" ht="16.5" thickTop="1" thickBot="1" x14ac:dyDescent="0.3">
      <c r="A272" s="885">
        <v>1</v>
      </c>
      <c r="B272" s="886">
        <v>1</v>
      </c>
      <c r="C272" s="886" t="s">
        <v>734</v>
      </c>
      <c r="D272" s="886" t="s">
        <v>735</v>
      </c>
      <c r="E272" s="886" t="s">
        <v>738</v>
      </c>
      <c r="F272" s="886" t="s">
        <v>927</v>
      </c>
      <c r="G272" s="886"/>
      <c r="H272" s="887"/>
      <c r="I272" s="887"/>
      <c r="J272" s="887"/>
      <c r="K272" s="888" t="s">
        <v>1068</v>
      </c>
      <c r="L272" s="889">
        <f>+L273+L277+L281</f>
        <v>0</v>
      </c>
      <c r="M272" s="889">
        <f t="shared" ref="M272:U272" si="107">+M273+M277+M281</f>
        <v>0</v>
      </c>
      <c r="N272" s="889">
        <f t="shared" si="107"/>
        <v>0</v>
      </c>
      <c r="O272" s="889">
        <f t="shared" si="107"/>
        <v>0</v>
      </c>
      <c r="P272" s="889">
        <f t="shared" si="107"/>
        <v>0</v>
      </c>
      <c r="Q272" s="889">
        <f t="shared" si="107"/>
        <v>0</v>
      </c>
      <c r="R272" s="889">
        <f t="shared" si="107"/>
        <v>0</v>
      </c>
      <c r="S272" s="889">
        <f t="shared" si="107"/>
        <v>0</v>
      </c>
      <c r="T272" s="889">
        <f t="shared" si="107"/>
        <v>0</v>
      </c>
      <c r="U272" s="904">
        <f t="shared" si="107"/>
        <v>0</v>
      </c>
      <c r="V272" s="890" t="e">
        <f t="shared" si="91"/>
        <v>#DIV/0!</v>
      </c>
      <c r="W272" s="889">
        <f t="shared" si="84"/>
        <v>0</v>
      </c>
      <c r="X272" s="891"/>
      <c r="Y272" s="891"/>
      <c r="Z272" s="892">
        <f t="shared" si="85"/>
        <v>0</v>
      </c>
    </row>
    <row r="273" spans="1:26" ht="16.5" thickTop="1" thickBot="1" x14ac:dyDescent="0.3">
      <c r="A273" s="893">
        <v>1</v>
      </c>
      <c r="B273" s="893">
        <v>1</v>
      </c>
      <c r="C273" s="894" t="s">
        <v>734</v>
      </c>
      <c r="D273" s="894" t="s">
        <v>735</v>
      </c>
      <c r="E273" s="894" t="s">
        <v>738</v>
      </c>
      <c r="F273" s="894" t="s">
        <v>927</v>
      </c>
      <c r="G273" s="894" t="s">
        <v>735</v>
      </c>
      <c r="H273" s="894"/>
      <c r="I273" s="894"/>
      <c r="J273" s="894"/>
      <c r="K273" s="924" t="s">
        <v>1069</v>
      </c>
      <c r="L273" s="925">
        <f>SUM(L274:L276)</f>
        <v>0</v>
      </c>
      <c r="M273" s="925">
        <f t="shared" ref="M273:U273" si="108">SUM(M274:M276)</f>
        <v>0</v>
      </c>
      <c r="N273" s="925">
        <f t="shared" si="108"/>
        <v>0</v>
      </c>
      <c r="O273" s="925">
        <f t="shared" si="108"/>
        <v>0</v>
      </c>
      <c r="P273" s="925">
        <f t="shared" si="108"/>
        <v>0</v>
      </c>
      <c r="Q273" s="925">
        <f t="shared" si="108"/>
        <v>0</v>
      </c>
      <c r="R273" s="925">
        <f t="shared" si="108"/>
        <v>0</v>
      </c>
      <c r="S273" s="925">
        <f t="shared" si="108"/>
        <v>0</v>
      </c>
      <c r="T273" s="925">
        <f t="shared" si="108"/>
        <v>0</v>
      </c>
      <c r="U273" s="911">
        <f t="shared" si="108"/>
        <v>0</v>
      </c>
      <c r="V273" s="925" t="e">
        <f t="shared" si="91"/>
        <v>#DIV/0!</v>
      </c>
      <c r="W273" s="925">
        <f t="shared" si="84"/>
        <v>0</v>
      </c>
      <c r="X273" s="899"/>
      <c r="Y273" s="899"/>
      <c r="Z273" s="926">
        <f t="shared" si="85"/>
        <v>0</v>
      </c>
    </row>
    <row r="274" spans="1:26" ht="16.5" thickTop="1" thickBot="1" x14ac:dyDescent="0.3">
      <c r="A274" s="908">
        <v>1</v>
      </c>
      <c r="B274" s="908">
        <v>1</v>
      </c>
      <c r="C274" s="909" t="s">
        <v>734</v>
      </c>
      <c r="D274" s="909" t="s">
        <v>735</v>
      </c>
      <c r="E274" s="909" t="s">
        <v>738</v>
      </c>
      <c r="F274" s="909" t="s">
        <v>927</v>
      </c>
      <c r="G274" s="909" t="s">
        <v>735</v>
      </c>
      <c r="H274" s="909" t="s">
        <v>817</v>
      </c>
      <c r="I274" s="909"/>
      <c r="J274" s="909"/>
      <c r="K274" s="910" t="s">
        <v>1070</v>
      </c>
      <c r="L274" s="911"/>
      <c r="M274" s="911"/>
      <c r="N274" s="911"/>
      <c r="O274" s="904">
        <f>+L274+M274-N274</f>
        <v>0</v>
      </c>
      <c r="P274" s="911"/>
      <c r="Q274" s="911"/>
      <c r="R274" s="911"/>
      <c r="S274" s="911"/>
      <c r="T274" s="911"/>
      <c r="U274" s="911"/>
      <c r="V274" s="911" t="e">
        <f t="shared" si="91"/>
        <v>#DIV/0!</v>
      </c>
      <c r="W274" s="911">
        <f t="shared" si="84"/>
        <v>0</v>
      </c>
      <c r="X274" s="906"/>
      <c r="Y274" s="906"/>
      <c r="Z274" s="843">
        <f t="shared" si="85"/>
        <v>0</v>
      </c>
    </row>
    <row r="275" spans="1:26" ht="16.5" thickTop="1" thickBot="1" x14ac:dyDescent="0.3">
      <c r="A275" s="908">
        <v>1</v>
      </c>
      <c r="B275" s="908">
        <v>1</v>
      </c>
      <c r="C275" s="909" t="s">
        <v>734</v>
      </c>
      <c r="D275" s="909" t="s">
        <v>735</v>
      </c>
      <c r="E275" s="909" t="s">
        <v>738</v>
      </c>
      <c r="F275" s="909" t="s">
        <v>927</v>
      </c>
      <c r="G275" s="909" t="s">
        <v>735</v>
      </c>
      <c r="H275" s="909" t="s">
        <v>734</v>
      </c>
      <c r="I275" s="909"/>
      <c r="J275" s="909"/>
      <c r="K275" s="910" t="s">
        <v>1071</v>
      </c>
      <c r="L275" s="911"/>
      <c r="M275" s="911"/>
      <c r="N275" s="911"/>
      <c r="O275" s="904">
        <f>+L275+M275-N275</f>
        <v>0</v>
      </c>
      <c r="P275" s="911"/>
      <c r="Q275" s="911"/>
      <c r="R275" s="911"/>
      <c r="S275" s="911"/>
      <c r="T275" s="911"/>
      <c r="U275" s="911"/>
      <c r="V275" s="911" t="e">
        <f t="shared" si="91"/>
        <v>#DIV/0!</v>
      </c>
      <c r="W275" s="911">
        <f t="shared" si="84"/>
        <v>0</v>
      </c>
      <c r="X275" s="906"/>
      <c r="Y275" s="906"/>
      <c r="Z275" s="843">
        <f t="shared" si="85"/>
        <v>0</v>
      </c>
    </row>
    <row r="276" spans="1:26" ht="24" thickTop="1" thickBot="1" x14ac:dyDescent="0.3">
      <c r="A276" s="908">
        <v>1</v>
      </c>
      <c r="B276" s="908">
        <v>1</v>
      </c>
      <c r="C276" s="909" t="s">
        <v>734</v>
      </c>
      <c r="D276" s="909" t="s">
        <v>735</v>
      </c>
      <c r="E276" s="909" t="s">
        <v>738</v>
      </c>
      <c r="F276" s="909" t="s">
        <v>927</v>
      </c>
      <c r="G276" s="909" t="s">
        <v>735</v>
      </c>
      <c r="H276" s="909" t="s">
        <v>828</v>
      </c>
      <c r="I276" s="909"/>
      <c r="J276" s="909"/>
      <c r="K276" s="910" t="s">
        <v>1072</v>
      </c>
      <c r="L276" s="911"/>
      <c r="M276" s="911"/>
      <c r="N276" s="911"/>
      <c r="O276" s="904">
        <f>+L276+M276-N276</f>
        <v>0</v>
      </c>
      <c r="P276" s="911"/>
      <c r="Q276" s="911"/>
      <c r="R276" s="911"/>
      <c r="S276" s="911"/>
      <c r="T276" s="911"/>
      <c r="U276" s="911"/>
      <c r="V276" s="911" t="e">
        <f t="shared" si="91"/>
        <v>#DIV/0!</v>
      </c>
      <c r="W276" s="911">
        <f t="shared" si="84"/>
        <v>0</v>
      </c>
      <c r="X276" s="906"/>
      <c r="Y276" s="906"/>
      <c r="Z276" s="843">
        <f t="shared" si="85"/>
        <v>0</v>
      </c>
    </row>
    <row r="277" spans="1:26" ht="16.5" thickTop="1" thickBot="1" x14ac:dyDescent="0.3">
      <c r="A277" s="893">
        <v>1</v>
      </c>
      <c r="B277" s="893">
        <v>1</v>
      </c>
      <c r="C277" s="894" t="s">
        <v>734</v>
      </c>
      <c r="D277" s="894" t="s">
        <v>735</v>
      </c>
      <c r="E277" s="894" t="s">
        <v>738</v>
      </c>
      <c r="F277" s="894" t="s">
        <v>927</v>
      </c>
      <c r="G277" s="894" t="s">
        <v>738</v>
      </c>
      <c r="H277" s="894"/>
      <c r="I277" s="894"/>
      <c r="J277" s="894"/>
      <c r="K277" s="924" t="s">
        <v>1073</v>
      </c>
      <c r="L277" s="925">
        <f>SUM(L278:L280)</f>
        <v>0</v>
      </c>
      <c r="M277" s="925">
        <f t="shared" ref="M277:U277" si="109">SUM(M278:M280)</f>
        <v>0</v>
      </c>
      <c r="N277" s="925">
        <f t="shared" si="109"/>
        <v>0</v>
      </c>
      <c r="O277" s="925">
        <f t="shared" si="109"/>
        <v>0</v>
      </c>
      <c r="P277" s="925">
        <f t="shared" si="109"/>
        <v>0</v>
      </c>
      <c r="Q277" s="925">
        <f t="shared" si="109"/>
        <v>0</v>
      </c>
      <c r="R277" s="925">
        <f t="shared" si="109"/>
        <v>0</v>
      </c>
      <c r="S277" s="925">
        <f t="shared" si="109"/>
        <v>0</v>
      </c>
      <c r="T277" s="925">
        <f t="shared" si="109"/>
        <v>0</v>
      </c>
      <c r="U277" s="911">
        <f t="shared" si="109"/>
        <v>0</v>
      </c>
      <c r="V277" s="925" t="e">
        <f t="shared" si="91"/>
        <v>#DIV/0!</v>
      </c>
      <c r="W277" s="925">
        <f t="shared" si="84"/>
        <v>0</v>
      </c>
      <c r="X277" s="899"/>
      <c r="Y277" s="899"/>
      <c r="Z277" s="926">
        <f t="shared" si="85"/>
        <v>0</v>
      </c>
    </row>
    <row r="278" spans="1:26" ht="24" thickTop="1" thickBot="1" x14ac:dyDescent="0.3">
      <c r="A278" s="908">
        <v>1</v>
      </c>
      <c r="B278" s="908">
        <v>1</v>
      </c>
      <c r="C278" s="909" t="s">
        <v>734</v>
      </c>
      <c r="D278" s="909" t="s">
        <v>735</v>
      </c>
      <c r="E278" s="909" t="s">
        <v>738</v>
      </c>
      <c r="F278" s="909" t="s">
        <v>927</v>
      </c>
      <c r="G278" s="909" t="s">
        <v>738</v>
      </c>
      <c r="H278" s="909" t="s">
        <v>817</v>
      </c>
      <c r="I278" s="909"/>
      <c r="J278" s="909"/>
      <c r="K278" s="910" t="s">
        <v>1074</v>
      </c>
      <c r="L278" s="911"/>
      <c r="M278" s="911"/>
      <c r="N278" s="911"/>
      <c r="O278" s="904">
        <f>+L278+M278-N278</f>
        <v>0</v>
      </c>
      <c r="P278" s="911"/>
      <c r="Q278" s="911"/>
      <c r="R278" s="911"/>
      <c r="S278" s="911"/>
      <c r="T278" s="911"/>
      <c r="U278" s="911"/>
      <c r="V278" s="911" t="e">
        <f t="shared" si="91"/>
        <v>#DIV/0!</v>
      </c>
      <c r="W278" s="911">
        <f t="shared" si="84"/>
        <v>0</v>
      </c>
      <c r="X278" s="906"/>
      <c r="Y278" s="906"/>
      <c r="Z278" s="843">
        <f t="shared" si="85"/>
        <v>0</v>
      </c>
    </row>
    <row r="279" spans="1:26" ht="24" thickTop="1" thickBot="1" x14ac:dyDescent="0.3">
      <c r="A279" s="908">
        <v>1</v>
      </c>
      <c r="B279" s="908">
        <v>1</v>
      </c>
      <c r="C279" s="909" t="s">
        <v>734</v>
      </c>
      <c r="D279" s="909" t="s">
        <v>735</v>
      </c>
      <c r="E279" s="909" t="s">
        <v>738</v>
      </c>
      <c r="F279" s="909" t="s">
        <v>927</v>
      </c>
      <c r="G279" s="909" t="s">
        <v>738</v>
      </c>
      <c r="H279" s="909" t="s">
        <v>734</v>
      </c>
      <c r="I279" s="909"/>
      <c r="J279" s="909"/>
      <c r="K279" s="910" t="s">
        <v>1075</v>
      </c>
      <c r="L279" s="911"/>
      <c r="M279" s="911"/>
      <c r="N279" s="911"/>
      <c r="O279" s="904">
        <f>+L279+M279-N279</f>
        <v>0</v>
      </c>
      <c r="P279" s="911"/>
      <c r="Q279" s="911"/>
      <c r="R279" s="911"/>
      <c r="S279" s="911"/>
      <c r="T279" s="911"/>
      <c r="U279" s="911"/>
      <c r="V279" s="911" t="e">
        <f t="shared" si="91"/>
        <v>#DIV/0!</v>
      </c>
      <c r="W279" s="911">
        <f t="shared" ref="W279:W342" si="110">SUBTOTAL(9,P279:S279)</f>
        <v>0</v>
      </c>
      <c r="X279" s="906"/>
      <c r="Y279" s="906"/>
      <c r="Z279" s="843">
        <f t="shared" ref="Z279:Z342" si="111">W279-O279</f>
        <v>0</v>
      </c>
    </row>
    <row r="280" spans="1:26" ht="24" thickTop="1" thickBot="1" x14ac:dyDescent="0.3">
      <c r="A280" s="908">
        <v>1</v>
      </c>
      <c r="B280" s="908">
        <v>1</v>
      </c>
      <c r="C280" s="909" t="s">
        <v>734</v>
      </c>
      <c r="D280" s="909" t="s">
        <v>735</v>
      </c>
      <c r="E280" s="909" t="s">
        <v>738</v>
      </c>
      <c r="F280" s="909" t="s">
        <v>927</v>
      </c>
      <c r="G280" s="909" t="s">
        <v>738</v>
      </c>
      <c r="H280" s="909" t="s">
        <v>828</v>
      </c>
      <c r="I280" s="909"/>
      <c r="J280" s="909"/>
      <c r="K280" s="910" t="s">
        <v>1076</v>
      </c>
      <c r="L280" s="911"/>
      <c r="M280" s="911"/>
      <c r="N280" s="911"/>
      <c r="O280" s="904">
        <f>+L280+M280-N280</f>
        <v>0</v>
      </c>
      <c r="P280" s="911"/>
      <c r="Q280" s="911"/>
      <c r="R280" s="911"/>
      <c r="S280" s="911"/>
      <c r="T280" s="911"/>
      <c r="U280" s="911"/>
      <c r="V280" s="911" t="e">
        <f t="shared" si="91"/>
        <v>#DIV/0!</v>
      </c>
      <c r="W280" s="911">
        <f t="shared" si="110"/>
        <v>0</v>
      </c>
      <c r="X280" s="906"/>
      <c r="Y280" s="906"/>
      <c r="Z280" s="843">
        <f t="shared" si="111"/>
        <v>0</v>
      </c>
    </row>
    <row r="281" spans="1:26" ht="16.5" thickTop="1" thickBot="1" x14ac:dyDescent="0.3">
      <c r="A281" s="893">
        <v>1</v>
      </c>
      <c r="B281" s="893">
        <v>1</v>
      </c>
      <c r="C281" s="894" t="s">
        <v>734</v>
      </c>
      <c r="D281" s="894" t="s">
        <v>735</v>
      </c>
      <c r="E281" s="894" t="s">
        <v>738</v>
      </c>
      <c r="F281" s="894" t="s">
        <v>927</v>
      </c>
      <c r="G281" s="894" t="s">
        <v>742</v>
      </c>
      <c r="H281" s="894"/>
      <c r="I281" s="894"/>
      <c r="J281" s="894"/>
      <c r="K281" s="924" t="s">
        <v>1077</v>
      </c>
      <c r="L281" s="925">
        <f>SUM(L282:L284)</f>
        <v>0</v>
      </c>
      <c r="M281" s="925">
        <f t="shared" ref="M281:U281" si="112">SUM(M282:M284)</f>
        <v>0</v>
      </c>
      <c r="N281" s="925">
        <f t="shared" si="112"/>
        <v>0</v>
      </c>
      <c r="O281" s="925">
        <f t="shared" si="112"/>
        <v>0</v>
      </c>
      <c r="P281" s="925">
        <f t="shared" si="112"/>
        <v>0</v>
      </c>
      <c r="Q281" s="925">
        <f t="shared" si="112"/>
        <v>0</v>
      </c>
      <c r="R281" s="925">
        <f t="shared" si="112"/>
        <v>0</v>
      </c>
      <c r="S281" s="925">
        <f t="shared" si="112"/>
        <v>0</v>
      </c>
      <c r="T281" s="925">
        <f t="shared" si="112"/>
        <v>0</v>
      </c>
      <c r="U281" s="911">
        <f t="shared" si="112"/>
        <v>0</v>
      </c>
      <c r="V281" s="925" t="e">
        <f t="shared" si="91"/>
        <v>#DIV/0!</v>
      </c>
      <c r="W281" s="925">
        <f t="shared" si="110"/>
        <v>0</v>
      </c>
      <c r="X281" s="899"/>
      <c r="Y281" s="899"/>
      <c r="Z281" s="926">
        <f t="shared" si="111"/>
        <v>0</v>
      </c>
    </row>
    <row r="282" spans="1:26" ht="16.5" thickTop="1" thickBot="1" x14ac:dyDescent="0.3">
      <c r="A282" s="908">
        <v>1</v>
      </c>
      <c r="B282" s="908">
        <v>1</v>
      </c>
      <c r="C282" s="909" t="s">
        <v>734</v>
      </c>
      <c r="D282" s="909" t="s">
        <v>735</v>
      </c>
      <c r="E282" s="909" t="s">
        <v>738</v>
      </c>
      <c r="F282" s="909" t="s">
        <v>927</v>
      </c>
      <c r="G282" s="909" t="s">
        <v>742</v>
      </c>
      <c r="H282" s="909" t="s">
        <v>817</v>
      </c>
      <c r="I282" s="909"/>
      <c r="J282" s="909"/>
      <c r="K282" s="910" t="s">
        <v>1078</v>
      </c>
      <c r="L282" s="911"/>
      <c r="M282" s="911"/>
      <c r="N282" s="911"/>
      <c r="O282" s="904">
        <f>+L282+M282-N282</f>
        <v>0</v>
      </c>
      <c r="P282" s="911"/>
      <c r="Q282" s="911"/>
      <c r="R282" s="911"/>
      <c r="S282" s="911"/>
      <c r="T282" s="911"/>
      <c r="U282" s="911"/>
      <c r="V282" s="911" t="e">
        <f t="shared" si="91"/>
        <v>#DIV/0!</v>
      </c>
      <c r="W282" s="911">
        <f t="shared" si="110"/>
        <v>0</v>
      </c>
      <c r="X282" s="906"/>
      <c r="Y282" s="906"/>
      <c r="Z282" s="843">
        <f t="shared" si="111"/>
        <v>0</v>
      </c>
    </row>
    <row r="283" spans="1:26" ht="16.5" thickTop="1" thickBot="1" x14ac:dyDescent="0.3">
      <c r="A283" s="908">
        <v>1</v>
      </c>
      <c r="B283" s="908">
        <v>1</v>
      </c>
      <c r="C283" s="909" t="s">
        <v>734</v>
      </c>
      <c r="D283" s="909" t="s">
        <v>735</v>
      </c>
      <c r="E283" s="909" t="s">
        <v>738</v>
      </c>
      <c r="F283" s="909" t="s">
        <v>927</v>
      </c>
      <c r="G283" s="909" t="s">
        <v>742</v>
      </c>
      <c r="H283" s="909" t="s">
        <v>734</v>
      </c>
      <c r="I283" s="909"/>
      <c r="J283" s="909"/>
      <c r="K283" s="910" t="s">
        <v>1079</v>
      </c>
      <c r="L283" s="911"/>
      <c r="M283" s="911"/>
      <c r="N283" s="911"/>
      <c r="O283" s="904">
        <f>+L283+M283-N283</f>
        <v>0</v>
      </c>
      <c r="P283" s="911"/>
      <c r="Q283" s="911"/>
      <c r="R283" s="911"/>
      <c r="S283" s="911"/>
      <c r="T283" s="911"/>
      <c r="U283" s="911"/>
      <c r="V283" s="911" t="e">
        <f t="shared" si="91"/>
        <v>#DIV/0!</v>
      </c>
      <c r="W283" s="911">
        <f t="shared" si="110"/>
        <v>0</v>
      </c>
      <c r="X283" s="906"/>
      <c r="Y283" s="906"/>
      <c r="Z283" s="843">
        <f t="shared" si="111"/>
        <v>0</v>
      </c>
    </row>
    <row r="284" spans="1:26" ht="24" thickTop="1" thickBot="1" x14ac:dyDescent="0.3">
      <c r="A284" s="908">
        <v>1</v>
      </c>
      <c r="B284" s="908">
        <v>1</v>
      </c>
      <c r="C284" s="909" t="s">
        <v>734</v>
      </c>
      <c r="D284" s="909" t="s">
        <v>735</v>
      </c>
      <c r="E284" s="909" t="s">
        <v>738</v>
      </c>
      <c r="F284" s="909" t="s">
        <v>927</v>
      </c>
      <c r="G284" s="909" t="s">
        <v>742</v>
      </c>
      <c r="H284" s="909" t="s">
        <v>828</v>
      </c>
      <c r="I284" s="909"/>
      <c r="J284" s="909"/>
      <c r="K284" s="910" t="s">
        <v>1080</v>
      </c>
      <c r="L284" s="911"/>
      <c r="M284" s="911"/>
      <c r="N284" s="911"/>
      <c r="O284" s="904">
        <f>+L284+M284-N284</f>
        <v>0</v>
      </c>
      <c r="P284" s="911"/>
      <c r="Q284" s="911"/>
      <c r="R284" s="911"/>
      <c r="S284" s="911"/>
      <c r="T284" s="911"/>
      <c r="U284" s="911"/>
      <c r="V284" s="911" t="e">
        <f t="shared" si="91"/>
        <v>#DIV/0!</v>
      </c>
      <c r="W284" s="911">
        <f t="shared" si="110"/>
        <v>0</v>
      </c>
      <c r="X284" s="906"/>
      <c r="Y284" s="906"/>
      <c r="Z284" s="843">
        <f t="shared" si="111"/>
        <v>0</v>
      </c>
    </row>
    <row r="285" spans="1:26" ht="16.5" thickTop="1" thickBot="1" x14ac:dyDescent="0.3">
      <c r="A285" s="885">
        <v>1</v>
      </c>
      <c r="B285" s="886">
        <v>1</v>
      </c>
      <c r="C285" s="886" t="s">
        <v>734</v>
      </c>
      <c r="D285" s="886" t="s">
        <v>735</v>
      </c>
      <c r="E285" s="886" t="s">
        <v>738</v>
      </c>
      <c r="F285" s="886" t="s">
        <v>985</v>
      </c>
      <c r="G285" s="886"/>
      <c r="H285" s="887"/>
      <c r="I285" s="887"/>
      <c r="J285" s="887"/>
      <c r="K285" s="888" t="s">
        <v>1081</v>
      </c>
      <c r="L285" s="889">
        <f>+L286+L290</f>
        <v>0</v>
      </c>
      <c r="M285" s="889">
        <f t="shared" ref="M285:U285" si="113">+M286+M290</f>
        <v>0</v>
      </c>
      <c r="N285" s="889">
        <f t="shared" si="113"/>
        <v>0</v>
      </c>
      <c r="O285" s="889">
        <f t="shared" si="113"/>
        <v>0</v>
      </c>
      <c r="P285" s="889">
        <f t="shared" si="113"/>
        <v>0</v>
      </c>
      <c r="Q285" s="889">
        <f t="shared" si="113"/>
        <v>0</v>
      </c>
      <c r="R285" s="889">
        <f t="shared" si="113"/>
        <v>0</v>
      </c>
      <c r="S285" s="889">
        <f t="shared" si="113"/>
        <v>0</v>
      </c>
      <c r="T285" s="889">
        <f t="shared" si="113"/>
        <v>0</v>
      </c>
      <c r="U285" s="904">
        <f t="shared" si="113"/>
        <v>0</v>
      </c>
      <c r="V285" s="890" t="e">
        <f t="shared" si="91"/>
        <v>#DIV/0!</v>
      </c>
      <c r="W285" s="889">
        <f t="shared" si="110"/>
        <v>0</v>
      </c>
      <c r="X285" s="891"/>
      <c r="Y285" s="891"/>
      <c r="Z285" s="892">
        <f t="shared" si="111"/>
        <v>0</v>
      </c>
    </row>
    <row r="286" spans="1:26" ht="16.5" thickTop="1" thickBot="1" x14ac:dyDescent="0.3">
      <c r="A286" s="893">
        <v>1</v>
      </c>
      <c r="B286" s="893">
        <v>1</v>
      </c>
      <c r="C286" s="894" t="s">
        <v>734</v>
      </c>
      <c r="D286" s="894" t="s">
        <v>735</v>
      </c>
      <c r="E286" s="894" t="s">
        <v>738</v>
      </c>
      <c r="F286" s="894" t="s">
        <v>985</v>
      </c>
      <c r="G286" s="894" t="s">
        <v>735</v>
      </c>
      <c r="H286" s="894"/>
      <c r="I286" s="894"/>
      <c r="J286" s="894"/>
      <c r="K286" s="924" t="s">
        <v>1082</v>
      </c>
      <c r="L286" s="925">
        <f>SUM(L287:L289)</f>
        <v>0</v>
      </c>
      <c r="M286" s="925">
        <f t="shared" ref="M286:U286" si="114">SUM(M287:M289)</f>
        <v>0</v>
      </c>
      <c r="N286" s="925">
        <f t="shared" si="114"/>
        <v>0</v>
      </c>
      <c r="O286" s="925">
        <f t="shared" si="114"/>
        <v>0</v>
      </c>
      <c r="P286" s="925">
        <f t="shared" si="114"/>
        <v>0</v>
      </c>
      <c r="Q286" s="925">
        <f t="shared" si="114"/>
        <v>0</v>
      </c>
      <c r="R286" s="925">
        <f t="shared" si="114"/>
        <v>0</v>
      </c>
      <c r="S286" s="925">
        <f t="shared" si="114"/>
        <v>0</v>
      </c>
      <c r="T286" s="925">
        <f t="shared" si="114"/>
        <v>0</v>
      </c>
      <c r="U286" s="911">
        <f t="shared" si="114"/>
        <v>0</v>
      </c>
      <c r="V286" s="925" t="e">
        <f t="shared" si="91"/>
        <v>#DIV/0!</v>
      </c>
      <c r="W286" s="925">
        <f t="shared" si="110"/>
        <v>0</v>
      </c>
      <c r="X286" s="899"/>
      <c r="Y286" s="899"/>
      <c r="Z286" s="926">
        <f t="shared" si="111"/>
        <v>0</v>
      </c>
    </row>
    <row r="287" spans="1:26" ht="16.5" thickTop="1" thickBot="1" x14ac:dyDescent="0.3">
      <c r="A287" s="908">
        <v>1</v>
      </c>
      <c r="B287" s="908">
        <v>1</v>
      </c>
      <c r="C287" s="909" t="s">
        <v>734</v>
      </c>
      <c r="D287" s="909" t="s">
        <v>735</v>
      </c>
      <c r="E287" s="909" t="s">
        <v>738</v>
      </c>
      <c r="F287" s="909" t="s">
        <v>985</v>
      </c>
      <c r="G287" s="909" t="s">
        <v>735</v>
      </c>
      <c r="H287" s="909" t="s">
        <v>817</v>
      </c>
      <c r="I287" s="909"/>
      <c r="J287" s="909"/>
      <c r="K287" s="910" t="s">
        <v>1083</v>
      </c>
      <c r="L287" s="911"/>
      <c r="M287" s="911"/>
      <c r="N287" s="911"/>
      <c r="O287" s="904">
        <f>+L287+M287-N287</f>
        <v>0</v>
      </c>
      <c r="P287" s="911"/>
      <c r="Q287" s="911"/>
      <c r="R287" s="911"/>
      <c r="S287" s="911"/>
      <c r="T287" s="911"/>
      <c r="U287" s="911"/>
      <c r="V287" s="911" t="e">
        <f t="shared" si="91"/>
        <v>#DIV/0!</v>
      </c>
      <c r="W287" s="911">
        <f t="shared" si="110"/>
        <v>0</v>
      </c>
      <c r="X287" s="906"/>
      <c r="Y287" s="906"/>
      <c r="Z287" s="843">
        <f t="shared" si="111"/>
        <v>0</v>
      </c>
    </row>
    <row r="288" spans="1:26" ht="16.5" thickTop="1" thickBot="1" x14ac:dyDescent="0.3">
      <c r="A288" s="908">
        <v>1</v>
      </c>
      <c r="B288" s="908">
        <v>1</v>
      </c>
      <c r="C288" s="909" t="s">
        <v>734</v>
      </c>
      <c r="D288" s="909" t="s">
        <v>735</v>
      </c>
      <c r="E288" s="909" t="s">
        <v>738</v>
      </c>
      <c r="F288" s="909" t="s">
        <v>985</v>
      </c>
      <c r="G288" s="909" t="s">
        <v>735</v>
      </c>
      <c r="H288" s="909" t="s">
        <v>734</v>
      </c>
      <c r="I288" s="909"/>
      <c r="J288" s="909"/>
      <c r="K288" s="910" t="s">
        <v>1084</v>
      </c>
      <c r="L288" s="911"/>
      <c r="M288" s="911"/>
      <c r="N288" s="911"/>
      <c r="O288" s="904">
        <f>+L288+M288-N288</f>
        <v>0</v>
      </c>
      <c r="P288" s="911"/>
      <c r="Q288" s="911"/>
      <c r="R288" s="911"/>
      <c r="S288" s="911"/>
      <c r="T288" s="911"/>
      <c r="U288" s="911"/>
      <c r="V288" s="911" t="e">
        <f t="shared" si="91"/>
        <v>#DIV/0!</v>
      </c>
      <c r="W288" s="911">
        <f t="shared" si="110"/>
        <v>0</v>
      </c>
      <c r="X288" s="906"/>
      <c r="Y288" s="906"/>
      <c r="Z288" s="843">
        <f t="shared" si="111"/>
        <v>0</v>
      </c>
    </row>
    <row r="289" spans="1:26" ht="16.5" thickTop="1" thickBot="1" x14ac:dyDescent="0.3">
      <c r="A289" s="908">
        <v>1</v>
      </c>
      <c r="B289" s="908">
        <v>1</v>
      </c>
      <c r="C289" s="909" t="s">
        <v>734</v>
      </c>
      <c r="D289" s="909" t="s">
        <v>735</v>
      </c>
      <c r="E289" s="909" t="s">
        <v>738</v>
      </c>
      <c r="F289" s="909" t="s">
        <v>985</v>
      </c>
      <c r="G289" s="909" t="s">
        <v>735</v>
      </c>
      <c r="H289" s="909" t="s">
        <v>828</v>
      </c>
      <c r="I289" s="909"/>
      <c r="J289" s="909"/>
      <c r="K289" s="910" t="s">
        <v>1085</v>
      </c>
      <c r="L289" s="911"/>
      <c r="M289" s="911"/>
      <c r="N289" s="911"/>
      <c r="O289" s="904">
        <f>+L289+M289-N289</f>
        <v>0</v>
      </c>
      <c r="P289" s="911"/>
      <c r="Q289" s="911"/>
      <c r="R289" s="911"/>
      <c r="S289" s="911"/>
      <c r="T289" s="911"/>
      <c r="U289" s="911"/>
      <c r="V289" s="911" t="e">
        <f t="shared" si="91"/>
        <v>#DIV/0!</v>
      </c>
      <c r="W289" s="911">
        <f t="shared" si="110"/>
        <v>0</v>
      </c>
      <c r="X289" s="906"/>
      <c r="Y289" s="906"/>
      <c r="Z289" s="843">
        <f t="shared" si="111"/>
        <v>0</v>
      </c>
    </row>
    <row r="290" spans="1:26" ht="16.5" thickTop="1" thickBot="1" x14ac:dyDescent="0.3">
      <c r="A290" s="893">
        <v>1</v>
      </c>
      <c r="B290" s="893">
        <v>1</v>
      </c>
      <c r="C290" s="894" t="s">
        <v>734</v>
      </c>
      <c r="D290" s="894" t="s">
        <v>735</v>
      </c>
      <c r="E290" s="894" t="s">
        <v>738</v>
      </c>
      <c r="F290" s="894" t="s">
        <v>985</v>
      </c>
      <c r="G290" s="894" t="s">
        <v>738</v>
      </c>
      <c r="H290" s="894"/>
      <c r="I290" s="894"/>
      <c r="J290" s="894"/>
      <c r="K290" s="924" t="s">
        <v>1086</v>
      </c>
      <c r="L290" s="925">
        <f>SUM(L291:L293)</f>
        <v>0</v>
      </c>
      <c r="M290" s="925">
        <f t="shared" ref="M290:U290" si="115">SUM(M291:M293)</f>
        <v>0</v>
      </c>
      <c r="N290" s="925">
        <f t="shared" si="115"/>
        <v>0</v>
      </c>
      <c r="O290" s="925">
        <f t="shared" si="115"/>
        <v>0</v>
      </c>
      <c r="P290" s="925">
        <f t="shared" si="115"/>
        <v>0</v>
      </c>
      <c r="Q290" s="925">
        <f t="shared" si="115"/>
        <v>0</v>
      </c>
      <c r="R290" s="925">
        <f t="shared" si="115"/>
        <v>0</v>
      </c>
      <c r="S290" s="925">
        <f t="shared" si="115"/>
        <v>0</v>
      </c>
      <c r="T290" s="925">
        <f t="shared" si="115"/>
        <v>0</v>
      </c>
      <c r="U290" s="911">
        <f t="shared" si="115"/>
        <v>0</v>
      </c>
      <c r="V290" s="925" t="e">
        <f t="shared" si="91"/>
        <v>#DIV/0!</v>
      </c>
      <c r="W290" s="925">
        <f t="shared" si="110"/>
        <v>0</v>
      </c>
      <c r="X290" s="899"/>
      <c r="Y290" s="899"/>
      <c r="Z290" s="926">
        <f t="shared" si="111"/>
        <v>0</v>
      </c>
    </row>
    <row r="291" spans="1:26" ht="24" thickTop="1" thickBot="1" x14ac:dyDescent="0.3">
      <c r="A291" s="908">
        <v>1</v>
      </c>
      <c r="B291" s="908">
        <v>1</v>
      </c>
      <c r="C291" s="909" t="s">
        <v>734</v>
      </c>
      <c r="D291" s="909" t="s">
        <v>735</v>
      </c>
      <c r="E291" s="909" t="s">
        <v>738</v>
      </c>
      <c r="F291" s="909" t="s">
        <v>985</v>
      </c>
      <c r="G291" s="909" t="s">
        <v>738</v>
      </c>
      <c r="H291" s="909" t="s">
        <v>817</v>
      </c>
      <c r="I291" s="909"/>
      <c r="J291" s="909"/>
      <c r="K291" s="910" t="s">
        <v>1087</v>
      </c>
      <c r="L291" s="911"/>
      <c r="M291" s="911"/>
      <c r="N291" s="911"/>
      <c r="O291" s="904">
        <f>+L291+M291-N291</f>
        <v>0</v>
      </c>
      <c r="P291" s="911"/>
      <c r="Q291" s="911"/>
      <c r="R291" s="911"/>
      <c r="S291" s="911"/>
      <c r="T291" s="911"/>
      <c r="U291" s="911"/>
      <c r="V291" s="911" t="e">
        <f t="shared" si="91"/>
        <v>#DIV/0!</v>
      </c>
      <c r="W291" s="911">
        <f t="shared" si="110"/>
        <v>0</v>
      </c>
      <c r="X291" s="906"/>
      <c r="Y291" s="906"/>
      <c r="Z291" s="843">
        <f t="shared" si="111"/>
        <v>0</v>
      </c>
    </row>
    <row r="292" spans="1:26" ht="24" thickTop="1" thickBot="1" x14ac:dyDescent="0.3">
      <c r="A292" s="908">
        <v>1</v>
      </c>
      <c r="B292" s="908">
        <v>1</v>
      </c>
      <c r="C292" s="909" t="s">
        <v>734</v>
      </c>
      <c r="D292" s="909" t="s">
        <v>735</v>
      </c>
      <c r="E292" s="909" t="s">
        <v>738</v>
      </c>
      <c r="F292" s="909" t="s">
        <v>985</v>
      </c>
      <c r="G292" s="909" t="s">
        <v>738</v>
      </c>
      <c r="H292" s="909" t="s">
        <v>734</v>
      </c>
      <c r="I292" s="909"/>
      <c r="J292" s="909"/>
      <c r="K292" s="910" t="s">
        <v>1088</v>
      </c>
      <c r="L292" s="911"/>
      <c r="M292" s="911"/>
      <c r="N292" s="911"/>
      <c r="O292" s="904">
        <f>+L292+M292-N292</f>
        <v>0</v>
      </c>
      <c r="P292" s="911"/>
      <c r="Q292" s="911"/>
      <c r="R292" s="911"/>
      <c r="S292" s="911"/>
      <c r="T292" s="911"/>
      <c r="U292" s="911"/>
      <c r="V292" s="911" t="e">
        <f t="shared" si="91"/>
        <v>#DIV/0!</v>
      </c>
      <c r="W292" s="911">
        <f t="shared" si="110"/>
        <v>0</v>
      </c>
      <c r="X292" s="906"/>
      <c r="Y292" s="906"/>
      <c r="Z292" s="843">
        <f t="shared" si="111"/>
        <v>0</v>
      </c>
    </row>
    <row r="293" spans="1:26" ht="24" thickTop="1" thickBot="1" x14ac:dyDescent="0.3">
      <c r="A293" s="908">
        <v>1</v>
      </c>
      <c r="B293" s="908">
        <v>1</v>
      </c>
      <c r="C293" s="909" t="s">
        <v>734</v>
      </c>
      <c r="D293" s="909" t="s">
        <v>735</v>
      </c>
      <c r="E293" s="909" t="s">
        <v>738</v>
      </c>
      <c r="F293" s="909" t="s">
        <v>985</v>
      </c>
      <c r="G293" s="909" t="s">
        <v>738</v>
      </c>
      <c r="H293" s="909" t="s">
        <v>828</v>
      </c>
      <c r="I293" s="909"/>
      <c r="J293" s="909"/>
      <c r="K293" s="910" t="s">
        <v>1089</v>
      </c>
      <c r="L293" s="911"/>
      <c r="M293" s="911"/>
      <c r="N293" s="911"/>
      <c r="O293" s="904">
        <f>+L293+M293-N293</f>
        <v>0</v>
      </c>
      <c r="P293" s="911"/>
      <c r="Q293" s="911"/>
      <c r="R293" s="911"/>
      <c r="S293" s="911"/>
      <c r="T293" s="911"/>
      <c r="U293" s="911"/>
      <c r="V293" s="911" t="e">
        <f t="shared" si="91"/>
        <v>#DIV/0!</v>
      </c>
      <c r="W293" s="911">
        <f t="shared" si="110"/>
        <v>0</v>
      </c>
      <c r="X293" s="906"/>
      <c r="Y293" s="906"/>
      <c r="Z293" s="843">
        <f t="shared" si="111"/>
        <v>0</v>
      </c>
    </row>
    <row r="294" spans="1:26" ht="16.5" thickTop="1" thickBot="1" x14ac:dyDescent="0.3">
      <c r="A294" s="869">
        <v>1</v>
      </c>
      <c r="B294" s="870" t="s">
        <v>817</v>
      </c>
      <c r="C294" s="870" t="s">
        <v>734</v>
      </c>
      <c r="D294" s="870" t="s">
        <v>742</v>
      </c>
      <c r="E294" s="870"/>
      <c r="F294" s="870"/>
      <c r="G294" s="870"/>
      <c r="H294" s="871"/>
      <c r="I294" s="871"/>
      <c r="J294" s="871"/>
      <c r="K294" s="872" t="s">
        <v>1090</v>
      </c>
      <c r="L294" s="873">
        <f>+L295+L299+L303+L307+L311</f>
        <v>0</v>
      </c>
      <c r="M294" s="873">
        <f t="shared" ref="M294:U294" si="116">+M295+M299+M303+M307+M311</f>
        <v>0</v>
      </c>
      <c r="N294" s="873">
        <f t="shared" si="116"/>
        <v>0</v>
      </c>
      <c r="O294" s="873">
        <f t="shared" si="116"/>
        <v>0</v>
      </c>
      <c r="P294" s="873">
        <f t="shared" si="116"/>
        <v>0</v>
      </c>
      <c r="Q294" s="873">
        <f t="shared" si="116"/>
        <v>0</v>
      </c>
      <c r="R294" s="873">
        <f t="shared" si="116"/>
        <v>0</v>
      </c>
      <c r="S294" s="873">
        <f t="shared" si="116"/>
        <v>0</v>
      </c>
      <c r="T294" s="873">
        <f t="shared" si="116"/>
        <v>0</v>
      </c>
      <c r="U294" s="904">
        <f t="shared" si="116"/>
        <v>0</v>
      </c>
      <c r="V294" s="874" t="e">
        <f t="shared" si="91"/>
        <v>#DIV/0!</v>
      </c>
      <c r="W294" s="873">
        <f t="shared" si="110"/>
        <v>0</v>
      </c>
      <c r="X294" s="875"/>
      <c r="Y294" s="875"/>
      <c r="Z294" s="876">
        <f t="shared" si="111"/>
        <v>0</v>
      </c>
    </row>
    <row r="295" spans="1:26" ht="24" thickTop="1" thickBot="1" x14ac:dyDescent="0.3">
      <c r="A295" s="877">
        <v>1</v>
      </c>
      <c r="B295" s="878" t="s">
        <v>817</v>
      </c>
      <c r="C295" s="878" t="s">
        <v>734</v>
      </c>
      <c r="D295" s="878" t="s">
        <v>742</v>
      </c>
      <c r="E295" s="878" t="s">
        <v>738</v>
      </c>
      <c r="F295" s="878"/>
      <c r="G295" s="878"/>
      <c r="H295" s="879"/>
      <c r="I295" s="879"/>
      <c r="J295" s="879"/>
      <c r="K295" s="880" t="s">
        <v>1091</v>
      </c>
      <c r="L295" s="881">
        <f>SUM(L296:L298)</f>
        <v>0</v>
      </c>
      <c r="M295" s="881">
        <f t="shared" ref="M295:U295" si="117">SUM(M296:M298)</f>
        <v>0</v>
      </c>
      <c r="N295" s="881">
        <f t="shared" si="117"/>
        <v>0</v>
      </c>
      <c r="O295" s="881">
        <f t="shared" si="117"/>
        <v>0</v>
      </c>
      <c r="P295" s="881">
        <f t="shared" si="117"/>
        <v>0</v>
      </c>
      <c r="Q295" s="881">
        <f t="shared" si="117"/>
        <v>0</v>
      </c>
      <c r="R295" s="881">
        <f t="shared" si="117"/>
        <v>0</v>
      </c>
      <c r="S295" s="881">
        <f t="shared" si="117"/>
        <v>0</v>
      </c>
      <c r="T295" s="881">
        <f t="shared" si="117"/>
        <v>0</v>
      </c>
      <c r="U295" s="904">
        <f t="shared" si="117"/>
        <v>0</v>
      </c>
      <c r="V295" s="882" t="e">
        <f t="shared" si="91"/>
        <v>#DIV/0!</v>
      </c>
      <c r="W295" s="881">
        <f t="shared" si="110"/>
        <v>0</v>
      </c>
      <c r="X295" s="883"/>
      <c r="Y295" s="883"/>
      <c r="Z295" s="884">
        <f t="shared" si="111"/>
        <v>0</v>
      </c>
    </row>
    <row r="296" spans="1:26" ht="24" thickTop="1" thickBot="1" x14ac:dyDescent="0.3">
      <c r="A296" s="908">
        <v>1</v>
      </c>
      <c r="B296" s="909" t="s">
        <v>817</v>
      </c>
      <c r="C296" s="909" t="s">
        <v>734</v>
      </c>
      <c r="D296" s="909" t="s">
        <v>742</v>
      </c>
      <c r="E296" s="909" t="s">
        <v>738</v>
      </c>
      <c r="F296" s="909" t="s">
        <v>817</v>
      </c>
      <c r="G296" s="909"/>
      <c r="H296" s="909"/>
      <c r="I296" s="909"/>
      <c r="J296" s="909"/>
      <c r="K296" s="910" t="s">
        <v>1092</v>
      </c>
      <c r="L296" s="911"/>
      <c r="M296" s="911"/>
      <c r="N296" s="911"/>
      <c r="O296" s="904">
        <f>+L296+M296-N296</f>
        <v>0</v>
      </c>
      <c r="P296" s="911"/>
      <c r="Q296" s="911"/>
      <c r="R296" s="911"/>
      <c r="S296" s="911"/>
      <c r="T296" s="911"/>
      <c r="U296" s="911"/>
      <c r="V296" s="911" t="e">
        <f t="shared" si="91"/>
        <v>#DIV/0!</v>
      </c>
      <c r="W296" s="911">
        <f t="shared" si="110"/>
        <v>0</v>
      </c>
      <c r="X296" s="906"/>
      <c r="Y296" s="906"/>
      <c r="Z296" s="843">
        <f t="shared" si="111"/>
        <v>0</v>
      </c>
    </row>
    <row r="297" spans="1:26" ht="24" thickTop="1" thickBot="1" x14ac:dyDescent="0.3">
      <c r="A297" s="908">
        <v>1</v>
      </c>
      <c r="B297" s="909" t="s">
        <v>817</v>
      </c>
      <c r="C297" s="909" t="s">
        <v>734</v>
      </c>
      <c r="D297" s="909" t="s">
        <v>742</v>
      </c>
      <c r="E297" s="909" t="s">
        <v>738</v>
      </c>
      <c r="F297" s="909" t="s">
        <v>734</v>
      </c>
      <c r="G297" s="909"/>
      <c r="H297" s="909"/>
      <c r="I297" s="909"/>
      <c r="J297" s="909"/>
      <c r="K297" s="910" t="s">
        <v>1093</v>
      </c>
      <c r="L297" s="911"/>
      <c r="M297" s="911"/>
      <c r="N297" s="911"/>
      <c r="O297" s="904">
        <f>+L297+M297-N297</f>
        <v>0</v>
      </c>
      <c r="P297" s="911"/>
      <c r="Q297" s="911"/>
      <c r="R297" s="911"/>
      <c r="S297" s="911"/>
      <c r="T297" s="911"/>
      <c r="U297" s="911"/>
      <c r="V297" s="911" t="e">
        <f t="shared" si="91"/>
        <v>#DIV/0!</v>
      </c>
      <c r="W297" s="911">
        <f t="shared" si="110"/>
        <v>0</v>
      </c>
      <c r="X297" s="906"/>
      <c r="Y297" s="906"/>
      <c r="Z297" s="843">
        <f t="shared" si="111"/>
        <v>0</v>
      </c>
    </row>
    <row r="298" spans="1:26" ht="24" thickTop="1" thickBot="1" x14ac:dyDescent="0.3">
      <c r="A298" s="908">
        <v>1</v>
      </c>
      <c r="B298" s="909" t="s">
        <v>817</v>
      </c>
      <c r="C298" s="909" t="s">
        <v>734</v>
      </c>
      <c r="D298" s="909" t="s">
        <v>742</v>
      </c>
      <c r="E298" s="909" t="s">
        <v>738</v>
      </c>
      <c r="F298" s="909" t="s">
        <v>828</v>
      </c>
      <c r="G298" s="909"/>
      <c r="H298" s="909"/>
      <c r="I298" s="909"/>
      <c r="J298" s="909"/>
      <c r="K298" s="910" t="s">
        <v>1094</v>
      </c>
      <c r="L298" s="911"/>
      <c r="M298" s="911"/>
      <c r="N298" s="911"/>
      <c r="O298" s="904">
        <f>+L298+M298-N298</f>
        <v>0</v>
      </c>
      <c r="P298" s="911"/>
      <c r="Q298" s="911"/>
      <c r="R298" s="911"/>
      <c r="S298" s="911"/>
      <c r="T298" s="911"/>
      <c r="U298" s="911"/>
      <c r="V298" s="911" t="e">
        <f t="shared" ref="V298:V361" si="118">U298/T298</f>
        <v>#DIV/0!</v>
      </c>
      <c r="W298" s="911">
        <f t="shared" si="110"/>
        <v>0</v>
      </c>
      <c r="X298" s="906"/>
      <c r="Y298" s="906"/>
      <c r="Z298" s="843">
        <f t="shared" si="111"/>
        <v>0</v>
      </c>
    </row>
    <row r="299" spans="1:26" ht="16.5" thickTop="1" thickBot="1" x14ac:dyDescent="0.3">
      <c r="A299" s="877">
        <v>1</v>
      </c>
      <c r="B299" s="878" t="s">
        <v>817</v>
      </c>
      <c r="C299" s="878" t="s">
        <v>734</v>
      </c>
      <c r="D299" s="878" t="s">
        <v>742</v>
      </c>
      <c r="E299" s="878" t="s">
        <v>742</v>
      </c>
      <c r="F299" s="878"/>
      <c r="G299" s="878"/>
      <c r="H299" s="879"/>
      <c r="I299" s="879"/>
      <c r="J299" s="879"/>
      <c r="K299" s="880" t="s">
        <v>1095</v>
      </c>
      <c r="L299" s="881">
        <f>SUM(L300:L302)</f>
        <v>0</v>
      </c>
      <c r="M299" s="881">
        <f t="shared" ref="M299:U299" si="119">SUM(M300:M302)</f>
        <v>0</v>
      </c>
      <c r="N299" s="881">
        <f t="shared" si="119"/>
        <v>0</v>
      </c>
      <c r="O299" s="881">
        <f t="shared" si="119"/>
        <v>0</v>
      </c>
      <c r="P299" s="881">
        <f t="shared" si="119"/>
        <v>0</v>
      </c>
      <c r="Q299" s="881">
        <f t="shared" si="119"/>
        <v>0</v>
      </c>
      <c r="R299" s="881">
        <f t="shared" si="119"/>
        <v>0</v>
      </c>
      <c r="S299" s="881">
        <f t="shared" si="119"/>
        <v>0</v>
      </c>
      <c r="T299" s="881">
        <f t="shared" si="119"/>
        <v>0</v>
      </c>
      <c r="U299" s="904">
        <f t="shared" si="119"/>
        <v>0</v>
      </c>
      <c r="V299" s="882" t="e">
        <f t="shared" si="118"/>
        <v>#DIV/0!</v>
      </c>
      <c r="W299" s="881">
        <f t="shared" si="110"/>
        <v>0</v>
      </c>
      <c r="X299" s="883"/>
      <c r="Y299" s="883"/>
      <c r="Z299" s="884">
        <f t="shared" si="111"/>
        <v>0</v>
      </c>
    </row>
    <row r="300" spans="1:26" ht="16.5" thickTop="1" thickBot="1" x14ac:dyDescent="0.3">
      <c r="A300" s="908">
        <v>1</v>
      </c>
      <c r="B300" s="909" t="s">
        <v>817</v>
      </c>
      <c r="C300" s="909" t="s">
        <v>734</v>
      </c>
      <c r="D300" s="909" t="s">
        <v>742</v>
      </c>
      <c r="E300" s="909" t="s">
        <v>742</v>
      </c>
      <c r="F300" s="909" t="s">
        <v>817</v>
      </c>
      <c r="G300" s="909"/>
      <c r="H300" s="909"/>
      <c r="I300" s="909"/>
      <c r="J300" s="909"/>
      <c r="K300" s="910" t="s">
        <v>1096</v>
      </c>
      <c r="L300" s="911"/>
      <c r="M300" s="911"/>
      <c r="N300" s="911"/>
      <c r="O300" s="904">
        <f>+L300+M300-N300</f>
        <v>0</v>
      </c>
      <c r="P300" s="911"/>
      <c r="Q300" s="911"/>
      <c r="R300" s="911"/>
      <c r="S300" s="911"/>
      <c r="T300" s="911"/>
      <c r="U300" s="911"/>
      <c r="V300" s="911" t="e">
        <f t="shared" si="118"/>
        <v>#DIV/0!</v>
      </c>
      <c r="W300" s="911">
        <f t="shared" si="110"/>
        <v>0</v>
      </c>
      <c r="X300" s="906"/>
      <c r="Y300" s="906"/>
      <c r="Z300" s="843">
        <f t="shared" si="111"/>
        <v>0</v>
      </c>
    </row>
    <row r="301" spans="1:26" ht="16.5" thickTop="1" thickBot="1" x14ac:dyDescent="0.3">
      <c r="A301" s="908">
        <v>1</v>
      </c>
      <c r="B301" s="909" t="s">
        <v>817</v>
      </c>
      <c r="C301" s="909" t="s">
        <v>734</v>
      </c>
      <c r="D301" s="909" t="s">
        <v>742</v>
      </c>
      <c r="E301" s="909" t="s">
        <v>742</v>
      </c>
      <c r="F301" s="909" t="s">
        <v>734</v>
      </c>
      <c r="G301" s="909"/>
      <c r="H301" s="909"/>
      <c r="I301" s="909"/>
      <c r="J301" s="909"/>
      <c r="K301" s="910" t="s">
        <v>1097</v>
      </c>
      <c r="L301" s="911"/>
      <c r="M301" s="911"/>
      <c r="N301" s="911"/>
      <c r="O301" s="904">
        <f>+L301+M301-N301</f>
        <v>0</v>
      </c>
      <c r="P301" s="911"/>
      <c r="Q301" s="911"/>
      <c r="R301" s="911"/>
      <c r="S301" s="911"/>
      <c r="T301" s="911"/>
      <c r="U301" s="911"/>
      <c r="V301" s="911" t="e">
        <f t="shared" si="118"/>
        <v>#DIV/0!</v>
      </c>
      <c r="W301" s="911">
        <f t="shared" si="110"/>
        <v>0</v>
      </c>
      <c r="X301" s="906"/>
      <c r="Y301" s="906"/>
      <c r="Z301" s="843">
        <f t="shared" si="111"/>
        <v>0</v>
      </c>
    </row>
    <row r="302" spans="1:26" ht="16.5" thickTop="1" thickBot="1" x14ac:dyDescent="0.3">
      <c r="A302" s="908">
        <v>1</v>
      </c>
      <c r="B302" s="909" t="s">
        <v>817</v>
      </c>
      <c r="C302" s="909" t="s">
        <v>734</v>
      </c>
      <c r="D302" s="909" t="s">
        <v>742</v>
      </c>
      <c r="E302" s="909" t="s">
        <v>742</v>
      </c>
      <c r="F302" s="909" t="s">
        <v>828</v>
      </c>
      <c r="G302" s="909"/>
      <c r="H302" s="909"/>
      <c r="I302" s="909"/>
      <c r="J302" s="909"/>
      <c r="K302" s="910" t="s">
        <v>1098</v>
      </c>
      <c r="L302" s="911"/>
      <c r="M302" s="911"/>
      <c r="N302" s="911"/>
      <c r="O302" s="904">
        <f>+L302+M302-N302</f>
        <v>0</v>
      </c>
      <c r="P302" s="911"/>
      <c r="Q302" s="911"/>
      <c r="R302" s="911"/>
      <c r="S302" s="911"/>
      <c r="T302" s="911"/>
      <c r="U302" s="911"/>
      <c r="V302" s="911" t="e">
        <f t="shared" si="118"/>
        <v>#DIV/0!</v>
      </c>
      <c r="W302" s="911">
        <f t="shared" si="110"/>
        <v>0</v>
      </c>
      <c r="X302" s="906"/>
      <c r="Y302" s="906"/>
      <c r="Z302" s="843">
        <f t="shared" si="111"/>
        <v>0</v>
      </c>
    </row>
    <row r="303" spans="1:26" ht="16.5" thickTop="1" thickBot="1" x14ac:dyDescent="0.3">
      <c r="A303" s="877">
        <v>1</v>
      </c>
      <c r="B303" s="878" t="s">
        <v>817</v>
      </c>
      <c r="C303" s="878" t="s">
        <v>734</v>
      </c>
      <c r="D303" s="878" t="s">
        <v>742</v>
      </c>
      <c r="E303" s="878" t="s">
        <v>758</v>
      </c>
      <c r="F303" s="878"/>
      <c r="G303" s="878"/>
      <c r="H303" s="879"/>
      <c r="I303" s="879"/>
      <c r="J303" s="879"/>
      <c r="K303" s="880" t="s">
        <v>1099</v>
      </c>
      <c r="L303" s="881">
        <f>SUM(L304:L306)</f>
        <v>0</v>
      </c>
      <c r="M303" s="881">
        <f t="shared" ref="M303:U303" si="120">SUM(M304:M306)</f>
        <v>0</v>
      </c>
      <c r="N303" s="881">
        <f t="shared" si="120"/>
        <v>0</v>
      </c>
      <c r="O303" s="881">
        <f t="shared" si="120"/>
        <v>0</v>
      </c>
      <c r="P303" s="881">
        <f t="shared" si="120"/>
        <v>0</v>
      </c>
      <c r="Q303" s="881">
        <f t="shared" si="120"/>
        <v>0</v>
      </c>
      <c r="R303" s="881">
        <f t="shared" si="120"/>
        <v>0</v>
      </c>
      <c r="S303" s="881">
        <f t="shared" si="120"/>
        <v>0</v>
      </c>
      <c r="T303" s="881">
        <f t="shared" si="120"/>
        <v>0</v>
      </c>
      <c r="U303" s="904">
        <f t="shared" si="120"/>
        <v>0</v>
      </c>
      <c r="V303" s="882" t="e">
        <f t="shared" si="118"/>
        <v>#DIV/0!</v>
      </c>
      <c r="W303" s="881">
        <f t="shared" si="110"/>
        <v>0</v>
      </c>
      <c r="X303" s="883"/>
      <c r="Y303" s="883"/>
      <c r="Z303" s="884">
        <f t="shared" si="111"/>
        <v>0</v>
      </c>
    </row>
    <row r="304" spans="1:26" ht="16.5" thickTop="1" thickBot="1" x14ac:dyDescent="0.3">
      <c r="A304" s="908">
        <v>1</v>
      </c>
      <c r="B304" s="909" t="s">
        <v>817</v>
      </c>
      <c r="C304" s="909" t="s">
        <v>734</v>
      </c>
      <c r="D304" s="909" t="s">
        <v>742</v>
      </c>
      <c r="E304" s="909" t="s">
        <v>758</v>
      </c>
      <c r="F304" s="909" t="s">
        <v>817</v>
      </c>
      <c r="G304" s="909"/>
      <c r="H304" s="909"/>
      <c r="I304" s="909"/>
      <c r="J304" s="909"/>
      <c r="K304" s="910" t="s">
        <v>1100</v>
      </c>
      <c r="L304" s="911"/>
      <c r="M304" s="911"/>
      <c r="N304" s="911"/>
      <c r="O304" s="904">
        <f>+L304+M304-N304</f>
        <v>0</v>
      </c>
      <c r="P304" s="911"/>
      <c r="Q304" s="911"/>
      <c r="R304" s="911"/>
      <c r="S304" s="911"/>
      <c r="T304" s="911"/>
      <c r="U304" s="911"/>
      <c r="V304" s="911" t="e">
        <f t="shared" si="118"/>
        <v>#DIV/0!</v>
      </c>
      <c r="W304" s="911">
        <f t="shared" si="110"/>
        <v>0</v>
      </c>
      <c r="X304" s="906"/>
      <c r="Y304" s="906"/>
      <c r="Z304" s="843">
        <f t="shared" si="111"/>
        <v>0</v>
      </c>
    </row>
    <row r="305" spans="1:26" ht="24" thickTop="1" thickBot="1" x14ac:dyDescent="0.3">
      <c r="A305" s="908">
        <v>1</v>
      </c>
      <c r="B305" s="909" t="s">
        <v>817</v>
      </c>
      <c r="C305" s="909" t="s">
        <v>734</v>
      </c>
      <c r="D305" s="909" t="s">
        <v>742</v>
      </c>
      <c r="E305" s="909" t="s">
        <v>758</v>
      </c>
      <c r="F305" s="909" t="s">
        <v>734</v>
      </c>
      <c r="G305" s="909"/>
      <c r="H305" s="909"/>
      <c r="I305" s="909"/>
      <c r="J305" s="909"/>
      <c r="K305" s="910" t="s">
        <v>1101</v>
      </c>
      <c r="L305" s="911"/>
      <c r="M305" s="911"/>
      <c r="N305" s="911"/>
      <c r="O305" s="904">
        <f>+L305+M305-N305</f>
        <v>0</v>
      </c>
      <c r="P305" s="911"/>
      <c r="Q305" s="911"/>
      <c r="R305" s="911"/>
      <c r="S305" s="911"/>
      <c r="T305" s="911"/>
      <c r="U305" s="911"/>
      <c r="V305" s="911" t="e">
        <f t="shared" si="118"/>
        <v>#DIV/0!</v>
      </c>
      <c r="W305" s="911">
        <f t="shared" si="110"/>
        <v>0</v>
      </c>
      <c r="X305" s="906"/>
      <c r="Y305" s="906"/>
      <c r="Z305" s="843">
        <f t="shared" si="111"/>
        <v>0</v>
      </c>
    </row>
    <row r="306" spans="1:26" ht="24" thickTop="1" thickBot="1" x14ac:dyDescent="0.3">
      <c r="A306" s="908">
        <v>1</v>
      </c>
      <c r="B306" s="909" t="s">
        <v>817</v>
      </c>
      <c r="C306" s="909" t="s">
        <v>734</v>
      </c>
      <c r="D306" s="909" t="s">
        <v>742</v>
      </c>
      <c r="E306" s="909" t="s">
        <v>758</v>
      </c>
      <c r="F306" s="909" t="s">
        <v>828</v>
      </c>
      <c r="G306" s="909"/>
      <c r="H306" s="909"/>
      <c r="I306" s="909"/>
      <c r="J306" s="909"/>
      <c r="K306" s="910" t="s">
        <v>1102</v>
      </c>
      <c r="L306" s="911"/>
      <c r="M306" s="911"/>
      <c r="N306" s="911"/>
      <c r="O306" s="904">
        <f>+L306+M306-N306</f>
        <v>0</v>
      </c>
      <c r="P306" s="911"/>
      <c r="Q306" s="911"/>
      <c r="R306" s="911"/>
      <c r="S306" s="911"/>
      <c r="T306" s="911"/>
      <c r="U306" s="911"/>
      <c r="V306" s="911" t="e">
        <f t="shared" si="118"/>
        <v>#DIV/0!</v>
      </c>
      <c r="W306" s="911">
        <f t="shared" si="110"/>
        <v>0</v>
      </c>
      <c r="X306" s="906"/>
      <c r="Y306" s="906"/>
      <c r="Z306" s="843">
        <f t="shared" si="111"/>
        <v>0</v>
      </c>
    </row>
    <row r="307" spans="1:26" ht="24" thickTop="1" thickBot="1" x14ac:dyDescent="0.3">
      <c r="A307" s="877">
        <v>1</v>
      </c>
      <c r="B307" s="878" t="s">
        <v>817</v>
      </c>
      <c r="C307" s="878" t="s">
        <v>734</v>
      </c>
      <c r="D307" s="878" t="s">
        <v>742</v>
      </c>
      <c r="E307" s="878" t="s">
        <v>841</v>
      </c>
      <c r="F307" s="878"/>
      <c r="G307" s="878"/>
      <c r="H307" s="879"/>
      <c r="I307" s="879"/>
      <c r="J307" s="879"/>
      <c r="K307" s="880" t="s">
        <v>1103</v>
      </c>
      <c r="L307" s="881">
        <f>SUM(L308:L310)</f>
        <v>0</v>
      </c>
      <c r="M307" s="881">
        <f t="shared" ref="M307:U307" si="121">SUM(M308:M310)</f>
        <v>0</v>
      </c>
      <c r="N307" s="881">
        <f t="shared" si="121"/>
        <v>0</v>
      </c>
      <c r="O307" s="881">
        <f t="shared" si="121"/>
        <v>0</v>
      </c>
      <c r="P307" s="881">
        <f t="shared" si="121"/>
        <v>0</v>
      </c>
      <c r="Q307" s="881">
        <f t="shared" si="121"/>
        <v>0</v>
      </c>
      <c r="R307" s="881">
        <f t="shared" si="121"/>
        <v>0</v>
      </c>
      <c r="S307" s="881">
        <f t="shared" si="121"/>
        <v>0</v>
      </c>
      <c r="T307" s="881">
        <f t="shared" si="121"/>
        <v>0</v>
      </c>
      <c r="U307" s="904">
        <f t="shared" si="121"/>
        <v>0</v>
      </c>
      <c r="V307" s="882" t="e">
        <f t="shared" si="118"/>
        <v>#DIV/0!</v>
      </c>
      <c r="W307" s="881">
        <f t="shared" si="110"/>
        <v>0</v>
      </c>
      <c r="X307" s="883"/>
      <c r="Y307" s="883"/>
      <c r="Z307" s="884">
        <f t="shared" si="111"/>
        <v>0</v>
      </c>
    </row>
    <row r="308" spans="1:26" ht="24" thickTop="1" thickBot="1" x14ac:dyDescent="0.3">
      <c r="A308" s="908">
        <v>1</v>
      </c>
      <c r="B308" s="909" t="s">
        <v>817</v>
      </c>
      <c r="C308" s="909" t="s">
        <v>734</v>
      </c>
      <c r="D308" s="909" t="s">
        <v>742</v>
      </c>
      <c r="E308" s="909" t="s">
        <v>841</v>
      </c>
      <c r="F308" s="909" t="s">
        <v>817</v>
      </c>
      <c r="G308" s="909"/>
      <c r="H308" s="909"/>
      <c r="I308" s="909"/>
      <c r="J308" s="909"/>
      <c r="K308" s="910" t="s">
        <v>1104</v>
      </c>
      <c r="L308" s="911"/>
      <c r="M308" s="911"/>
      <c r="N308" s="911"/>
      <c r="O308" s="904">
        <f>+L308+M308-N308</f>
        <v>0</v>
      </c>
      <c r="P308" s="911"/>
      <c r="Q308" s="911"/>
      <c r="R308" s="911"/>
      <c r="S308" s="911"/>
      <c r="T308" s="911"/>
      <c r="U308" s="911"/>
      <c r="V308" s="911" t="e">
        <f t="shared" si="118"/>
        <v>#DIV/0!</v>
      </c>
      <c r="W308" s="911">
        <f t="shared" si="110"/>
        <v>0</v>
      </c>
      <c r="X308" s="906"/>
      <c r="Y308" s="906"/>
      <c r="Z308" s="843">
        <f t="shared" si="111"/>
        <v>0</v>
      </c>
    </row>
    <row r="309" spans="1:26" ht="24" thickTop="1" thickBot="1" x14ac:dyDescent="0.3">
      <c r="A309" s="908">
        <v>1</v>
      </c>
      <c r="B309" s="909" t="s">
        <v>817</v>
      </c>
      <c r="C309" s="909" t="s">
        <v>734</v>
      </c>
      <c r="D309" s="909" t="s">
        <v>742</v>
      </c>
      <c r="E309" s="909" t="s">
        <v>841</v>
      </c>
      <c r="F309" s="909" t="s">
        <v>734</v>
      </c>
      <c r="G309" s="909"/>
      <c r="H309" s="909"/>
      <c r="I309" s="909"/>
      <c r="J309" s="909"/>
      <c r="K309" s="910" t="s">
        <v>1105</v>
      </c>
      <c r="L309" s="911"/>
      <c r="M309" s="911"/>
      <c r="N309" s="911"/>
      <c r="O309" s="904">
        <f>+L309+M309-N309</f>
        <v>0</v>
      </c>
      <c r="P309" s="911"/>
      <c r="Q309" s="911"/>
      <c r="R309" s="911"/>
      <c r="S309" s="911"/>
      <c r="T309" s="911"/>
      <c r="U309" s="911"/>
      <c r="V309" s="911" t="e">
        <f t="shared" si="118"/>
        <v>#DIV/0!</v>
      </c>
      <c r="W309" s="911">
        <f t="shared" si="110"/>
        <v>0</v>
      </c>
      <c r="X309" s="906"/>
      <c r="Y309" s="906"/>
      <c r="Z309" s="843">
        <f t="shared" si="111"/>
        <v>0</v>
      </c>
    </row>
    <row r="310" spans="1:26" ht="24" thickTop="1" thickBot="1" x14ac:dyDescent="0.3">
      <c r="A310" s="908">
        <v>1</v>
      </c>
      <c r="B310" s="909" t="s">
        <v>817</v>
      </c>
      <c r="C310" s="909" t="s">
        <v>734</v>
      </c>
      <c r="D310" s="909" t="s">
        <v>742</v>
      </c>
      <c r="E310" s="909" t="s">
        <v>841</v>
      </c>
      <c r="F310" s="909" t="s">
        <v>828</v>
      </c>
      <c r="G310" s="909"/>
      <c r="H310" s="909"/>
      <c r="I310" s="909"/>
      <c r="J310" s="909"/>
      <c r="K310" s="910" t="s">
        <v>1106</v>
      </c>
      <c r="L310" s="911"/>
      <c r="M310" s="911"/>
      <c r="N310" s="911"/>
      <c r="O310" s="904">
        <f>+L310+M310-N310</f>
        <v>0</v>
      </c>
      <c r="P310" s="911"/>
      <c r="Q310" s="911"/>
      <c r="R310" s="911"/>
      <c r="S310" s="911"/>
      <c r="T310" s="911"/>
      <c r="U310" s="911"/>
      <c r="V310" s="911" t="e">
        <f t="shared" si="118"/>
        <v>#DIV/0!</v>
      </c>
      <c r="W310" s="911">
        <f t="shared" si="110"/>
        <v>0</v>
      </c>
      <c r="X310" s="906"/>
      <c r="Y310" s="906"/>
      <c r="Z310" s="843">
        <f t="shared" si="111"/>
        <v>0</v>
      </c>
    </row>
    <row r="311" spans="1:26" ht="24" thickTop="1" thickBot="1" x14ac:dyDescent="0.3">
      <c r="A311" s="877">
        <v>1</v>
      </c>
      <c r="B311" s="878" t="s">
        <v>817</v>
      </c>
      <c r="C311" s="878" t="s">
        <v>734</v>
      </c>
      <c r="D311" s="878" t="s">
        <v>742</v>
      </c>
      <c r="E311" s="878" t="s">
        <v>955</v>
      </c>
      <c r="F311" s="878"/>
      <c r="G311" s="878"/>
      <c r="H311" s="879"/>
      <c r="I311" s="879"/>
      <c r="J311" s="879"/>
      <c r="K311" s="880" t="s">
        <v>1107</v>
      </c>
      <c r="L311" s="881">
        <f>SUM(L312:L314)</f>
        <v>0</v>
      </c>
      <c r="M311" s="881">
        <f t="shared" ref="M311:U311" si="122">SUM(M312:M314)</f>
        <v>0</v>
      </c>
      <c r="N311" s="881">
        <f t="shared" si="122"/>
        <v>0</v>
      </c>
      <c r="O311" s="881">
        <f t="shared" si="122"/>
        <v>0</v>
      </c>
      <c r="P311" s="881">
        <f t="shared" si="122"/>
        <v>0</v>
      </c>
      <c r="Q311" s="881">
        <f t="shared" si="122"/>
        <v>0</v>
      </c>
      <c r="R311" s="881">
        <f t="shared" si="122"/>
        <v>0</v>
      </c>
      <c r="S311" s="881">
        <f t="shared" si="122"/>
        <v>0</v>
      </c>
      <c r="T311" s="881">
        <f t="shared" si="122"/>
        <v>0</v>
      </c>
      <c r="U311" s="904">
        <f t="shared" si="122"/>
        <v>0</v>
      </c>
      <c r="V311" s="882" t="e">
        <f t="shared" si="118"/>
        <v>#DIV/0!</v>
      </c>
      <c r="W311" s="881">
        <f t="shared" si="110"/>
        <v>0</v>
      </c>
      <c r="X311" s="883"/>
      <c r="Y311" s="883"/>
      <c r="Z311" s="884">
        <f t="shared" si="111"/>
        <v>0</v>
      </c>
    </row>
    <row r="312" spans="1:26" ht="24" thickTop="1" thickBot="1" x14ac:dyDescent="0.3">
      <c r="A312" s="908">
        <v>1</v>
      </c>
      <c r="B312" s="909" t="s">
        <v>817</v>
      </c>
      <c r="C312" s="909" t="s">
        <v>734</v>
      </c>
      <c r="D312" s="909" t="s">
        <v>742</v>
      </c>
      <c r="E312" s="909" t="s">
        <v>955</v>
      </c>
      <c r="F312" s="909" t="s">
        <v>817</v>
      </c>
      <c r="G312" s="909"/>
      <c r="H312" s="909"/>
      <c r="I312" s="909"/>
      <c r="J312" s="909"/>
      <c r="K312" s="910" t="s">
        <v>1108</v>
      </c>
      <c r="L312" s="911"/>
      <c r="M312" s="911"/>
      <c r="N312" s="911"/>
      <c r="O312" s="904">
        <f>+L312+M312-N312</f>
        <v>0</v>
      </c>
      <c r="P312" s="911"/>
      <c r="Q312" s="911"/>
      <c r="R312" s="911"/>
      <c r="S312" s="911"/>
      <c r="T312" s="911"/>
      <c r="U312" s="911"/>
      <c r="V312" s="911" t="e">
        <f t="shared" si="118"/>
        <v>#DIV/0!</v>
      </c>
      <c r="W312" s="911">
        <f t="shared" si="110"/>
        <v>0</v>
      </c>
      <c r="X312" s="906"/>
      <c r="Y312" s="906"/>
      <c r="Z312" s="843">
        <f t="shared" si="111"/>
        <v>0</v>
      </c>
    </row>
    <row r="313" spans="1:26" ht="24" thickTop="1" thickBot="1" x14ac:dyDescent="0.3">
      <c r="A313" s="908">
        <v>1</v>
      </c>
      <c r="B313" s="909" t="s">
        <v>817</v>
      </c>
      <c r="C313" s="909" t="s">
        <v>734</v>
      </c>
      <c r="D313" s="909" t="s">
        <v>742</v>
      </c>
      <c r="E313" s="909" t="s">
        <v>955</v>
      </c>
      <c r="F313" s="909" t="s">
        <v>734</v>
      </c>
      <c r="G313" s="909"/>
      <c r="H313" s="909"/>
      <c r="I313" s="909"/>
      <c r="J313" s="909"/>
      <c r="K313" s="910" t="s">
        <v>1109</v>
      </c>
      <c r="L313" s="911"/>
      <c r="M313" s="911"/>
      <c r="N313" s="911"/>
      <c r="O313" s="904">
        <f>+L313+M313-N313</f>
        <v>0</v>
      </c>
      <c r="P313" s="911"/>
      <c r="Q313" s="911"/>
      <c r="R313" s="911"/>
      <c r="S313" s="911"/>
      <c r="T313" s="911"/>
      <c r="U313" s="911"/>
      <c r="V313" s="911" t="e">
        <f t="shared" si="118"/>
        <v>#DIV/0!</v>
      </c>
      <c r="W313" s="911">
        <f t="shared" si="110"/>
        <v>0</v>
      </c>
      <c r="X313" s="906"/>
      <c r="Y313" s="906"/>
      <c r="Z313" s="843">
        <f t="shared" si="111"/>
        <v>0</v>
      </c>
    </row>
    <row r="314" spans="1:26" ht="24" thickTop="1" thickBot="1" x14ac:dyDescent="0.3">
      <c r="A314" s="908">
        <v>1</v>
      </c>
      <c r="B314" s="909" t="s">
        <v>817</v>
      </c>
      <c r="C314" s="909" t="s">
        <v>734</v>
      </c>
      <c r="D314" s="909" t="s">
        <v>742</v>
      </c>
      <c r="E314" s="909" t="s">
        <v>955</v>
      </c>
      <c r="F314" s="909" t="s">
        <v>828</v>
      </c>
      <c r="G314" s="909"/>
      <c r="H314" s="909"/>
      <c r="I314" s="909"/>
      <c r="J314" s="909"/>
      <c r="K314" s="910" t="s">
        <v>1110</v>
      </c>
      <c r="L314" s="911"/>
      <c r="M314" s="911"/>
      <c r="N314" s="911"/>
      <c r="O314" s="904">
        <f>+L314+M314-N314</f>
        <v>0</v>
      </c>
      <c r="P314" s="911"/>
      <c r="Q314" s="911"/>
      <c r="R314" s="911"/>
      <c r="S314" s="911"/>
      <c r="T314" s="911"/>
      <c r="U314" s="911"/>
      <c r="V314" s="911" t="e">
        <f t="shared" si="118"/>
        <v>#DIV/0!</v>
      </c>
      <c r="W314" s="911">
        <f t="shared" si="110"/>
        <v>0</v>
      </c>
      <c r="X314" s="906"/>
      <c r="Y314" s="906"/>
      <c r="Z314" s="843">
        <f t="shared" si="111"/>
        <v>0</v>
      </c>
    </row>
    <row r="315" spans="1:26" ht="16.5" thickTop="1" thickBot="1" x14ac:dyDescent="0.3">
      <c r="A315" s="869">
        <v>1</v>
      </c>
      <c r="B315" s="870" t="s">
        <v>817</v>
      </c>
      <c r="C315" s="870" t="s">
        <v>734</v>
      </c>
      <c r="D315" s="870" t="s">
        <v>841</v>
      </c>
      <c r="E315" s="870"/>
      <c r="F315" s="870"/>
      <c r="G315" s="870"/>
      <c r="H315" s="871"/>
      <c r="I315" s="871"/>
      <c r="J315" s="871"/>
      <c r="K315" s="872" t="s">
        <v>1111</v>
      </c>
      <c r="L315" s="904">
        <f>+L316+L317+L348+L349+L350+L351</f>
        <v>0</v>
      </c>
      <c r="M315" s="904">
        <f t="shared" ref="M315:S315" si="123">+M316+M317+M348+M349+M350+M351</f>
        <v>0</v>
      </c>
      <c r="N315" s="904">
        <f t="shared" si="123"/>
        <v>0</v>
      </c>
      <c r="O315" s="904">
        <f t="shared" si="123"/>
        <v>0</v>
      </c>
      <c r="P315" s="904">
        <f t="shared" si="123"/>
        <v>0</v>
      </c>
      <c r="Q315" s="904">
        <f t="shared" si="123"/>
        <v>0</v>
      </c>
      <c r="R315" s="904">
        <f t="shared" si="123"/>
        <v>0</v>
      </c>
      <c r="S315" s="904">
        <f t="shared" si="123"/>
        <v>0</v>
      </c>
      <c r="T315" s="904">
        <f>+T316+T317+T348+T349+T350+T351</f>
        <v>199430692.62</v>
      </c>
      <c r="U315" s="904">
        <f>+U316+U317+U348+U349+U350+U351</f>
        <v>199430692.62</v>
      </c>
      <c r="V315" s="905">
        <f t="shared" si="118"/>
        <v>1</v>
      </c>
      <c r="W315" s="904"/>
      <c r="X315" s="875"/>
      <c r="Y315" s="875"/>
      <c r="Z315" s="876"/>
    </row>
    <row r="316" spans="1:26" ht="16.5" thickTop="1" thickBot="1" x14ac:dyDescent="0.3">
      <c r="A316" s="877">
        <v>1</v>
      </c>
      <c r="B316" s="878" t="s">
        <v>817</v>
      </c>
      <c r="C316" s="878" t="s">
        <v>734</v>
      </c>
      <c r="D316" s="878" t="s">
        <v>841</v>
      </c>
      <c r="E316" s="878" t="s">
        <v>735</v>
      </c>
      <c r="F316" s="878"/>
      <c r="G316" s="878"/>
      <c r="H316" s="879"/>
      <c r="I316" s="879"/>
      <c r="J316" s="879"/>
      <c r="K316" s="880" t="s">
        <v>1112</v>
      </c>
      <c r="L316" s="881"/>
      <c r="M316" s="881"/>
      <c r="N316" s="881"/>
      <c r="O316" s="881">
        <f>+L316+M316-N316</f>
        <v>0</v>
      </c>
      <c r="P316" s="881"/>
      <c r="Q316" s="881"/>
      <c r="R316" s="881"/>
      <c r="S316" s="881"/>
      <c r="T316" s="881"/>
      <c r="U316" s="904"/>
      <c r="V316" s="882" t="e">
        <f t="shared" si="118"/>
        <v>#DIV/0!</v>
      </c>
      <c r="W316" s="881">
        <f t="shared" si="110"/>
        <v>0</v>
      </c>
      <c r="X316" s="883"/>
      <c r="Y316" s="883"/>
      <c r="Z316" s="884">
        <f t="shared" si="111"/>
        <v>0</v>
      </c>
    </row>
    <row r="317" spans="1:26" ht="16.5" thickTop="1" thickBot="1" x14ac:dyDescent="0.3">
      <c r="A317" s="877">
        <v>1</v>
      </c>
      <c r="B317" s="878" t="s">
        <v>817</v>
      </c>
      <c r="C317" s="878" t="s">
        <v>734</v>
      </c>
      <c r="D317" s="878" t="s">
        <v>841</v>
      </c>
      <c r="E317" s="878" t="s">
        <v>738</v>
      </c>
      <c r="F317" s="878"/>
      <c r="G317" s="878"/>
      <c r="H317" s="879"/>
      <c r="I317" s="879"/>
      <c r="J317" s="879"/>
      <c r="K317" s="880" t="s">
        <v>1113</v>
      </c>
      <c r="L317" s="904">
        <v>0</v>
      </c>
      <c r="M317" s="904">
        <f t="shared" ref="M317:N317" si="124">SUM(M318:M347)</f>
        <v>0</v>
      </c>
      <c r="N317" s="904">
        <f t="shared" si="124"/>
        <v>0</v>
      </c>
      <c r="O317" s="904">
        <f>L317</f>
        <v>0</v>
      </c>
      <c r="P317" s="904">
        <v>0</v>
      </c>
      <c r="Q317" s="904">
        <v>0</v>
      </c>
      <c r="R317" s="904">
        <v>0</v>
      </c>
      <c r="S317" s="904">
        <v>0</v>
      </c>
      <c r="T317" s="904">
        <v>199430692.62</v>
      </c>
      <c r="U317" s="904">
        <v>199430692.62</v>
      </c>
      <c r="V317" s="905">
        <f>U317/T317</f>
        <v>1</v>
      </c>
      <c r="W317" s="904"/>
      <c r="X317" s="883"/>
      <c r="Y317" s="883"/>
      <c r="Z317" s="884"/>
    </row>
    <row r="318" spans="1:26" ht="16.5" thickTop="1" thickBot="1" x14ac:dyDescent="0.3">
      <c r="A318" s="908">
        <v>1</v>
      </c>
      <c r="B318" s="909" t="s">
        <v>817</v>
      </c>
      <c r="C318" s="909" t="s">
        <v>734</v>
      </c>
      <c r="D318" s="909" t="s">
        <v>841</v>
      </c>
      <c r="E318" s="909" t="s">
        <v>738</v>
      </c>
      <c r="F318" s="909" t="s">
        <v>735</v>
      </c>
      <c r="G318" s="909"/>
      <c r="H318" s="909"/>
      <c r="I318" s="909"/>
      <c r="J318" s="909"/>
      <c r="K318" s="910" t="s">
        <v>1114</v>
      </c>
      <c r="L318" s="911"/>
      <c r="M318" s="911"/>
      <c r="N318" s="911"/>
      <c r="O318" s="904">
        <f t="shared" ref="O318:O351" si="125">+L318+M318-N318</f>
        <v>0</v>
      </c>
      <c r="P318" s="911"/>
      <c r="Q318" s="911"/>
      <c r="R318" s="911"/>
      <c r="S318" s="911"/>
      <c r="T318" s="911"/>
      <c r="U318" s="911"/>
      <c r="V318" s="911" t="e">
        <f t="shared" si="118"/>
        <v>#DIV/0!</v>
      </c>
      <c r="W318" s="911">
        <f t="shared" si="110"/>
        <v>0</v>
      </c>
      <c r="X318" s="906"/>
      <c r="Y318" s="906"/>
      <c r="Z318" s="843">
        <f t="shared" si="111"/>
        <v>0</v>
      </c>
    </row>
    <row r="319" spans="1:26" ht="16.5" thickTop="1" thickBot="1" x14ac:dyDescent="0.3">
      <c r="A319" s="908">
        <v>1</v>
      </c>
      <c r="B319" s="909" t="s">
        <v>817</v>
      </c>
      <c r="C319" s="909" t="s">
        <v>734</v>
      </c>
      <c r="D319" s="909" t="s">
        <v>841</v>
      </c>
      <c r="E319" s="909" t="s">
        <v>738</v>
      </c>
      <c r="F319" s="909" t="s">
        <v>738</v>
      </c>
      <c r="G319" s="909"/>
      <c r="H319" s="909"/>
      <c r="I319" s="909"/>
      <c r="J319" s="909"/>
      <c r="K319" s="910" t="s">
        <v>1115</v>
      </c>
      <c r="L319" s="911"/>
      <c r="M319" s="911"/>
      <c r="N319" s="911"/>
      <c r="O319" s="904">
        <f t="shared" si="125"/>
        <v>0</v>
      </c>
      <c r="P319" s="911"/>
      <c r="Q319" s="911"/>
      <c r="R319" s="911"/>
      <c r="S319" s="911"/>
      <c r="T319" s="911"/>
      <c r="U319" s="911"/>
      <c r="V319" s="911" t="e">
        <f t="shared" si="118"/>
        <v>#DIV/0!</v>
      </c>
      <c r="W319" s="911">
        <f t="shared" si="110"/>
        <v>0</v>
      </c>
      <c r="X319" s="906"/>
      <c r="Y319" s="906"/>
      <c r="Z319" s="843">
        <f t="shared" si="111"/>
        <v>0</v>
      </c>
    </row>
    <row r="320" spans="1:26" ht="16.5" thickTop="1" thickBot="1" x14ac:dyDescent="0.3">
      <c r="A320" s="908">
        <v>1</v>
      </c>
      <c r="B320" s="909" t="s">
        <v>817</v>
      </c>
      <c r="C320" s="909" t="s">
        <v>734</v>
      </c>
      <c r="D320" s="909" t="s">
        <v>841</v>
      </c>
      <c r="E320" s="909" t="s">
        <v>738</v>
      </c>
      <c r="F320" s="909" t="s">
        <v>742</v>
      </c>
      <c r="G320" s="909"/>
      <c r="H320" s="909"/>
      <c r="I320" s="909"/>
      <c r="J320" s="909"/>
      <c r="K320" s="910" t="s">
        <v>1116</v>
      </c>
      <c r="L320" s="911"/>
      <c r="M320" s="911"/>
      <c r="N320" s="911"/>
      <c r="O320" s="904">
        <f t="shared" si="125"/>
        <v>0</v>
      </c>
      <c r="P320" s="911"/>
      <c r="Q320" s="911"/>
      <c r="R320" s="911"/>
      <c r="S320" s="911"/>
      <c r="T320" s="911"/>
      <c r="U320" s="911"/>
      <c r="V320" s="911" t="e">
        <f t="shared" si="118"/>
        <v>#DIV/0!</v>
      </c>
      <c r="W320" s="911">
        <f t="shared" si="110"/>
        <v>0</v>
      </c>
      <c r="X320" s="906"/>
      <c r="Y320" s="906"/>
      <c r="Z320" s="843">
        <f t="shared" si="111"/>
        <v>0</v>
      </c>
    </row>
    <row r="321" spans="1:26" ht="24" thickTop="1" thickBot="1" x14ac:dyDescent="0.3">
      <c r="A321" s="908">
        <v>1</v>
      </c>
      <c r="B321" s="909" t="s">
        <v>817</v>
      </c>
      <c r="C321" s="909" t="s">
        <v>734</v>
      </c>
      <c r="D321" s="909" t="s">
        <v>841</v>
      </c>
      <c r="E321" s="909" t="s">
        <v>738</v>
      </c>
      <c r="F321" s="909" t="s">
        <v>758</v>
      </c>
      <c r="G321" s="909"/>
      <c r="H321" s="909"/>
      <c r="I321" s="909"/>
      <c r="J321" s="909"/>
      <c r="K321" s="910" t="s">
        <v>1117</v>
      </c>
      <c r="L321" s="911"/>
      <c r="M321" s="911"/>
      <c r="N321" s="911"/>
      <c r="O321" s="904">
        <f t="shared" si="125"/>
        <v>0</v>
      </c>
      <c r="P321" s="911"/>
      <c r="Q321" s="911"/>
      <c r="R321" s="911"/>
      <c r="S321" s="911"/>
      <c r="T321" s="911"/>
      <c r="U321" s="911"/>
      <c r="V321" s="911" t="e">
        <f t="shared" si="118"/>
        <v>#DIV/0!</v>
      </c>
      <c r="W321" s="911">
        <f t="shared" si="110"/>
        <v>0</v>
      </c>
      <c r="X321" s="906"/>
      <c r="Y321" s="906"/>
      <c r="Z321" s="843">
        <f t="shared" si="111"/>
        <v>0</v>
      </c>
    </row>
    <row r="322" spans="1:26" ht="24" thickTop="1" thickBot="1" x14ac:dyDescent="0.3">
      <c r="A322" s="908">
        <v>1</v>
      </c>
      <c r="B322" s="909" t="s">
        <v>817</v>
      </c>
      <c r="C322" s="909" t="s">
        <v>734</v>
      </c>
      <c r="D322" s="909" t="s">
        <v>841</v>
      </c>
      <c r="E322" s="909" t="s">
        <v>738</v>
      </c>
      <c r="F322" s="909" t="s">
        <v>841</v>
      </c>
      <c r="G322" s="909"/>
      <c r="H322" s="909"/>
      <c r="I322" s="909"/>
      <c r="J322" s="909"/>
      <c r="K322" s="910" t="s">
        <v>1118</v>
      </c>
      <c r="L322" s="911"/>
      <c r="M322" s="911"/>
      <c r="N322" s="911"/>
      <c r="O322" s="904">
        <f t="shared" si="125"/>
        <v>0</v>
      </c>
      <c r="P322" s="911"/>
      <c r="Q322" s="911"/>
      <c r="R322" s="911"/>
      <c r="S322" s="911"/>
      <c r="T322" s="911"/>
      <c r="U322" s="911"/>
      <c r="V322" s="911" t="e">
        <f t="shared" si="118"/>
        <v>#DIV/0!</v>
      </c>
      <c r="W322" s="911">
        <f t="shared" si="110"/>
        <v>0</v>
      </c>
      <c r="X322" s="906"/>
      <c r="Y322" s="906"/>
      <c r="Z322" s="843">
        <f t="shared" si="111"/>
        <v>0</v>
      </c>
    </row>
    <row r="323" spans="1:26" ht="16.5" thickTop="1" thickBot="1" x14ac:dyDescent="0.3">
      <c r="A323" s="908">
        <v>1</v>
      </c>
      <c r="B323" s="909" t="s">
        <v>817</v>
      </c>
      <c r="C323" s="909" t="s">
        <v>734</v>
      </c>
      <c r="D323" s="909" t="s">
        <v>841</v>
      </c>
      <c r="E323" s="909" t="s">
        <v>738</v>
      </c>
      <c r="F323" s="909" t="s">
        <v>955</v>
      </c>
      <c r="G323" s="909"/>
      <c r="H323" s="909"/>
      <c r="I323" s="909"/>
      <c r="J323" s="909"/>
      <c r="K323" s="910" t="s">
        <v>1119</v>
      </c>
      <c r="L323" s="911"/>
      <c r="M323" s="911"/>
      <c r="N323" s="911"/>
      <c r="O323" s="904">
        <f t="shared" si="125"/>
        <v>0</v>
      </c>
      <c r="P323" s="911"/>
      <c r="Q323" s="911"/>
      <c r="R323" s="911"/>
      <c r="S323" s="911"/>
      <c r="T323" s="911"/>
      <c r="U323" s="911"/>
      <c r="V323" s="911" t="e">
        <f t="shared" si="118"/>
        <v>#DIV/0!</v>
      </c>
      <c r="W323" s="911">
        <f t="shared" si="110"/>
        <v>0</v>
      </c>
      <c r="X323" s="906"/>
      <c r="Y323" s="906"/>
      <c r="Z323" s="843">
        <f t="shared" si="111"/>
        <v>0</v>
      </c>
    </row>
    <row r="324" spans="1:26" ht="16.5" thickTop="1" thickBot="1" x14ac:dyDescent="0.3">
      <c r="A324" s="908">
        <v>1</v>
      </c>
      <c r="B324" s="909" t="s">
        <v>817</v>
      </c>
      <c r="C324" s="909" t="s">
        <v>734</v>
      </c>
      <c r="D324" s="909" t="s">
        <v>841</v>
      </c>
      <c r="E324" s="909" t="s">
        <v>738</v>
      </c>
      <c r="F324" s="909" t="s">
        <v>960</v>
      </c>
      <c r="G324" s="909"/>
      <c r="H324" s="909"/>
      <c r="I324" s="909"/>
      <c r="J324" s="909"/>
      <c r="K324" s="910" t="s">
        <v>1120</v>
      </c>
      <c r="L324" s="911"/>
      <c r="M324" s="911"/>
      <c r="N324" s="911"/>
      <c r="O324" s="904">
        <f t="shared" si="125"/>
        <v>0</v>
      </c>
      <c r="P324" s="911"/>
      <c r="Q324" s="911"/>
      <c r="R324" s="911"/>
      <c r="S324" s="911"/>
      <c r="T324" s="911"/>
      <c r="U324" s="911"/>
      <c r="V324" s="911" t="e">
        <f t="shared" si="118"/>
        <v>#DIV/0!</v>
      </c>
      <c r="W324" s="911">
        <f t="shared" si="110"/>
        <v>0</v>
      </c>
      <c r="X324" s="906"/>
      <c r="Y324" s="906"/>
      <c r="Z324" s="843">
        <f t="shared" si="111"/>
        <v>0</v>
      </c>
    </row>
    <row r="325" spans="1:26" ht="24" thickTop="1" thickBot="1" x14ac:dyDescent="0.3">
      <c r="A325" s="908">
        <v>1</v>
      </c>
      <c r="B325" s="909" t="s">
        <v>817</v>
      </c>
      <c r="C325" s="909" t="s">
        <v>734</v>
      </c>
      <c r="D325" s="909" t="s">
        <v>841</v>
      </c>
      <c r="E325" s="909" t="s">
        <v>738</v>
      </c>
      <c r="F325" s="909" t="s">
        <v>965</v>
      </c>
      <c r="G325" s="909"/>
      <c r="H325" s="909"/>
      <c r="I325" s="909"/>
      <c r="J325" s="909"/>
      <c r="K325" s="910" t="s">
        <v>1121</v>
      </c>
      <c r="L325" s="911"/>
      <c r="M325" s="911"/>
      <c r="N325" s="911"/>
      <c r="O325" s="904">
        <f t="shared" si="125"/>
        <v>0</v>
      </c>
      <c r="P325" s="911"/>
      <c r="Q325" s="911"/>
      <c r="R325" s="911"/>
      <c r="S325" s="911"/>
      <c r="T325" s="911"/>
      <c r="U325" s="911"/>
      <c r="V325" s="911" t="e">
        <f t="shared" si="118"/>
        <v>#DIV/0!</v>
      </c>
      <c r="W325" s="911">
        <f t="shared" si="110"/>
        <v>0</v>
      </c>
      <c r="X325" s="906"/>
      <c r="Y325" s="906"/>
      <c r="Z325" s="843">
        <f t="shared" si="111"/>
        <v>0</v>
      </c>
    </row>
    <row r="326" spans="1:26" ht="16.5" thickTop="1" thickBot="1" x14ac:dyDescent="0.3">
      <c r="A326" s="908">
        <v>1</v>
      </c>
      <c r="B326" s="909" t="s">
        <v>817</v>
      </c>
      <c r="C326" s="909" t="s">
        <v>734</v>
      </c>
      <c r="D326" s="909" t="s">
        <v>841</v>
      </c>
      <c r="E326" s="909" t="s">
        <v>738</v>
      </c>
      <c r="F326" s="909" t="s">
        <v>970</v>
      </c>
      <c r="G326" s="909"/>
      <c r="H326" s="909"/>
      <c r="I326" s="909"/>
      <c r="J326" s="909"/>
      <c r="K326" s="910" t="s">
        <v>1122</v>
      </c>
      <c r="L326" s="911"/>
      <c r="M326" s="911"/>
      <c r="N326" s="911"/>
      <c r="O326" s="904">
        <f t="shared" si="125"/>
        <v>0</v>
      </c>
      <c r="P326" s="911"/>
      <c r="Q326" s="911"/>
      <c r="R326" s="911"/>
      <c r="S326" s="911"/>
      <c r="T326" s="911"/>
      <c r="U326" s="911"/>
      <c r="V326" s="911" t="e">
        <f t="shared" si="118"/>
        <v>#DIV/0!</v>
      </c>
      <c r="W326" s="911">
        <f t="shared" si="110"/>
        <v>0</v>
      </c>
      <c r="X326" s="906"/>
      <c r="Y326" s="906"/>
      <c r="Z326" s="843">
        <f t="shared" si="111"/>
        <v>0</v>
      </c>
    </row>
    <row r="327" spans="1:26" ht="16.5" thickTop="1" thickBot="1" x14ac:dyDescent="0.3">
      <c r="A327" s="908">
        <v>1</v>
      </c>
      <c r="B327" s="909" t="s">
        <v>817</v>
      </c>
      <c r="C327" s="909" t="s">
        <v>734</v>
      </c>
      <c r="D327" s="909" t="s">
        <v>841</v>
      </c>
      <c r="E327" s="909" t="s">
        <v>738</v>
      </c>
      <c r="F327" s="909" t="s">
        <v>975</v>
      </c>
      <c r="G327" s="909"/>
      <c r="H327" s="909"/>
      <c r="I327" s="909"/>
      <c r="J327" s="909"/>
      <c r="K327" s="910" t="s">
        <v>1123</v>
      </c>
      <c r="L327" s="911"/>
      <c r="M327" s="911"/>
      <c r="N327" s="911"/>
      <c r="O327" s="904">
        <f t="shared" si="125"/>
        <v>0</v>
      </c>
      <c r="P327" s="911"/>
      <c r="Q327" s="911"/>
      <c r="R327" s="911"/>
      <c r="S327" s="911"/>
      <c r="T327" s="911"/>
      <c r="U327" s="911"/>
      <c r="V327" s="911" t="e">
        <f t="shared" si="118"/>
        <v>#DIV/0!</v>
      </c>
      <c r="W327" s="911">
        <f t="shared" si="110"/>
        <v>0</v>
      </c>
      <c r="X327" s="906"/>
      <c r="Y327" s="906"/>
      <c r="Z327" s="843">
        <f t="shared" si="111"/>
        <v>0</v>
      </c>
    </row>
    <row r="328" spans="1:26" ht="16.5" thickTop="1" thickBot="1" x14ac:dyDescent="0.3">
      <c r="A328" s="908">
        <v>1</v>
      </c>
      <c r="B328" s="909" t="s">
        <v>817</v>
      </c>
      <c r="C328" s="909" t="s">
        <v>734</v>
      </c>
      <c r="D328" s="909" t="s">
        <v>841</v>
      </c>
      <c r="E328" s="909" t="s">
        <v>738</v>
      </c>
      <c r="F328" s="909" t="s">
        <v>1124</v>
      </c>
      <c r="G328" s="909"/>
      <c r="H328" s="909"/>
      <c r="I328" s="909"/>
      <c r="J328" s="909"/>
      <c r="K328" s="910" t="s">
        <v>1125</v>
      </c>
      <c r="L328" s="911"/>
      <c r="M328" s="911"/>
      <c r="N328" s="911"/>
      <c r="O328" s="904">
        <f t="shared" si="125"/>
        <v>0</v>
      </c>
      <c r="P328" s="911"/>
      <c r="Q328" s="911"/>
      <c r="R328" s="911"/>
      <c r="S328" s="911"/>
      <c r="T328" s="911"/>
      <c r="U328" s="911"/>
      <c r="V328" s="911" t="e">
        <f t="shared" si="118"/>
        <v>#DIV/0!</v>
      </c>
      <c r="W328" s="911">
        <f t="shared" si="110"/>
        <v>0</v>
      </c>
      <c r="X328" s="906"/>
      <c r="Y328" s="906"/>
      <c r="Z328" s="843">
        <f t="shared" si="111"/>
        <v>0</v>
      </c>
    </row>
    <row r="329" spans="1:26" ht="24" thickTop="1" thickBot="1" x14ac:dyDescent="0.3">
      <c r="A329" s="908">
        <v>1</v>
      </c>
      <c r="B329" s="909" t="s">
        <v>817</v>
      </c>
      <c r="C329" s="909" t="s">
        <v>734</v>
      </c>
      <c r="D329" s="909" t="s">
        <v>841</v>
      </c>
      <c r="E329" s="909" t="s">
        <v>738</v>
      </c>
      <c r="F329" s="909" t="s">
        <v>1126</v>
      </c>
      <c r="G329" s="909"/>
      <c r="H329" s="909"/>
      <c r="I329" s="909"/>
      <c r="J329" s="909"/>
      <c r="K329" s="910" t="s">
        <v>1127</v>
      </c>
      <c r="L329" s="911"/>
      <c r="M329" s="911"/>
      <c r="N329" s="911"/>
      <c r="O329" s="904">
        <f t="shared" si="125"/>
        <v>0</v>
      </c>
      <c r="P329" s="911"/>
      <c r="Q329" s="911"/>
      <c r="R329" s="911"/>
      <c r="S329" s="911"/>
      <c r="T329" s="911"/>
      <c r="U329" s="911"/>
      <c r="V329" s="911" t="e">
        <f t="shared" si="118"/>
        <v>#DIV/0!</v>
      </c>
      <c r="W329" s="911">
        <f t="shared" si="110"/>
        <v>0</v>
      </c>
      <c r="X329" s="906"/>
      <c r="Y329" s="906"/>
      <c r="Z329" s="843">
        <f t="shared" si="111"/>
        <v>0</v>
      </c>
    </row>
    <row r="330" spans="1:26" ht="16.5" thickTop="1" thickBot="1" x14ac:dyDescent="0.3">
      <c r="A330" s="908">
        <v>1</v>
      </c>
      <c r="B330" s="909" t="s">
        <v>817</v>
      </c>
      <c r="C330" s="909" t="s">
        <v>734</v>
      </c>
      <c r="D330" s="909" t="s">
        <v>841</v>
      </c>
      <c r="E330" s="909" t="s">
        <v>738</v>
      </c>
      <c r="F330" s="909" t="s">
        <v>917</v>
      </c>
      <c r="G330" s="909"/>
      <c r="H330" s="909"/>
      <c r="I330" s="909"/>
      <c r="J330" s="909"/>
      <c r="K330" s="910" t="s">
        <v>1128</v>
      </c>
      <c r="L330" s="911"/>
      <c r="M330" s="911"/>
      <c r="N330" s="911"/>
      <c r="O330" s="904">
        <f t="shared" si="125"/>
        <v>0</v>
      </c>
      <c r="P330" s="911"/>
      <c r="Q330" s="911"/>
      <c r="R330" s="911"/>
      <c r="S330" s="911"/>
      <c r="T330" s="911"/>
      <c r="U330" s="911"/>
      <c r="V330" s="911" t="e">
        <f t="shared" si="118"/>
        <v>#DIV/0!</v>
      </c>
      <c r="W330" s="911">
        <f t="shared" si="110"/>
        <v>0</v>
      </c>
      <c r="X330" s="906"/>
      <c r="Y330" s="906"/>
      <c r="Z330" s="843">
        <f t="shared" si="111"/>
        <v>0</v>
      </c>
    </row>
    <row r="331" spans="1:26" ht="35.25" thickTop="1" thickBot="1" x14ac:dyDescent="0.3">
      <c r="A331" s="908">
        <v>1</v>
      </c>
      <c r="B331" s="909" t="s">
        <v>817</v>
      </c>
      <c r="C331" s="909" t="s">
        <v>734</v>
      </c>
      <c r="D331" s="909" t="s">
        <v>841</v>
      </c>
      <c r="E331" s="909" t="s">
        <v>738</v>
      </c>
      <c r="F331" s="909" t="s">
        <v>988</v>
      </c>
      <c r="G331" s="909"/>
      <c r="H331" s="909"/>
      <c r="I331" s="909"/>
      <c r="J331" s="909"/>
      <c r="K331" s="910" t="s">
        <v>1129</v>
      </c>
      <c r="L331" s="911"/>
      <c r="M331" s="911"/>
      <c r="N331" s="911"/>
      <c r="O331" s="904">
        <f t="shared" si="125"/>
        <v>0</v>
      </c>
      <c r="P331" s="911"/>
      <c r="Q331" s="911"/>
      <c r="R331" s="911"/>
      <c r="S331" s="911"/>
      <c r="T331" s="911"/>
      <c r="U331" s="911"/>
      <c r="V331" s="911" t="e">
        <f t="shared" si="118"/>
        <v>#DIV/0!</v>
      </c>
      <c r="W331" s="911">
        <f t="shared" si="110"/>
        <v>0</v>
      </c>
      <c r="X331" s="906"/>
      <c r="Y331" s="906"/>
      <c r="Z331" s="843">
        <f t="shared" si="111"/>
        <v>0</v>
      </c>
    </row>
    <row r="332" spans="1:26" ht="16.5" thickTop="1" thickBot="1" x14ac:dyDescent="0.3">
      <c r="A332" s="908">
        <v>1</v>
      </c>
      <c r="B332" s="909" t="s">
        <v>817</v>
      </c>
      <c r="C332" s="909" t="s">
        <v>734</v>
      </c>
      <c r="D332" s="909" t="s">
        <v>841</v>
      </c>
      <c r="E332" s="909" t="s">
        <v>738</v>
      </c>
      <c r="F332" s="909" t="s">
        <v>1130</v>
      </c>
      <c r="G332" s="909"/>
      <c r="H332" s="909"/>
      <c r="I332" s="909"/>
      <c r="J332" s="909"/>
      <c r="K332" s="910" t="s">
        <v>1131</v>
      </c>
      <c r="L332" s="911"/>
      <c r="M332" s="911"/>
      <c r="N332" s="911"/>
      <c r="O332" s="904">
        <f t="shared" si="125"/>
        <v>0</v>
      </c>
      <c r="P332" s="911"/>
      <c r="Q332" s="911"/>
      <c r="R332" s="911"/>
      <c r="S332" s="911"/>
      <c r="T332" s="911"/>
      <c r="U332" s="911"/>
      <c r="V332" s="911" t="e">
        <f t="shared" si="118"/>
        <v>#DIV/0!</v>
      </c>
      <c r="W332" s="911">
        <f t="shared" si="110"/>
        <v>0</v>
      </c>
      <c r="X332" s="906"/>
      <c r="Y332" s="906"/>
      <c r="Z332" s="843">
        <f t="shared" si="111"/>
        <v>0</v>
      </c>
    </row>
    <row r="333" spans="1:26" ht="16.5" thickTop="1" thickBot="1" x14ac:dyDescent="0.3">
      <c r="A333" s="908">
        <v>1</v>
      </c>
      <c r="B333" s="909" t="s">
        <v>817</v>
      </c>
      <c r="C333" s="909" t="s">
        <v>734</v>
      </c>
      <c r="D333" s="909" t="s">
        <v>841</v>
      </c>
      <c r="E333" s="909" t="s">
        <v>738</v>
      </c>
      <c r="F333" s="909" t="s">
        <v>1132</v>
      </c>
      <c r="G333" s="909"/>
      <c r="H333" s="909"/>
      <c r="I333" s="909"/>
      <c r="J333" s="909"/>
      <c r="K333" s="910" t="s">
        <v>1133</v>
      </c>
      <c r="L333" s="911"/>
      <c r="M333" s="911"/>
      <c r="N333" s="911"/>
      <c r="O333" s="904">
        <f t="shared" si="125"/>
        <v>0</v>
      </c>
      <c r="P333" s="911"/>
      <c r="Q333" s="911"/>
      <c r="R333" s="911"/>
      <c r="S333" s="911"/>
      <c r="T333" s="911"/>
      <c r="U333" s="911"/>
      <c r="V333" s="911" t="e">
        <f t="shared" si="118"/>
        <v>#DIV/0!</v>
      </c>
      <c r="W333" s="911">
        <f t="shared" si="110"/>
        <v>0</v>
      </c>
      <c r="X333" s="906"/>
      <c r="Y333" s="906"/>
      <c r="Z333" s="843">
        <f t="shared" si="111"/>
        <v>0</v>
      </c>
    </row>
    <row r="334" spans="1:26" ht="16.5" thickTop="1" thickBot="1" x14ac:dyDescent="0.3">
      <c r="A334" s="908">
        <v>1</v>
      </c>
      <c r="B334" s="909" t="s">
        <v>817</v>
      </c>
      <c r="C334" s="909" t="s">
        <v>734</v>
      </c>
      <c r="D334" s="909" t="s">
        <v>841</v>
      </c>
      <c r="E334" s="909" t="s">
        <v>738</v>
      </c>
      <c r="F334" s="909" t="s">
        <v>1134</v>
      </c>
      <c r="G334" s="909"/>
      <c r="H334" s="909"/>
      <c r="I334" s="909"/>
      <c r="J334" s="909"/>
      <c r="K334" s="910" t="s">
        <v>1135</v>
      </c>
      <c r="L334" s="911"/>
      <c r="M334" s="911"/>
      <c r="N334" s="911"/>
      <c r="O334" s="904">
        <f t="shared" si="125"/>
        <v>0</v>
      </c>
      <c r="P334" s="911"/>
      <c r="Q334" s="911"/>
      <c r="R334" s="911"/>
      <c r="S334" s="911"/>
      <c r="T334" s="911"/>
      <c r="U334" s="911"/>
      <c r="V334" s="911" t="e">
        <f t="shared" si="118"/>
        <v>#DIV/0!</v>
      </c>
      <c r="W334" s="911">
        <f t="shared" si="110"/>
        <v>0</v>
      </c>
      <c r="X334" s="906"/>
      <c r="Y334" s="906"/>
      <c r="Z334" s="843">
        <f t="shared" si="111"/>
        <v>0</v>
      </c>
    </row>
    <row r="335" spans="1:26" ht="16.5" thickTop="1" thickBot="1" x14ac:dyDescent="0.3">
      <c r="A335" s="908">
        <v>1</v>
      </c>
      <c r="B335" s="909" t="s">
        <v>817</v>
      </c>
      <c r="C335" s="909" t="s">
        <v>734</v>
      </c>
      <c r="D335" s="909" t="s">
        <v>841</v>
      </c>
      <c r="E335" s="909" t="s">
        <v>738</v>
      </c>
      <c r="F335" s="909" t="s">
        <v>1136</v>
      </c>
      <c r="G335" s="909"/>
      <c r="H335" s="909"/>
      <c r="I335" s="909"/>
      <c r="J335" s="909"/>
      <c r="K335" s="910" t="s">
        <v>1137</v>
      </c>
      <c r="L335" s="911"/>
      <c r="M335" s="911"/>
      <c r="N335" s="911"/>
      <c r="O335" s="904">
        <f t="shared" si="125"/>
        <v>0</v>
      </c>
      <c r="P335" s="911"/>
      <c r="Q335" s="911"/>
      <c r="R335" s="911"/>
      <c r="S335" s="911"/>
      <c r="T335" s="911"/>
      <c r="U335" s="911"/>
      <c r="V335" s="911" t="e">
        <f t="shared" si="118"/>
        <v>#DIV/0!</v>
      </c>
      <c r="W335" s="911">
        <f t="shared" si="110"/>
        <v>0</v>
      </c>
      <c r="X335" s="906"/>
      <c r="Y335" s="906"/>
      <c r="Z335" s="843">
        <f t="shared" si="111"/>
        <v>0</v>
      </c>
    </row>
    <row r="336" spans="1:26" ht="24" thickTop="1" thickBot="1" x14ac:dyDescent="0.3">
      <c r="A336" s="908">
        <v>1</v>
      </c>
      <c r="B336" s="909" t="s">
        <v>817</v>
      </c>
      <c r="C336" s="909" t="s">
        <v>734</v>
      </c>
      <c r="D336" s="909" t="s">
        <v>841</v>
      </c>
      <c r="E336" s="909" t="s">
        <v>738</v>
      </c>
      <c r="F336" s="909" t="s">
        <v>1138</v>
      </c>
      <c r="G336" s="909"/>
      <c r="H336" s="909"/>
      <c r="I336" s="909"/>
      <c r="J336" s="909"/>
      <c r="K336" s="910" t="s">
        <v>1139</v>
      </c>
      <c r="L336" s="911"/>
      <c r="M336" s="911"/>
      <c r="N336" s="911"/>
      <c r="O336" s="904">
        <f t="shared" si="125"/>
        <v>0</v>
      </c>
      <c r="P336" s="911"/>
      <c r="Q336" s="911"/>
      <c r="R336" s="911"/>
      <c r="S336" s="911"/>
      <c r="T336" s="911"/>
      <c r="U336" s="911"/>
      <c r="V336" s="911" t="e">
        <f t="shared" si="118"/>
        <v>#DIV/0!</v>
      </c>
      <c r="W336" s="911">
        <f t="shared" si="110"/>
        <v>0</v>
      </c>
      <c r="X336" s="906"/>
      <c r="Y336" s="906"/>
      <c r="Z336" s="843">
        <f t="shared" si="111"/>
        <v>0</v>
      </c>
    </row>
    <row r="337" spans="1:26" ht="24" thickTop="1" thickBot="1" x14ac:dyDescent="0.3">
      <c r="A337" s="908">
        <v>1</v>
      </c>
      <c r="B337" s="909" t="s">
        <v>817</v>
      </c>
      <c r="C337" s="909" t="s">
        <v>734</v>
      </c>
      <c r="D337" s="909" t="s">
        <v>841</v>
      </c>
      <c r="E337" s="909" t="s">
        <v>738</v>
      </c>
      <c r="F337" s="909" t="s">
        <v>1140</v>
      </c>
      <c r="G337" s="909"/>
      <c r="H337" s="909"/>
      <c r="I337" s="909"/>
      <c r="J337" s="909"/>
      <c r="K337" s="910" t="s">
        <v>1141</v>
      </c>
      <c r="L337" s="911"/>
      <c r="M337" s="911"/>
      <c r="N337" s="911"/>
      <c r="O337" s="904">
        <f t="shared" si="125"/>
        <v>0</v>
      </c>
      <c r="P337" s="911"/>
      <c r="Q337" s="911"/>
      <c r="R337" s="911"/>
      <c r="S337" s="911"/>
      <c r="T337" s="911"/>
      <c r="U337" s="911"/>
      <c r="V337" s="911" t="e">
        <f t="shared" si="118"/>
        <v>#DIV/0!</v>
      </c>
      <c r="W337" s="911">
        <f t="shared" si="110"/>
        <v>0</v>
      </c>
      <c r="X337" s="906"/>
      <c r="Y337" s="906"/>
      <c r="Z337" s="843">
        <f t="shared" si="111"/>
        <v>0</v>
      </c>
    </row>
    <row r="338" spans="1:26" ht="16.5" thickTop="1" thickBot="1" x14ac:dyDescent="0.3">
      <c r="A338" s="908">
        <v>1</v>
      </c>
      <c r="B338" s="909" t="s">
        <v>817</v>
      </c>
      <c r="C338" s="909" t="s">
        <v>734</v>
      </c>
      <c r="D338" s="909" t="s">
        <v>841</v>
      </c>
      <c r="E338" s="909" t="s">
        <v>738</v>
      </c>
      <c r="F338" s="909" t="s">
        <v>1142</v>
      </c>
      <c r="G338" s="909"/>
      <c r="H338" s="909"/>
      <c r="I338" s="909"/>
      <c r="J338" s="909"/>
      <c r="K338" s="910" t="s">
        <v>1143</v>
      </c>
      <c r="L338" s="911"/>
      <c r="M338" s="911"/>
      <c r="N338" s="911"/>
      <c r="O338" s="904">
        <f t="shared" si="125"/>
        <v>0</v>
      </c>
      <c r="P338" s="911"/>
      <c r="Q338" s="911"/>
      <c r="R338" s="911"/>
      <c r="S338" s="911"/>
      <c r="T338" s="911"/>
      <c r="U338" s="911"/>
      <c r="V338" s="911" t="e">
        <f t="shared" si="118"/>
        <v>#DIV/0!</v>
      </c>
      <c r="W338" s="911">
        <f t="shared" si="110"/>
        <v>0</v>
      </c>
      <c r="X338" s="906"/>
      <c r="Y338" s="906"/>
      <c r="Z338" s="843">
        <f t="shared" si="111"/>
        <v>0</v>
      </c>
    </row>
    <row r="339" spans="1:26" ht="16.5" thickTop="1" thickBot="1" x14ac:dyDescent="0.3">
      <c r="A339" s="908">
        <v>1</v>
      </c>
      <c r="B339" s="909" t="s">
        <v>817</v>
      </c>
      <c r="C339" s="909" t="s">
        <v>734</v>
      </c>
      <c r="D339" s="909" t="s">
        <v>841</v>
      </c>
      <c r="E339" s="909" t="s">
        <v>738</v>
      </c>
      <c r="F339" s="909" t="s">
        <v>922</v>
      </c>
      <c r="G339" s="909"/>
      <c r="H339" s="909"/>
      <c r="I339" s="909"/>
      <c r="J339" s="909"/>
      <c r="K339" s="910" t="s">
        <v>1144</v>
      </c>
      <c r="L339" s="911"/>
      <c r="M339" s="911"/>
      <c r="N339" s="911"/>
      <c r="O339" s="904">
        <f t="shared" si="125"/>
        <v>0</v>
      </c>
      <c r="P339" s="911"/>
      <c r="Q339" s="911"/>
      <c r="R339" s="911"/>
      <c r="S339" s="911"/>
      <c r="T339" s="911"/>
      <c r="U339" s="911"/>
      <c r="V339" s="911" t="e">
        <f t="shared" si="118"/>
        <v>#DIV/0!</v>
      </c>
      <c r="W339" s="911">
        <f t="shared" si="110"/>
        <v>0</v>
      </c>
      <c r="X339" s="906"/>
      <c r="Y339" s="906"/>
      <c r="Z339" s="843">
        <f t="shared" si="111"/>
        <v>0</v>
      </c>
    </row>
    <row r="340" spans="1:26" ht="16.5" thickTop="1" thickBot="1" x14ac:dyDescent="0.3">
      <c r="A340" s="908">
        <v>1</v>
      </c>
      <c r="B340" s="909" t="s">
        <v>817</v>
      </c>
      <c r="C340" s="909" t="s">
        <v>734</v>
      </c>
      <c r="D340" s="909" t="s">
        <v>841</v>
      </c>
      <c r="E340" s="909" t="s">
        <v>738</v>
      </c>
      <c r="F340" s="909" t="s">
        <v>1145</v>
      </c>
      <c r="G340" s="909"/>
      <c r="H340" s="909"/>
      <c r="I340" s="909"/>
      <c r="J340" s="909"/>
      <c r="K340" s="910" t="s">
        <v>1146</v>
      </c>
      <c r="L340" s="911"/>
      <c r="M340" s="911"/>
      <c r="N340" s="911"/>
      <c r="O340" s="904">
        <f t="shared" si="125"/>
        <v>0</v>
      </c>
      <c r="P340" s="911"/>
      <c r="Q340" s="911"/>
      <c r="R340" s="911"/>
      <c r="S340" s="911"/>
      <c r="T340" s="911"/>
      <c r="U340" s="911"/>
      <c r="V340" s="911" t="e">
        <f t="shared" si="118"/>
        <v>#DIV/0!</v>
      </c>
      <c r="W340" s="911">
        <f t="shared" si="110"/>
        <v>0</v>
      </c>
      <c r="X340" s="906"/>
      <c r="Y340" s="906"/>
      <c r="Z340" s="843">
        <f t="shared" si="111"/>
        <v>0</v>
      </c>
    </row>
    <row r="341" spans="1:26" ht="16.5" thickTop="1" thickBot="1" x14ac:dyDescent="0.3">
      <c r="A341" s="908">
        <v>1</v>
      </c>
      <c r="B341" s="909" t="s">
        <v>817</v>
      </c>
      <c r="C341" s="909" t="s">
        <v>734</v>
      </c>
      <c r="D341" s="909" t="s">
        <v>841</v>
      </c>
      <c r="E341" s="909" t="s">
        <v>738</v>
      </c>
      <c r="F341" s="909" t="s">
        <v>1147</v>
      </c>
      <c r="G341" s="909"/>
      <c r="H341" s="909"/>
      <c r="I341" s="909"/>
      <c r="J341" s="909"/>
      <c r="K341" s="910" t="s">
        <v>1148</v>
      </c>
      <c r="L341" s="911"/>
      <c r="M341" s="911"/>
      <c r="N341" s="911"/>
      <c r="O341" s="904">
        <f t="shared" si="125"/>
        <v>0</v>
      </c>
      <c r="P341" s="911"/>
      <c r="Q341" s="911"/>
      <c r="R341" s="911"/>
      <c r="S341" s="911"/>
      <c r="T341" s="911"/>
      <c r="U341" s="911"/>
      <c r="V341" s="911" t="e">
        <f t="shared" si="118"/>
        <v>#DIV/0!</v>
      </c>
      <c r="W341" s="911">
        <f t="shared" si="110"/>
        <v>0</v>
      </c>
      <c r="X341" s="906"/>
      <c r="Y341" s="906"/>
      <c r="Z341" s="843">
        <f t="shared" si="111"/>
        <v>0</v>
      </c>
    </row>
    <row r="342" spans="1:26" ht="24" thickTop="1" thickBot="1" x14ac:dyDescent="0.3">
      <c r="A342" s="908">
        <v>1</v>
      </c>
      <c r="B342" s="909" t="s">
        <v>817</v>
      </c>
      <c r="C342" s="909" t="s">
        <v>734</v>
      </c>
      <c r="D342" s="909" t="s">
        <v>841</v>
      </c>
      <c r="E342" s="909" t="s">
        <v>738</v>
      </c>
      <c r="F342" s="909" t="s">
        <v>1149</v>
      </c>
      <c r="G342" s="909"/>
      <c r="H342" s="909"/>
      <c r="I342" s="909"/>
      <c r="J342" s="909"/>
      <c r="K342" s="910" t="s">
        <v>1150</v>
      </c>
      <c r="L342" s="911"/>
      <c r="M342" s="911"/>
      <c r="N342" s="911"/>
      <c r="O342" s="904">
        <f t="shared" si="125"/>
        <v>0</v>
      </c>
      <c r="P342" s="911"/>
      <c r="Q342" s="911"/>
      <c r="R342" s="911"/>
      <c r="S342" s="911"/>
      <c r="T342" s="911"/>
      <c r="U342" s="911"/>
      <c r="V342" s="911" t="e">
        <f t="shared" si="118"/>
        <v>#DIV/0!</v>
      </c>
      <c r="W342" s="911">
        <f t="shared" si="110"/>
        <v>0</v>
      </c>
      <c r="X342" s="906"/>
      <c r="Y342" s="906"/>
      <c r="Z342" s="843">
        <f t="shared" si="111"/>
        <v>0</v>
      </c>
    </row>
    <row r="343" spans="1:26" ht="16.5" thickTop="1" thickBot="1" x14ac:dyDescent="0.3">
      <c r="A343" s="908">
        <v>1</v>
      </c>
      <c r="B343" s="909" t="s">
        <v>817</v>
      </c>
      <c r="C343" s="909" t="s">
        <v>734</v>
      </c>
      <c r="D343" s="909" t="s">
        <v>841</v>
      </c>
      <c r="E343" s="909" t="s">
        <v>738</v>
      </c>
      <c r="F343" s="909" t="s">
        <v>1151</v>
      </c>
      <c r="G343" s="909"/>
      <c r="H343" s="909"/>
      <c r="I343" s="909"/>
      <c r="J343" s="909"/>
      <c r="K343" s="910" t="s">
        <v>1152</v>
      </c>
      <c r="L343" s="911"/>
      <c r="M343" s="911"/>
      <c r="N343" s="911"/>
      <c r="O343" s="904">
        <f t="shared" si="125"/>
        <v>0</v>
      </c>
      <c r="P343" s="911"/>
      <c r="Q343" s="911"/>
      <c r="R343" s="911"/>
      <c r="S343" s="911"/>
      <c r="T343" s="911"/>
      <c r="U343" s="911"/>
      <c r="V343" s="911" t="e">
        <f t="shared" si="118"/>
        <v>#DIV/0!</v>
      </c>
      <c r="W343" s="911">
        <f t="shared" ref="W343:W406" si="126">SUBTOTAL(9,P343:S343)</f>
        <v>0</v>
      </c>
      <c r="X343" s="906"/>
      <c r="Y343" s="906"/>
      <c r="Z343" s="843">
        <f t="shared" ref="Z343:Z406" si="127">W343-O343</f>
        <v>0</v>
      </c>
    </row>
    <row r="344" spans="1:26" ht="16.5" thickTop="1" thickBot="1" x14ac:dyDescent="0.3">
      <c r="A344" s="908">
        <v>1</v>
      </c>
      <c r="B344" s="909" t="s">
        <v>817</v>
      </c>
      <c r="C344" s="909" t="s">
        <v>734</v>
      </c>
      <c r="D344" s="909" t="s">
        <v>841</v>
      </c>
      <c r="E344" s="909" t="s">
        <v>738</v>
      </c>
      <c r="F344" s="909" t="s">
        <v>1153</v>
      </c>
      <c r="G344" s="909"/>
      <c r="H344" s="909"/>
      <c r="I344" s="909"/>
      <c r="J344" s="909"/>
      <c r="K344" s="910" t="s">
        <v>1154</v>
      </c>
      <c r="L344" s="911"/>
      <c r="M344" s="911"/>
      <c r="N344" s="911"/>
      <c r="O344" s="904">
        <f t="shared" si="125"/>
        <v>0</v>
      </c>
      <c r="P344" s="911"/>
      <c r="Q344" s="911"/>
      <c r="R344" s="911"/>
      <c r="S344" s="911"/>
      <c r="T344" s="911"/>
      <c r="U344" s="911"/>
      <c r="V344" s="911" t="e">
        <f t="shared" si="118"/>
        <v>#DIV/0!</v>
      </c>
      <c r="W344" s="911">
        <f t="shared" si="126"/>
        <v>0</v>
      </c>
      <c r="X344" s="906"/>
      <c r="Y344" s="906"/>
      <c r="Z344" s="843">
        <f t="shared" si="127"/>
        <v>0</v>
      </c>
    </row>
    <row r="345" spans="1:26" ht="16.5" thickTop="1" thickBot="1" x14ac:dyDescent="0.3">
      <c r="A345" s="908">
        <v>1</v>
      </c>
      <c r="B345" s="909" t="s">
        <v>817</v>
      </c>
      <c r="C345" s="909" t="s">
        <v>734</v>
      </c>
      <c r="D345" s="909" t="s">
        <v>841</v>
      </c>
      <c r="E345" s="909" t="s">
        <v>738</v>
      </c>
      <c r="F345" s="909" t="s">
        <v>1155</v>
      </c>
      <c r="G345" s="909"/>
      <c r="H345" s="909"/>
      <c r="I345" s="909"/>
      <c r="J345" s="909"/>
      <c r="K345" s="910" t="s">
        <v>1156</v>
      </c>
      <c r="L345" s="911"/>
      <c r="M345" s="911"/>
      <c r="N345" s="911"/>
      <c r="O345" s="904">
        <f t="shared" si="125"/>
        <v>0</v>
      </c>
      <c r="P345" s="911"/>
      <c r="Q345" s="911"/>
      <c r="R345" s="911"/>
      <c r="S345" s="911"/>
      <c r="T345" s="911"/>
      <c r="U345" s="911"/>
      <c r="V345" s="911" t="e">
        <f t="shared" si="118"/>
        <v>#DIV/0!</v>
      </c>
      <c r="W345" s="911">
        <f t="shared" si="126"/>
        <v>0</v>
      </c>
      <c r="X345" s="906"/>
      <c r="Y345" s="906"/>
      <c r="Z345" s="843">
        <f t="shared" si="127"/>
        <v>0</v>
      </c>
    </row>
    <row r="346" spans="1:26" ht="16.5" thickTop="1" thickBot="1" x14ac:dyDescent="0.3">
      <c r="A346" s="908">
        <v>1</v>
      </c>
      <c r="B346" s="909" t="s">
        <v>817</v>
      </c>
      <c r="C346" s="909" t="s">
        <v>734</v>
      </c>
      <c r="D346" s="909" t="s">
        <v>841</v>
      </c>
      <c r="E346" s="909" t="s">
        <v>738</v>
      </c>
      <c r="F346" s="909" t="s">
        <v>1157</v>
      </c>
      <c r="G346" s="909"/>
      <c r="H346" s="909"/>
      <c r="I346" s="909"/>
      <c r="J346" s="909"/>
      <c r="K346" s="910" t="s">
        <v>1158</v>
      </c>
      <c r="L346" s="911"/>
      <c r="M346" s="911"/>
      <c r="N346" s="911"/>
      <c r="O346" s="904">
        <f t="shared" si="125"/>
        <v>0</v>
      </c>
      <c r="P346" s="911"/>
      <c r="Q346" s="911"/>
      <c r="R346" s="911"/>
      <c r="S346" s="911"/>
      <c r="T346" s="911"/>
      <c r="U346" s="911"/>
      <c r="V346" s="911" t="e">
        <f t="shared" si="118"/>
        <v>#DIV/0!</v>
      </c>
      <c r="W346" s="911">
        <f t="shared" si="126"/>
        <v>0</v>
      </c>
      <c r="X346" s="906"/>
      <c r="Y346" s="906"/>
      <c r="Z346" s="843">
        <f t="shared" si="127"/>
        <v>0</v>
      </c>
    </row>
    <row r="347" spans="1:26" ht="24" thickTop="1" thickBot="1" x14ac:dyDescent="0.3">
      <c r="A347" s="908">
        <v>1</v>
      </c>
      <c r="B347" s="909" t="s">
        <v>817</v>
      </c>
      <c r="C347" s="909" t="s">
        <v>734</v>
      </c>
      <c r="D347" s="909" t="s">
        <v>841</v>
      </c>
      <c r="E347" s="909" t="s">
        <v>738</v>
      </c>
      <c r="F347" s="909" t="s">
        <v>1159</v>
      </c>
      <c r="G347" s="909"/>
      <c r="H347" s="909"/>
      <c r="I347" s="909"/>
      <c r="J347" s="909"/>
      <c r="K347" s="910" t="s">
        <v>1160</v>
      </c>
      <c r="L347" s="911"/>
      <c r="M347" s="911"/>
      <c r="N347" s="911"/>
      <c r="O347" s="904">
        <f t="shared" si="125"/>
        <v>0</v>
      </c>
      <c r="P347" s="911"/>
      <c r="Q347" s="911"/>
      <c r="R347" s="911"/>
      <c r="S347" s="911"/>
      <c r="T347" s="911"/>
      <c r="U347" s="911"/>
      <c r="V347" s="911" t="e">
        <f t="shared" si="118"/>
        <v>#DIV/0!</v>
      </c>
      <c r="W347" s="911">
        <f t="shared" si="126"/>
        <v>0</v>
      </c>
      <c r="X347" s="906"/>
      <c r="Y347" s="906"/>
      <c r="Z347" s="843">
        <f t="shared" si="127"/>
        <v>0</v>
      </c>
    </row>
    <row r="348" spans="1:26" ht="16.5" thickTop="1" thickBot="1" x14ac:dyDescent="0.3">
      <c r="A348" s="877">
        <v>1</v>
      </c>
      <c r="B348" s="878" t="s">
        <v>817</v>
      </c>
      <c r="C348" s="878" t="s">
        <v>734</v>
      </c>
      <c r="D348" s="878" t="s">
        <v>841</v>
      </c>
      <c r="E348" s="878" t="s">
        <v>742</v>
      </c>
      <c r="F348" s="878"/>
      <c r="G348" s="878"/>
      <c r="H348" s="879"/>
      <c r="I348" s="879"/>
      <c r="J348" s="879"/>
      <c r="K348" s="880" t="s">
        <v>1161</v>
      </c>
      <c r="L348" s="881"/>
      <c r="M348" s="881"/>
      <c r="N348" s="881"/>
      <c r="O348" s="881">
        <f t="shared" si="125"/>
        <v>0</v>
      </c>
      <c r="P348" s="881"/>
      <c r="Q348" s="881"/>
      <c r="R348" s="881"/>
      <c r="S348" s="881"/>
      <c r="T348" s="881"/>
      <c r="U348" s="904"/>
      <c r="V348" s="882" t="e">
        <f t="shared" si="118"/>
        <v>#DIV/0!</v>
      </c>
      <c r="W348" s="881">
        <f t="shared" si="126"/>
        <v>0</v>
      </c>
      <c r="X348" s="883"/>
      <c r="Y348" s="883"/>
      <c r="Z348" s="884">
        <f t="shared" si="127"/>
        <v>0</v>
      </c>
    </row>
    <row r="349" spans="1:26" ht="16.5" thickTop="1" thickBot="1" x14ac:dyDescent="0.3">
      <c r="A349" s="877">
        <v>1</v>
      </c>
      <c r="B349" s="878" t="s">
        <v>817</v>
      </c>
      <c r="C349" s="878" t="s">
        <v>734</v>
      </c>
      <c r="D349" s="878" t="s">
        <v>841</v>
      </c>
      <c r="E349" s="878" t="s">
        <v>758</v>
      </c>
      <c r="F349" s="878"/>
      <c r="G349" s="878"/>
      <c r="H349" s="879"/>
      <c r="I349" s="879"/>
      <c r="J349" s="879"/>
      <c r="K349" s="880" t="s">
        <v>1162</v>
      </c>
      <c r="L349" s="881"/>
      <c r="M349" s="881"/>
      <c r="N349" s="881"/>
      <c r="O349" s="881">
        <f t="shared" si="125"/>
        <v>0</v>
      </c>
      <c r="P349" s="881"/>
      <c r="Q349" s="881"/>
      <c r="R349" s="881"/>
      <c r="S349" s="881"/>
      <c r="T349" s="881"/>
      <c r="U349" s="904"/>
      <c r="V349" s="882" t="e">
        <f t="shared" si="118"/>
        <v>#DIV/0!</v>
      </c>
      <c r="W349" s="881">
        <f t="shared" si="126"/>
        <v>0</v>
      </c>
      <c r="X349" s="883"/>
      <c r="Y349" s="883"/>
      <c r="Z349" s="884">
        <f t="shared" si="127"/>
        <v>0</v>
      </c>
    </row>
    <row r="350" spans="1:26" ht="16.5" thickTop="1" thickBot="1" x14ac:dyDescent="0.3">
      <c r="A350" s="877">
        <v>1</v>
      </c>
      <c r="B350" s="878" t="s">
        <v>817</v>
      </c>
      <c r="C350" s="878" t="s">
        <v>734</v>
      </c>
      <c r="D350" s="878" t="s">
        <v>841</v>
      </c>
      <c r="E350" s="878" t="s">
        <v>841</v>
      </c>
      <c r="F350" s="878"/>
      <c r="G350" s="878"/>
      <c r="H350" s="879"/>
      <c r="I350" s="879"/>
      <c r="J350" s="879"/>
      <c r="K350" s="880" t="s">
        <v>1163</v>
      </c>
      <c r="L350" s="881"/>
      <c r="M350" s="881"/>
      <c r="N350" s="881"/>
      <c r="O350" s="881">
        <f t="shared" si="125"/>
        <v>0</v>
      </c>
      <c r="P350" s="881"/>
      <c r="Q350" s="881"/>
      <c r="R350" s="881"/>
      <c r="S350" s="881"/>
      <c r="T350" s="881"/>
      <c r="U350" s="904"/>
      <c r="V350" s="882" t="e">
        <f t="shared" si="118"/>
        <v>#DIV/0!</v>
      </c>
      <c r="W350" s="881">
        <f t="shared" si="126"/>
        <v>0</v>
      </c>
      <c r="X350" s="883"/>
      <c r="Y350" s="883"/>
      <c r="Z350" s="884">
        <f t="shared" si="127"/>
        <v>0</v>
      </c>
    </row>
    <row r="351" spans="1:26" ht="16.5" thickTop="1" thickBot="1" x14ac:dyDescent="0.3">
      <c r="A351" s="877">
        <v>1</v>
      </c>
      <c r="B351" s="878" t="s">
        <v>817</v>
      </c>
      <c r="C351" s="878" t="s">
        <v>734</v>
      </c>
      <c r="D351" s="878" t="s">
        <v>841</v>
      </c>
      <c r="E351" s="878" t="s">
        <v>955</v>
      </c>
      <c r="F351" s="878"/>
      <c r="G351" s="878"/>
      <c r="H351" s="879"/>
      <c r="I351" s="879"/>
      <c r="J351" s="879"/>
      <c r="K351" s="880" t="s">
        <v>1164</v>
      </c>
      <c r="L351" s="881"/>
      <c r="M351" s="881"/>
      <c r="N351" s="881"/>
      <c r="O351" s="881">
        <f t="shared" si="125"/>
        <v>0</v>
      </c>
      <c r="P351" s="881"/>
      <c r="Q351" s="881"/>
      <c r="R351" s="881"/>
      <c r="S351" s="881"/>
      <c r="T351" s="881"/>
      <c r="U351" s="904"/>
      <c r="V351" s="882" t="e">
        <f t="shared" si="118"/>
        <v>#DIV/0!</v>
      </c>
      <c r="W351" s="881">
        <f t="shared" si="126"/>
        <v>0</v>
      </c>
      <c r="X351" s="883"/>
      <c r="Y351" s="883"/>
      <c r="Z351" s="884">
        <f t="shared" si="127"/>
        <v>0</v>
      </c>
    </row>
    <row r="352" spans="1:26" ht="16.5" thickTop="1" thickBot="1" x14ac:dyDescent="0.3">
      <c r="A352" s="869">
        <v>1</v>
      </c>
      <c r="B352" s="870" t="s">
        <v>817</v>
      </c>
      <c r="C352" s="870" t="s">
        <v>734</v>
      </c>
      <c r="D352" s="870" t="s">
        <v>955</v>
      </c>
      <c r="E352" s="870"/>
      <c r="F352" s="870"/>
      <c r="G352" s="870"/>
      <c r="H352" s="871"/>
      <c r="I352" s="871"/>
      <c r="J352" s="871"/>
      <c r="K352" s="872" t="s">
        <v>1165</v>
      </c>
      <c r="L352" s="873">
        <f>+L353+L367+L369</f>
        <v>0</v>
      </c>
      <c r="M352" s="873">
        <f t="shared" ref="M352:U352" si="128">+M353+M367+M369</f>
        <v>0</v>
      </c>
      <c r="N352" s="873">
        <f t="shared" si="128"/>
        <v>0</v>
      </c>
      <c r="O352" s="873">
        <f t="shared" si="128"/>
        <v>0</v>
      </c>
      <c r="P352" s="873">
        <f t="shared" si="128"/>
        <v>0</v>
      </c>
      <c r="Q352" s="873">
        <f t="shared" si="128"/>
        <v>0</v>
      </c>
      <c r="R352" s="873">
        <f t="shared" si="128"/>
        <v>0</v>
      </c>
      <c r="S352" s="873">
        <f t="shared" si="128"/>
        <v>0</v>
      </c>
      <c r="T352" s="873">
        <f t="shared" si="128"/>
        <v>0</v>
      </c>
      <c r="U352" s="904">
        <f t="shared" si="128"/>
        <v>0</v>
      </c>
      <c r="V352" s="874" t="e">
        <f t="shared" si="118"/>
        <v>#DIV/0!</v>
      </c>
      <c r="W352" s="873">
        <f t="shared" si="126"/>
        <v>0</v>
      </c>
      <c r="X352" s="875"/>
      <c r="Y352" s="875"/>
      <c r="Z352" s="876">
        <f t="shared" si="127"/>
        <v>0</v>
      </c>
    </row>
    <row r="353" spans="1:26" ht="16.5" thickTop="1" thickBot="1" x14ac:dyDescent="0.3">
      <c r="A353" s="877">
        <v>1</v>
      </c>
      <c r="B353" s="878" t="s">
        <v>817</v>
      </c>
      <c r="C353" s="878" t="s">
        <v>734</v>
      </c>
      <c r="D353" s="878" t="s">
        <v>955</v>
      </c>
      <c r="E353" s="878" t="s">
        <v>735</v>
      </c>
      <c r="F353" s="878"/>
      <c r="G353" s="878"/>
      <c r="H353" s="879"/>
      <c r="I353" s="879"/>
      <c r="J353" s="879"/>
      <c r="K353" s="880" t="s">
        <v>1166</v>
      </c>
      <c r="L353" s="881">
        <f>+L354+L355+L356+L359+L363</f>
        <v>0</v>
      </c>
      <c r="M353" s="881">
        <f t="shared" ref="M353:U353" si="129">+M354+M355+M356+M359+M363</f>
        <v>0</v>
      </c>
      <c r="N353" s="881">
        <f t="shared" si="129"/>
        <v>0</v>
      </c>
      <c r="O353" s="881">
        <f t="shared" si="129"/>
        <v>0</v>
      </c>
      <c r="P353" s="881">
        <f t="shared" si="129"/>
        <v>0</v>
      </c>
      <c r="Q353" s="881">
        <f t="shared" si="129"/>
        <v>0</v>
      </c>
      <c r="R353" s="881">
        <f t="shared" si="129"/>
        <v>0</v>
      </c>
      <c r="S353" s="881">
        <f t="shared" si="129"/>
        <v>0</v>
      </c>
      <c r="T353" s="881">
        <f t="shared" si="129"/>
        <v>0</v>
      </c>
      <c r="U353" s="904">
        <f t="shared" si="129"/>
        <v>0</v>
      </c>
      <c r="V353" s="882" t="e">
        <f t="shared" si="118"/>
        <v>#DIV/0!</v>
      </c>
      <c r="W353" s="881">
        <f t="shared" si="126"/>
        <v>0</v>
      </c>
      <c r="X353" s="883"/>
      <c r="Y353" s="883"/>
      <c r="Z353" s="884">
        <f t="shared" si="127"/>
        <v>0</v>
      </c>
    </row>
    <row r="354" spans="1:26" ht="16.5" thickTop="1" thickBot="1" x14ac:dyDescent="0.3">
      <c r="A354" s="908">
        <v>1</v>
      </c>
      <c r="B354" s="909" t="s">
        <v>817</v>
      </c>
      <c r="C354" s="909" t="s">
        <v>734</v>
      </c>
      <c r="D354" s="909" t="s">
        <v>955</v>
      </c>
      <c r="E354" s="909" t="s">
        <v>735</v>
      </c>
      <c r="F354" s="909" t="s">
        <v>903</v>
      </c>
      <c r="G354" s="909"/>
      <c r="H354" s="909"/>
      <c r="I354" s="909"/>
      <c r="J354" s="909"/>
      <c r="K354" s="910" t="s">
        <v>1167</v>
      </c>
      <c r="L354" s="911"/>
      <c r="M354" s="911"/>
      <c r="N354" s="911"/>
      <c r="O354" s="904">
        <f>+L354+M354-N354</f>
        <v>0</v>
      </c>
      <c r="P354" s="911"/>
      <c r="Q354" s="911"/>
      <c r="R354" s="911"/>
      <c r="S354" s="911"/>
      <c r="T354" s="911"/>
      <c r="U354" s="911"/>
      <c r="V354" s="911" t="e">
        <f t="shared" si="118"/>
        <v>#DIV/0!</v>
      </c>
      <c r="W354" s="911">
        <f t="shared" si="126"/>
        <v>0</v>
      </c>
      <c r="X354" s="906"/>
      <c r="Y354" s="906"/>
      <c r="Z354" s="843">
        <f t="shared" si="127"/>
        <v>0</v>
      </c>
    </row>
    <row r="355" spans="1:26" ht="16.5" thickTop="1" thickBot="1" x14ac:dyDescent="0.3">
      <c r="A355" s="908">
        <v>1</v>
      </c>
      <c r="B355" s="909" t="s">
        <v>817</v>
      </c>
      <c r="C355" s="909" t="s">
        <v>734</v>
      </c>
      <c r="D355" s="909" t="s">
        <v>955</v>
      </c>
      <c r="E355" s="909" t="s">
        <v>735</v>
      </c>
      <c r="F355" s="909" t="s">
        <v>927</v>
      </c>
      <c r="G355" s="909"/>
      <c r="H355" s="909"/>
      <c r="I355" s="909"/>
      <c r="J355" s="909"/>
      <c r="K355" s="910" t="s">
        <v>1168</v>
      </c>
      <c r="L355" s="911"/>
      <c r="M355" s="911"/>
      <c r="N355" s="911"/>
      <c r="O355" s="904">
        <f>+L355+M355-N355</f>
        <v>0</v>
      </c>
      <c r="P355" s="911"/>
      <c r="Q355" s="911"/>
      <c r="R355" s="911"/>
      <c r="S355" s="911"/>
      <c r="T355" s="911"/>
      <c r="U355" s="911"/>
      <c r="V355" s="911" t="e">
        <f t="shared" si="118"/>
        <v>#DIV/0!</v>
      </c>
      <c r="W355" s="911">
        <f t="shared" si="126"/>
        <v>0</v>
      </c>
      <c r="X355" s="906"/>
      <c r="Y355" s="906"/>
      <c r="Z355" s="843">
        <f t="shared" si="127"/>
        <v>0</v>
      </c>
    </row>
    <row r="356" spans="1:26" ht="16.5" thickTop="1" thickBot="1" x14ac:dyDescent="0.3">
      <c r="A356" s="908">
        <v>1</v>
      </c>
      <c r="B356" s="909" t="s">
        <v>817</v>
      </c>
      <c r="C356" s="909" t="s">
        <v>734</v>
      </c>
      <c r="D356" s="909" t="s">
        <v>955</v>
      </c>
      <c r="E356" s="909" t="s">
        <v>735</v>
      </c>
      <c r="F356" s="909" t="s">
        <v>985</v>
      </c>
      <c r="G356" s="909"/>
      <c r="H356" s="909"/>
      <c r="I356" s="909"/>
      <c r="J356" s="909"/>
      <c r="K356" s="910" t="s">
        <v>1169</v>
      </c>
      <c r="L356" s="911">
        <f>+L357+L358</f>
        <v>0</v>
      </c>
      <c r="M356" s="911">
        <f t="shared" ref="M356:U356" si="130">+M357+M358</f>
        <v>0</v>
      </c>
      <c r="N356" s="911">
        <f t="shared" si="130"/>
        <v>0</v>
      </c>
      <c r="O356" s="911">
        <f t="shared" si="130"/>
        <v>0</v>
      </c>
      <c r="P356" s="911">
        <f t="shared" si="130"/>
        <v>0</v>
      </c>
      <c r="Q356" s="911">
        <f t="shared" si="130"/>
        <v>0</v>
      </c>
      <c r="R356" s="911">
        <f t="shared" si="130"/>
        <v>0</v>
      </c>
      <c r="S356" s="911">
        <f t="shared" si="130"/>
        <v>0</v>
      </c>
      <c r="T356" s="911">
        <f t="shared" si="130"/>
        <v>0</v>
      </c>
      <c r="U356" s="911">
        <f t="shared" si="130"/>
        <v>0</v>
      </c>
      <c r="V356" s="911" t="e">
        <f t="shared" si="118"/>
        <v>#DIV/0!</v>
      </c>
      <c r="W356" s="911">
        <f t="shared" si="126"/>
        <v>0</v>
      </c>
      <c r="X356" s="906"/>
      <c r="Y356" s="906"/>
      <c r="Z356" s="843">
        <f t="shared" si="127"/>
        <v>0</v>
      </c>
    </row>
    <row r="357" spans="1:26" ht="16.5" thickTop="1" thickBot="1" x14ac:dyDescent="0.3">
      <c r="A357" s="908">
        <v>1</v>
      </c>
      <c r="B357" s="909" t="s">
        <v>817</v>
      </c>
      <c r="C357" s="909" t="s">
        <v>734</v>
      </c>
      <c r="D357" s="909" t="s">
        <v>955</v>
      </c>
      <c r="E357" s="909" t="s">
        <v>735</v>
      </c>
      <c r="F357" s="909" t="s">
        <v>985</v>
      </c>
      <c r="G357" s="909" t="s">
        <v>735</v>
      </c>
      <c r="H357" s="909"/>
      <c r="I357" s="909"/>
      <c r="J357" s="909"/>
      <c r="K357" s="910" t="s">
        <v>1170</v>
      </c>
      <c r="L357" s="911"/>
      <c r="M357" s="911"/>
      <c r="N357" s="911"/>
      <c r="O357" s="904">
        <f>+L357+M357-N357</f>
        <v>0</v>
      </c>
      <c r="P357" s="911"/>
      <c r="Q357" s="911"/>
      <c r="R357" s="911"/>
      <c r="S357" s="911"/>
      <c r="T357" s="911"/>
      <c r="U357" s="911"/>
      <c r="V357" s="911" t="e">
        <f t="shared" si="118"/>
        <v>#DIV/0!</v>
      </c>
      <c r="W357" s="911">
        <f t="shared" si="126"/>
        <v>0</v>
      </c>
      <c r="X357" s="906"/>
      <c r="Y357" s="906"/>
      <c r="Z357" s="843">
        <f t="shared" si="127"/>
        <v>0</v>
      </c>
    </row>
    <row r="358" spans="1:26" ht="16.5" thickTop="1" thickBot="1" x14ac:dyDescent="0.3">
      <c r="A358" s="908">
        <v>1</v>
      </c>
      <c r="B358" s="909" t="s">
        <v>817</v>
      </c>
      <c r="C358" s="909" t="s">
        <v>734</v>
      </c>
      <c r="D358" s="909" t="s">
        <v>955</v>
      </c>
      <c r="E358" s="909" t="s">
        <v>735</v>
      </c>
      <c r="F358" s="909" t="s">
        <v>985</v>
      </c>
      <c r="G358" s="909" t="s">
        <v>738</v>
      </c>
      <c r="H358" s="909"/>
      <c r="I358" s="909"/>
      <c r="J358" s="909"/>
      <c r="K358" s="910" t="s">
        <v>1169</v>
      </c>
      <c r="L358" s="911"/>
      <c r="M358" s="911"/>
      <c r="N358" s="911"/>
      <c r="O358" s="904">
        <f>+L358+M358-N358</f>
        <v>0</v>
      </c>
      <c r="P358" s="911"/>
      <c r="Q358" s="911"/>
      <c r="R358" s="911"/>
      <c r="S358" s="911"/>
      <c r="T358" s="911"/>
      <c r="U358" s="911"/>
      <c r="V358" s="911" t="e">
        <f t="shared" si="118"/>
        <v>#DIV/0!</v>
      </c>
      <c r="W358" s="911">
        <f t="shared" si="126"/>
        <v>0</v>
      </c>
      <c r="X358" s="906"/>
      <c r="Y358" s="906"/>
      <c r="Z358" s="843">
        <f t="shared" si="127"/>
        <v>0</v>
      </c>
    </row>
    <row r="359" spans="1:26" ht="16.5" thickTop="1" thickBot="1" x14ac:dyDescent="0.3">
      <c r="A359" s="908">
        <v>1</v>
      </c>
      <c r="B359" s="909" t="s">
        <v>817</v>
      </c>
      <c r="C359" s="909" t="s">
        <v>734</v>
      </c>
      <c r="D359" s="909" t="s">
        <v>955</v>
      </c>
      <c r="E359" s="909" t="s">
        <v>735</v>
      </c>
      <c r="F359" s="909" t="s">
        <v>1044</v>
      </c>
      <c r="G359" s="909"/>
      <c r="H359" s="909"/>
      <c r="I359" s="909"/>
      <c r="J359" s="909"/>
      <c r="K359" s="910" t="s">
        <v>1171</v>
      </c>
      <c r="L359" s="911">
        <f>+L360+L361+L362</f>
        <v>0</v>
      </c>
      <c r="M359" s="911">
        <f t="shared" ref="M359:U359" si="131">+M360+M361+M362</f>
        <v>0</v>
      </c>
      <c r="N359" s="911">
        <f t="shared" si="131"/>
        <v>0</v>
      </c>
      <c r="O359" s="911">
        <f t="shared" si="131"/>
        <v>0</v>
      </c>
      <c r="P359" s="911">
        <f t="shared" si="131"/>
        <v>0</v>
      </c>
      <c r="Q359" s="911">
        <f t="shared" si="131"/>
        <v>0</v>
      </c>
      <c r="R359" s="911">
        <f t="shared" si="131"/>
        <v>0</v>
      </c>
      <c r="S359" s="911">
        <f t="shared" si="131"/>
        <v>0</v>
      </c>
      <c r="T359" s="911">
        <f t="shared" si="131"/>
        <v>0</v>
      </c>
      <c r="U359" s="911">
        <f t="shared" si="131"/>
        <v>0</v>
      </c>
      <c r="V359" s="911" t="e">
        <f t="shared" si="118"/>
        <v>#DIV/0!</v>
      </c>
      <c r="W359" s="911">
        <f t="shared" si="126"/>
        <v>0</v>
      </c>
      <c r="X359" s="906"/>
      <c r="Y359" s="906"/>
      <c r="Z359" s="843">
        <f t="shared" si="127"/>
        <v>0</v>
      </c>
    </row>
    <row r="360" spans="1:26" ht="16.5" thickTop="1" thickBot="1" x14ac:dyDescent="0.3">
      <c r="A360" s="908">
        <v>1</v>
      </c>
      <c r="B360" s="909" t="s">
        <v>817</v>
      </c>
      <c r="C360" s="909" t="s">
        <v>734</v>
      </c>
      <c r="D360" s="909" t="s">
        <v>955</v>
      </c>
      <c r="E360" s="909" t="s">
        <v>735</v>
      </c>
      <c r="F360" s="909" t="s">
        <v>1044</v>
      </c>
      <c r="G360" s="909" t="s">
        <v>735</v>
      </c>
      <c r="H360" s="909"/>
      <c r="I360" s="909"/>
      <c r="J360" s="909"/>
      <c r="K360" s="910" t="s">
        <v>1172</v>
      </c>
      <c r="L360" s="911"/>
      <c r="M360" s="911"/>
      <c r="N360" s="911"/>
      <c r="O360" s="904">
        <f>+L360+M360-N360</f>
        <v>0</v>
      </c>
      <c r="P360" s="911"/>
      <c r="Q360" s="911"/>
      <c r="R360" s="911"/>
      <c r="S360" s="911"/>
      <c r="T360" s="911"/>
      <c r="U360" s="911"/>
      <c r="V360" s="911" t="e">
        <f t="shared" si="118"/>
        <v>#DIV/0!</v>
      </c>
      <c r="W360" s="911">
        <f t="shared" si="126"/>
        <v>0</v>
      </c>
      <c r="X360" s="906"/>
      <c r="Y360" s="906"/>
      <c r="Z360" s="843">
        <f t="shared" si="127"/>
        <v>0</v>
      </c>
    </row>
    <row r="361" spans="1:26" ht="16.5" thickTop="1" thickBot="1" x14ac:dyDescent="0.3">
      <c r="A361" s="908">
        <v>1</v>
      </c>
      <c r="B361" s="909" t="s">
        <v>817</v>
      </c>
      <c r="C361" s="909" t="s">
        <v>734</v>
      </c>
      <c r="D361" s="909" t="s">
        <v>955</v>
      </c>
      <c r="E361" s="909" t="s">
        <v>735</v>
      </c>
      <c r="F361" s="909" t="s">
        <v>1044</v>
      </c>
      <c r="G361" s="909" t="s">
        <v>738</v>
      </c>
      <c r="H361" s="909"/>
      <c r="I361" s="909"/>
      <c r="J361" s="909"/>
      <c r="K361" s="910" t="s">
        <v>1173</v>
      </c>
      <c r="L361" s="911"/>
      <c r="M361" s="911"/>
      <c r="N361" s="911"/>
      <c r="O361" s="904">
        <f>+L361+M361-N361</f>
        <v>0</v>
      </c>
      <c r="P361" s="911"/>
      <c r="Q361" s="911"/>
      <c r="R361" s="911"/>
      <c r="S361" s="911"/>
      <c r="T361" s="911"/>
      <c r="U361" s="911"/>
      <c r="V361" s="911" t="e">
        <f t="shared" si="118"/>
        <v>#DIV/0!</v>
      </c>
      <c r="W361" s="911">
        <f t="shared" si="126"/>
        <v>0</v>
      </c>
      <c r="X361" s="906"/>
      <c r="Y361" s="906"/>
      <c r="Z361" s="843">
        <f t="shared" si="127"/>
        <v>0</v>
      </c>
    </row>
    <row r="362" spans="1:26" ht="16.5" thickTop="1" thickBot="1" x14ac:dyDescent="0.3">
      <c r="A362" s="908">
        <v>1</v>
      </c>
      <c r="B362" s="909" t="s">
        <v>817</v>
      </c>
      <c r="C362" s="909" t="s">
        <v>734</v>
      </c>
      <c r="D362" s="909" t="s">
        <v>955</v>
      </c>
      <c r="E362" s="909" t="s">
        <v>735</v>
      </c>
      <c r="F362" s="909" t="s">
        <v>1044</v>
      </c>
      <c r="G362" s="909" t="s">
        <v>742</v>
      </c>
      <c r="H362" s="909"/>
      <c r="I362" s="909"/>
      <c r="J362" s="909"/>
      <c r="K362" s="910" t="s">
        <v>1174</v>
      </c>
      <c r="L362" s="911"/>
      <c r="M362" s="911"/>
      <c r="N362" s="911"/>
      <c r="O362" s="904">
        <f>+L362+M362-N362</f>
        <v>0</v>
      </c>
      <c r="P362" s="911"/>
      <c r="Q362" s="911"/>
      <c r="R362" s="911"/>
      <c r="S362" s="911"/>
      <c r="T362" s="911"/>
      <c r="U362" s="911"/>
      <c r="V362" s="911" t="e">
        <f t="shared" ref="V362:V425" si="132">U362/T362</f>
        <v>#DIV/0!</v>
      </c>
      <c r="W362" s="911">
        <f t="shared" si="126"/>
        <v>0</v>
      </c>
      <c r="X362" s="906"/>
      <c r="Y362" s="906"/>
      <c r="Z362" s="843">
        <f t="shared" si="127"/>
        <v>0</v>
      </c>
    </row>
    <row r="363" spans="1:26" ht="16.5" thickTop="1" thickBot="1" x14ac:dyDescent="0.3">
      <c r="A363" s="908">
        <v>1</v>
      </c>
      <c r="B363" s="909" t="s">
        <v>817</v>
      </c>
      <c r="C363" s="909" t="s">
        <v>734</v>
      </c>
      <c r="D363" s="909" t="s">
        <v>955</v>
      </c>
      <c r="E363" s="909" t="s">
        <v>735</v>
      </c>
      <c r="F363" s="909" t="s">
        <v>1175</v>
      </c>
      <c r="G363" s="909"/>
      <c r="H363" s="909"/>
      <c r="I363" s="909"/>
      <c r="J363" s="909"/>
      <c r="K363" s="910" t="s">
        <v>1176</v>
      </c>
      <c r="L363" s="911">
        <f>+L364+L365+L366</f>
        <v>0</v>
      </c>
      <c r="M363" s="911">
        <f t="shared" ref="M363:U363" si="133">+M364+M365+M366</f>
        <v>0</v>
      </c>
      <c r="N363" s="911">
        <f t="shared" si="133"/>
        <v>0</v>
      </c>
      <c r="O363" s="911">
        <f t="shared" si="133"/>
        <v>0</v>
      </c>
      <c r="P363" s="911">
        <f t="shared" si="133"/>
        <v>0</v>
      </c>
      <c r="Q363" s="911">
        <f t="shared" si="133"/>
        <v>0</v>
      </c>
      <c r="R363" s="911">
        <f t="shared" si="133"/>
        <v>0</v>
      </c>
      <c r="S363" s="911">
        <f t="shared" si="133"/>
        <v>0</v>
      </c>
      <c r="T363" s="911">
        <f t="shared" si="133"/>
        <v>0</v>
      </c>
      <c r="U363" s="911">
        <f t="shared" si="133"/>
        <v>0</v>
      </c>
      <c r="V363" s="911" t="e">
        <f t="shared" si="132"/>
        <v>#DIV/0!</v>
      </c>
      <c r="W363" s="911">
        <f t="shared" si="126"/>
        <v>0</v>
      </c>
      <c r="X363" s="906"/>
      <c r="Y363" s="906"/>
      <c r="Z363" s="843">
        <f t="shared" si="127"/>
        <v>0</v>
      </c>
    </row>
    <row r="364" spans="1:26" ht="16.5" thickTop="1" thickBot="1" x14ac:dyDescent="0.3">
      <c r="A364" s="908">
        <v>1</v>
      </c>
      <c r="B364" s="909" t="s">
        <v>817</v>
      </c>
      <c r="C364" s="909" t="s">
        <v>734</v>
      </c>
      <c r="D364" s="909" t="s">
        <v>955</v>
      </c>
      <c r="E364" s="909" t="s">
        <v>735</v>
      </c>
      <c r="F364" s="909" t="s">
        <v>1175</v>
      </c>
      <c r="G364" s="909" t="s">
        <v>735</v>
      </c>
      <c r="H364" s="909"/>
      <c r="I364" s="909"/>
      <c r="J364" s="909"/>
      <c r="K364" s="910" t="s">
        <v>1177</v>
      </c>
      <c r="L364" s="911"/>
      <c r="M364" s="911"/>
      <c r="N364" s="911"/>
      <c r="O364" s="904">
        <f>+L364+M364-N364</f>
        <v>0</v>
      </c>
      <c r="P364" s="911"/>
      <c r="Q364" s="911"/>
      <c r="R364" s="911"/>
      <c r="S364" s="911"/>
      <c r="T364" s="911"/>
      <c r="U364" s="911"/>
      <c r="V364" s="911" t="e">
        <f t="shared" si="132"/>
        <v>#DIV/0!</v>
      </c>
      <c r="W364" s="911">
        <f t="shared" si="126"/>
        <v>0</v>
      </c>
      <c r="X364" s="906"/>
      <c r="Y364" s="906"/>
      <c r="Z364" s="843">
        <f t="shared" si="127"/>
        <v>0</v>
      </c>
    </row>
    <row r="365" spans="1:26" ht="16.5" thickTop="1" thickBot="1" x14ac:dyDescent="0.3">
      <c r="A365" s="908">
        <v>1</v>
      </c>
      <c r="B365" s="909" t="s">
        <v>817</v>
      </c>
      <c r="C365" s="909" t="s">
        <v>734</v>
      </c>
      <c r="D365" s="909" t="s">
        <v>955</v>
      </c>
      <c r="E365" s="909" t="s">
        <v>735</v>
      </c>
      <c r="F365" s="909" t="s">
        <v>1175</v>
      </c>
      <c r="G365" s="909" t="s">
        <v>738</v>
      </c>
      <c r="H365" s="909"/>
      <c r="I365" s="909"/>
      <c r="J365" s="909"/>
      <c r="K365" s="910" t="s">
        <v>1178</v>
      </c>
      <c r="L365" s="911"/>
      <c r="M365" s="911"/>
      <c r="N365" s="911"/>
      <c r="O365" s="904">
        <f>+L365+M365-N365</f>
        <v>0</v>
      </c>
      <c r="P365" s="911"/>
      <c r="Q365" s="911"/>
      <c r="R365" s="911"/>
      <c r="S365" s="911"/>
      <c r="T365" s="911"/>
      <c r="U365" s="911"/>
      <c r="V365" s="911" t="e">
        <f t="shared" si="132"/>
        <v>#DIV/0!</v>
      </c>
      <c r="W365" s="911">
        <f t="shared" si="126"/>
        <v>0</v>
      </c>
      <c r="X365" s="906"/>
      <c r="Y365" s="906"/>
      <c r="Z365" s="843">
        <f t="shared" si="127"/>
        <v>0</v>
      </c>
    </row>
    <row r="366" spans="1:26" ht="24" thickTop="1" thickBot="1" x14ac:dyDescent="0.3">
      <c r="A366" s="908">
        <v>1</v>
      </c>
      <c r="B366" s="909" t="s">
        <v>817</v>
      </c>
      <c r="C366" s="909" t="s">
        <v>734</v>
      </c>
      <c r="D366" s="909" t="s">
        <v>955</v>
      </c>
      <c r="E366" s="909" t="s">
        <v>735</v>
      </c>
      <c r="F366" s="909" t="s">
        <v>1175</v>
      </c>
      <c r="G366" s="909" t="s">
        <v>742</v>
      </c>
      <c r="H366" s="909"/>
      <c r="I366" s="909"/>
      <c r="J366" s="909"/>
      <c r="K366" s="910" t="s">
        <v>1179</v>
      </c>
      <c r="L366" s="911"/>
      <c r="M366" s="911"/>
      <c r="N366" s="911"/>
      <c r="O366" s="904">
        <f>+L366+M366-N366</f>
        <v>0</v>
      </c>
      <c r="P366" s="911"/>
      <c r="Q366" s="911"/>
      <c r="R366" s="911"/>
      <c r="S366" s="911"/>
      <c r="T366" s="911"/>
      <c r="U366" s="911"/>
      <c r="V366" s="911" t="e">
        <f t="shared" si="132"/>
        <v>#DIV/0!</v>
      </c>
      <c r="W366" s="911">
        <f t="shared" si="126"/>
        <v>0</v>
      </c>
      <c r="X366" s="906"/>
      <c r="Y366" s="906"/>
      <c r="Z366" s="843">
        <f t="shared" si="127"/>
        <v>0</v>
      </c>
    </row>
    <row r="367" spans="1:26" ht="16.5" thickTop="1" thickBot="1" x14ac:dyDescent="0.3">
      <c r="A367" s="877">
        <v>1</v>
      </c>
      <c r="B367" s="878" t="s">
        <v>817</v>
      </c>
      <c r="C367" s="878" t="s">
        <v>734</v>
      </c>
      <c r="D367" s="878" t="s">
        <v>955</v>
      </c>
      <c r="E367" s="878" t="s">
        <v>738</v>
      </c>
      <c r="F367" s="878"/>
      <c r="G367" s="878"/>
      <c r="H367" s="879"/>
      <c r="I367" s="879"/>
      <c r="J367" s="879"/>
      <c r="K367" s="880" t="s">
        <v>1180</v>
      </c>
      <c r="L367" s="881">
        <f>+L368</f>
        <v>0</v>
      </c>
      <c r="M367" s="881">
        <f t="shared" ref="M367:U367" si="134">+M368</f>
        <v>0</v>
      </c>
      <c r="N367" s="881">
        <f t="shared" si="134"/>
        <v>0</v>
      </c>
      <c r="O367" s="881">
        <f t="shared" si="134"/>
        <v>0</v>
      </c>
      <c r="P367" s="881">
        <f t="shared" si="134"/>
        <v>0</v>
      </c>
      <c r="Q367" s="881">
        <f t="shared" si="134"/>
        <v>0</v>
      </c>
      <c r="R367" s="881">
        <f t="shared" si="134"/>
        <v>0</v>
      </c>
      <c r="S367" s="881">
        <f t="shared" si="134"/>
        <v>0</v>
      </c>
      <c r="T367" s="881">
        <f t="shared" si="134"/>
        <v>0</v>
      </c>
      <c r="U367" s="904">
        <f t="shared" si="134"/>
        <v>0</v>
      </c>
      <c r="V367" s="882" t="e">
        <f t="shared" si="132"/>
        <v>#DIV/0!</v>
      </c>
      <c r="W367" s="881">
        <f t="shared" si="126"/>
        <v>0</v>
      </c>
      <c r="X367" s="883"/>
      <c r="Y367" s="883"/>
      <c r="Z367" s="884">
        <f t="shared" si="127"/>
        <v>0</v>
      </c>
    </row>
    <row r="368" spans="1:26" ht="16.5" thickTop="1" thickBot="1" x14ac:dyDescent="0.3">
      <c r="A368" s="908">
        <v>1</v>
      </c>
      <c r="B368" s="909" t="s">
        <v>817</v>
      </c>
      <c r="C368" s="909" t="s">
        <v>734</v>
      </c>
      <c r="D368" s="909" t="s">
        <v>955</v>
      </c>
      <c r="E368" s="909" t="s">
        <v>738</v>
      </c>
      <c r="F368" s="909" t="s">
        <v>903</v>
      </c>
      <c r="G368" s="909"/>
      <c r="H368" s="909"/>
      <c r="I368" s="909"/>
      <c r="J368" s="909"/>
      <c r="K368" s="910" t="s">
        <v>1181</v>
      </c>
      <c r="L368" s="911"/>
      <c r="M368" s="911"/>
      <c r="N368" s="911"/>
      <c r="O368" s="904">
        <f>+L368+M368-N368</f>
        <v>0</v>
      </c>
      <c r="P368" s="911"/>
      <c r="Q368" s="911"/>
      <c r="R368" s="911"/>
      <c r="S368" s="911"/>
      <c r="T368" s="911"/>
      <c r="U368" s="911"/>
      <c r="V368" s="911" t="e">
        <f t="shared" si="132"/>
        <v>#DIV/0!</v>
      </c>
      <c r="W368" s="911">
        <f t="shared" si="126"/>
        <v>0</v>
      </c>
      <c r="X368" s="906"/>
      <c r="Y368" s="906"/>
      <c r="Z368" s="843">
        <f t="shared" si="127"/>
        <v>0</v>
      </c>
    </row>
    <row r="369" spans="1:26" ht="16.5" thickTop="1" thickBot="1" x14ac:dyDescent="0.3">
      <c r="A369" s="877">
        <v>1</v>
      </c>
      <c r="B369" s="878" t="s">
        <v>817</v>
      </c>
      <c r="C369" s="878" t="s">
        <v>734</v>
      </c>
      <c r="D369" s="878" t="s">
        <v>955</v>
      </c>
      <c r="E369" s="878" t="s">
        <v>742</v>
      </c>
      <c r="F369" s="878"/>
      <c r="G369" s="878"/>
      <c r="H369" s="879"/>
      <c r="I369" s="879"/>
      <c r="J369" s="879"/>
      <c r="K369" s="880" t="s">
        <v>1182</v>
      </c>
      <c r="L369" s="881"/>
      <c r="M369" s="881"/>
      <c r="N369" s="881"/>
      <c r="O369" s="881">
        <f>+L369+M369-N369</f>
        <v>0</v>
      </c>
      <c r="P369" s="881"/>
      <c r="Q369" s="881"/>
      <c r="R369" s="881"/>
      <c r="S369" s="881"/>
      <c r="T369" s="881"/>
      <c r="U369" s="904"/>
      <c r="V369" s="882" t="e">
        <f t="shared" si="132"/>
        <v>#DIV/0!</v>
      </c>
      <c r="W369" s="881">
        <f t="shared" si="126"/>
        <v>0</v>
      </c>
      <c r="X369" s="883"/>
      <c r="Y369" s="883"/>
      <c r="Z369" s="884">
        <f t="shared" si="127"/>
        <v>0</v>
      </c>
    </row>
    <row r="370" spans="1:26" ht="16.5" thickTop="1" thickBot="1" x14ac:dyDescent="0.3">
      <c r="A370" s="869">
        <v>1</v>
      </c>
      <c r="B370" s="870" t="s">
        <v>817</v>
      </c>
      <c r="C370" s="870" t="s">
        <v>734</v>
      </c>
      <c r="D370" s="870" t="s">
        <v>960</v>
      </c>
      <c r="E370" s="870"/>
      <c r="F370" s="870"/>
      <c r="G370" s="870"/>
      <c r="H370" s="871"/>
      <c r="I370" s="871"/>
      <c r="J370" s="871"/>
      <c r="K370" s="872" t="s">
        <v>1183</v>
      </c>
      <c r="L370" s="873">
        <f>+L371+L377+L384</f>
        <v>0</v>
      </c>
      <c r="M370" s="873">
        <f t="shared" ref="M370:U370" si="135">+M371+M377+M384</f>
        <v>0</v>
      </c>
      <c r="N370" s="873">
        <f t="shared" si="135"/>
        <v>0</v>
      </c>
      <c r="O370" s="873">
        <f t="shared" si="135"/>
        <v>0</v>
      </c>
      <c r="P370" s="873">
        <f t="shared" si="135"/>
        <v>0</v>
      </c>
      <c r="Q370" s="873">
        <f t="shared" si="135"/>
        <v>0</v>
      </c>
      <c r="R370" s="873">
        <f t="shared" si="135"/>
        <v>0</v>
      </c>
      <c r="S370" s="873">
        <f t="shared" si="135"/>
        <v>0</v>
      </c>
      <c r="T370" s="873">
        <f t="shared" si="135"/>
        <v>0</v>
      </c>
      <c r="U370" s="904">
        <f t="shared" si="135"/>
        <v>0</v>
      </c>
      <c r="V370" s="874" t="e">
        <f t="shared" si="132"/>
        <v>#DIV/0!</v>
      </c>
      <c r="W370" s="873">
        <f t="shared" si="126"/>
        <v>0</v>
      </c>
      <c r="X370" s="875"/>
      <c r="Y370" s="875"/>
      <c r="Z370" s="876">
        <f t="shared" si="127"/>
        <v>0</v>
      </c>
    </row>
    <row r="371" spans="1:26" ht="16.5" thickTop="1" thickBot="1" x14ac:dyDescent="0.3">
      <c r="A371" s="877">
        <v>1</v>
      </c>
      <c r="B371" s="878" t="s">
        <v>817</v>
      </c>
      <c r="C371" s="878" t="s">
        <v>734</v>
      </c>
      <c r="D371" s="878" t="s">
        <v>960</v>
      </c>
      <c r="E371" s="878" t="s">
        <v>735</v>
      </c>
      <c r="F371" s="878"/>
      <c r="G371" s="878"/>
      <c r="H371" s="879"/>
      <c r="I371" s="879"/>
      <c r="J371" s="879"/>
      <c r="K371" s="880" t="s">
        <v>1184</v>
      </c>
      <c r="L371" s="881">
        <f>+L372+L373+L374+L375+L376</f>
        <v>0</v>
      </c>
      <c r="M371" s="881">
        <f t="shared" ref="M371:U371" si="136">+M372+M373+M374+M375+M376</f>
        <v>0</v>
      </c>
      <c r="N371" s="881">
        <f t="shared" si="136"/>
        <v>0</v>
      </c>
      <c r="O371" s="881">
        <f t="shared" si="136"/>
        <v>0</v>
      </c>
      <c r="P371" s="881">
        <f t="shared" si="136"/>
        <v>0</v>
      </c>
      <c r="Q371" s="881">
        <f t="shared" si="136"/>
        <v>0</v>
      </c>
      <c r="R371" s="881">
        <f t="shared" si="136"/>
        <v>0</v>
      </c>
      <c r="S371" s="881">
        <f t="shared" si="136"/>
        <v>0</v>
      </c>
      <c r="T371" s="881">
        <f t="shared" si="136"/>
        <v>0</v>
      </c>
      <c r="U371" s="904">
        <f t="shared" si="136"/>
        <v>0</v>
      </c>
      <c r="V371" s="882" t="e">
        <f t="shared" si="132"/>
        <v>#DIV/0!</v>
      </c>
      <c r="W371" s="881">
        <f t="shared" si="126"/>
        <v>0</v>
      </c>
      <c r="X371" s="883"/>
      <c r="Y371" s="883"/>
      <c r="Z371" s="884">
        <f t="shared" si="127"/>
        <v>0</v>
      </c>
    </row>
    <row r="372" spans="1:26" ht="16.5" thickTop="1" thickBot="1" x14ac:dyDescent="0.3">
      <c r="A372" s="908">
        <v>1</v>
      </c>
      <c r="B372" s="909" t="s">
        <v>817</v>
      </c>
      <c r="C372" s="909" t="s">
        <v>734</v>
      </c>
      <c r="D372" s="909" t="s">
        <v>960</v>
      </c>
      <c r="E372" s="909" t="s">
        <v>735</v>
      </c>
      <c r="F372" s="909" t="s">
        <v>903</v>
      </c>
      <c r="G372" s="909"/>
      <c r="H372" s="909"/>
      <c r="I372" s="909"/>
      <c r="J372" s="909"/>
      <c r="K372" s="910" t="s">
        <v>1185</v>
      </c>
      <c r="L372" s="911"/>
      <c r="M372" s="911"/>
      <c r="N372" s="911"/>
      <c r="O372" s="904">
        <f>+L372+M372-N372</f>
        <v>0</v>
      </c>
      <c r="P372" s="911"/>
      <c r="Q372" s="911"/>
      <c r="R372" s="911"/>
      <c r="S372" s="911"/>
      <c r="T372" s="911"/>
      <c r="U372" s="911"/>
      <c r="V372" s="911" t="e">
        <f t="shared" si="132"/>
        <v>#DIV/0!</v>
      </c>
      <c r="W372" s="911">
        <f t="shared" si="126"/>
        <v>0</v>
      </c>
      <c r="X372" s="906"/>
      <c r="Y372" s="906"/>
      <c r="Z372" s="843">
        <f t="shared" si="127"/>
        <v>0</v>
      </c>
    </row>
    <row r="373" spans="1:26" ht="16.5" thickTop="1" thickBot="1" x14ac:dyDescent="0.3">
      <c r="A373" s="908">
        <v>1</v>
      </c>
      <c r="B373" s="909" t="s">
        <v>817</v>
      </c>
      <c r="C373" s="909" t="s">
        <v>734</v>
      </c>
      <c r="D373" s="909" t="s">
        <v>960</v>
      </c>
      <c r="E373" s="909" t="s">
        <v>735</v>
      </c>
      <c r="F373" s="909" t="s">
        <v>927</v>
      </c>
      <c r="G373" s="909"/>
      <c r="H373" s="909"/>
      <c r="I373" s="909"/>
      <c r="J373" s="909"/>
      <c r="K373" s="910" t="s">
        <v>1186</v>
      </c>
      <c r="L373" s="911"/>
      <c r="M373" s="911"/>
      <c r="N373" s="911"/>
      <c r="O373" s="904">
        <f>+L373+M373-N373</f>
        <v>0</v>
      </c>
      <c r="P373" s="911"/>
      <c r="Q373" s="911"/>
      <c r="R373" s="911"/>
      <c r="S373" s="911"/>
      <c r="T373" s="911"/>
      <c r="U373" s="911"/>
      <c r="V373" s="911" t="e">
        <f t="shared" si="132"/>
        <v>#DIV/0!</v>
      </c>
      <c r="W373" s="911">
        <f t="shared" si="126"/>
        <v>0</v>
      </c>
      <c r="X373" s="906"/>
      <c r="Y373" s="906"/>
      <c r="Z373" s="843">
        <f t="shared" si="127"/>
        <v>0</v>
      </c>
    </row>
    <row r="374" spans="1:26" ht="16.5" thickTop="1" thickBot="1" x14ac:dyDescent="0.3">
      <c r="A374" s="908">
        <v>1</v>
      </c>
      <c r="B374" s="909" t="s">
        <v>817</v>
      </c>
      <c r="C374" s="909" t="s">
        <v>734</v>
      </c>
      <c r="D374" s="909" t="s">
        <v>960</v>
      </c>
      <c r="E374" s="909" t="s">
        <v>735</v>
      </c>
      <c r="F374" s="909" t="s">
        <v>985</v>
      </c>
      <c r="G374" s="909"/>
      <c r="H374" s="909"/>
      <c r="I374" s="909"/>
      <c r="J374" s="909"/>
      <c r="K374" s="910" t="s">
        <v>1187</v>
      </c>
      <c r="L374" s="911"/>
      <c r="M374" s="911"/>
      <c r="N374" s="911"/>
      <c r="O374" s="904">
        <f>+L374+M374-N374</f>
        <v>0</v>
      </c>
      <c r="P374" s="911"/>
      <c r="Q374" s="911"/>
      <c r="R374" s="911"/>
      <c r="S374" s="911"/>
      <c r="T374" s="911"/>
      <c r="U374" s="911"/>
      <c r="V374" s="911" t="e">
        <f t="shared" si="132"/>
        <v>#DIV/0!</v>
      </c>
      <c r="W374" s="911">
        <f t="shared" si="126"/>
        <v>0</v>
      </c>
      <c r="X374" s="906"/>
      <c r="Y374" s="906"/>
      <c r="Z374" s="843">
        <f t="shared" si="127"/>
        <v>0</v>
      </c>
    </row>
    <row r="375" spans="1:26" ht="16.5" thickTop="1" thickBot="1" x14ac:dyDescent="0.3">
      <c r="A375" s="908">
        <v>1</v>
      </c>
      <c r="B375" s="909" t="s">
        <v>817</v>
      </c>
      <c r="C375" s="909" t="s">
        <v>734</v>
      </c>
      <c r="D375" s="909" t="s">
        <v>960</v>
      </c>
      <c r="E375" s="909" t="s">
        <v>735</v>
      </c>
      <c r="F375" s="909" t="s">
        <v>1188</v>
      </c>
      <c r="G375" s="909"/>
      <c r="H375" s="909"/>
      <c r="I375" s="909"/>
      <c r="J375" s="909"/>
      <c r="K375" s="910" t="s">
        <v>1176</v>
      </c>
      <c r="L375" s="911"/>
      <c r="M375" s="911"/>
      <c r="N375" s="911"/>
      <c r="O375" s="904">
        <f>+L375+M375-N375</f>
        <v>0</v>
      </c>
      <c r="P375" s="911"/>
      <c r="Q375" s="911"/>
      <c r="R375" s="911"/>
      <c r="S375" s="911"/>
      <c r="T375" s="911"/>
      <c r="U375" s="911"/>
      <c r="V375" s="911" t="e">
        <f t="shared" si="132"/>
        <v>#DIV/0!</v>
      </c>
      <c r="W375" s="911">
        <f t="shared" si="126"/>
        <v>0</v>
      </c>
      <c r="X375" s="906"/>
      <c r="Y375" s="906"/>
      <c r="Z375" s="843">
        <f t="shared" si="127"/>
        <v>0</v>
      </c>
    </row>
    <row r="376" spans="1:26" ht="16.5" thickTop="1" thickBot="1" x14ac:dyDescent="0.3">
      <c r="A376" s="908">
        <v>1</v>
      </c>
      <c r="B376" s="909" t="s">
        <v>817</v>
      </c>
      <c r="C376" s="909" t="s">
        <v>734</v>
      </c>
      <c r="D376" s="909" t="s">
        <v>960</v>
      </c>
      <c r="E376" s="909" t="s">
        <v>735</v>
      </c>
      <c r="F376" s="909" t="s">
        <v>1189</v>
      </c>
      <c r="G376" s="909"/>
      <c r="H376" s="909"/>
      <c r="I376" s="909"/>
      <c r="J376" s="909"/>
      <c r="K376" s="910" t="s">
        <v>1190</v>
      </c>
      <c r="L376" s="911"/>
      <c r="M376" s="911"/>
      <c r="N376" s="911"/>
      <c r="O376" s="904">
        <f>+L376+M376-N376</f>
        <v>0</v>
      </c>
      <c r="P376" s="911"/>
      <c r="Q376" s="911"/>
      <c r="R376" s="911"/>
      <c r="S376" s="911"/>
      <c r="T376" s="911"/>
      <c r="U376" s="911"/>
      <c r="V376" s="911" t="e">
        <f t="shared" si="132"/>
        <v>#DIV/0!</v>
      </c>
      <c r="W376" s="911">
        <f t="shared" si="126"/>
        <v>0</v>
      </c>
      <c r="X376" s="906"/>
      <c r="Y376" s="906"/>
      <c r="Z376" s="843">
        <f t="shared" si="127"/>
        <v>0</v>
      </c>
    </row>
    <row r="377" spans="1:26" ht="16.5" thickTop="1" thickBot="1" x14ac:dyDescent="0.3">
      <c r="A377" s="877">
        <v>1</v>
      </c>
      <c r="B377" s="878" t="s">
        <v>817</v>
      </c>
      <c r="C377" s="878" t="s">
        <v>734</v>
      </c>
      <c r="D377" s="878" t="s">
        <v>960</v>
      </c>
      <c r="E377" s="878" t="s">
        <v>738</v>
      </c>
      <c r="F377" s="878"/>
      <c r="G377" s="878"/>
      <c r="H377" s="879"/>
      <c r="I377" s="879"/>
      <c r="J377" s="879"/>
      <c r="K377" s="880" t="s">
        <v>1180</v>
      </c>
      <c r="L377" s="881">
        <f>+L378+L383</f>
        <v>0</v>
      </c>
      <c r="M377" s="881">
        <f t="shared" ref="M377:U377" si="137">+M378+M383</f>
        <v>0</v>
      </c>
      <c r="N377" s="881">
        <f t="shared" si="137"/>
        <v>0</v>
      </c>
      <c r="O377" s="881">
        <f t="shared" si="137"/>
        <v>0</v>
      </c>
      <c r="P377" s="881">
        <f t="shared" si="137"/>
        <v>0</v>
      </c>
      <c r="Q377" s="881">
        <f t="shared" si="137"/>
        <v>0</v>
      </c>
      <c r="R377" s="881">
        <f t="shared" si="137"/>
        <v>0</v>
      </c>
      <c r="S377" s="881">
        <f t="shared" si="137"/>
        <v>0</v>
      </c>
      <c r="T377" s="881">
        <f t="shared" si="137"/>
        <v>0</v>
      </c>
      <c r="U377" s="904">
        <f t="shared" si="137"/>
        <v>0</v>
      </c>
      <c r="V377" s="882" t="e">
        <f t="shared" si="132"/>
        <v>#DIV/0!</v>
      </c>
      <c r="W377" s="881">
        <f t="shared" si="126"/>
        <v>0</v>
      </c>
      <c r="X377" s="883"/>
      <c r="Y377" s="883"/>
      <c r="Z377" s="884">
        <f t="shared" si="127"/>
        <v>0</v>
      </c>
    </row>
    <row r="378" spans="1:26" ht="16.5" thickTop="1" thickBot="1" x14ac:dyDescent="0.3">
      <c r="A378" s="908">
        <v>1</v>
      </c>
      <c r="B378" s="909" t="s">
        <v>817</v>
      </c>
      <c r="C378" s="909" t="s">
        <v>734</v>
      </c>
      <c r="D378" s="909" t="s">
        <v>960</v>
      </c>
      <c r="E378" s="909" t="s">
        <v>738</v>
      </c>
      <c r="F378" s="909" t="s">
        <v>903</v>
      </c>
      <c r="G378" s="909"/>
      <c r="H378" s="909"/>
      <c r="I378" s="909"/>
      <c r="J378" s="909"/>
      <c r="K378" s="910" t="s">
        <v>1191</v>
      </c>
      <c r="L378" s="911">
        <f>+L379+L380+L381+L382</f>
        <v>0</v>
      </c>
      <c r="M378" s="911">
        <f t="shared" ref="M378:U378" si="138">+M379+M380+M381+M382</f>
        <v>0</v>
      </c>
      <c r="N378" s="911">
        <f t="shared" si="138"/>
        <v>0</v>
      </c>
      <c r="O378" s="911">
        <f t="shared" si="138"/>
        <v>0</v>
      </c>
      <c r="P378" s="911">
        <f t="shared" si="138"/>
        <v>0</v>
      </c>
      <c r="Q378" s="911">
        <f t="shared" si="138"/>
        <v>0</v>
      </c>
      <c r="R378" s="911">
        <f t="shared" si="138"/>
        <v>0</v>
      </c>
      <c r="S378" s="911">
        <f t="shared" si="138"/>
        <v>0</v>
      </c>
      <c r="T378" s="911">
        <f t="shared" si="138"/>
        <v>0</v>
      </c>
      <c r="U378" s="911">
        <f t="shared" si="138"/>
        <v>0</v>
      </c>
      <c r="V378" s="911" t="e">
        <f t="shared" si="132"/>
        <v>#DIV/0!</v>
      </c>
      <c r="W378" s="911">
        <f t="shared" si="126"/>
        <v>0</v>
      </c>
      <c r="X378" s="906"/>
      <c r="Y378" s="906"/>
      <c r="Z378" s="843">
        <f t="shared" si="127"/>
        <v>0</v>
      </c>
    </row>
    <row r="379" spans="1:26" ht="16.5" thickTop="1" thickBot="1" x14ac:dyDescent="0.3">
      <c r="A379" s="908">
        <v>1</v>
      </c>
      <c r="B379" s="909" t="s">
        <v>817</v>
      </c>
      <c r="C379" s="909" t="s">
        <v>734</v>
      </c>
      <c r="D379" s="909" t="s">
        <v>960</v>
      </c>
      <c r="E379" s="909" t="s">
        <v>738</v>
      </c>
      <c r="F379" s="909" t="s">
        <v>903</v>
      </c>
      <c r="G379" s="909" t="s">
        <v>735</v>
      </c>
      <c r="H379" s="909"/>
      <c r="I379" s="909"/>
      <c r="J379" s="909"/>
      <c r="K379" s="910" t="s">
        <v>1192</v>
      </c>
      <c r="L379" s="911"/>
      <c r="M379" s="911"/>
      <c r="N379" s="911"/>
      <c r="O379" s="904">
        <f t="shared" ref="O379:O384" si="139">+L379+M379-N379</f>
        <v>0</v>
      </c>
      <c r="P379" s="911"/>
      <c r="Q379" s="911"/>
      <c r="R379" s="911"/>
      <c r="S379" s="911"/>
      <c r="T379" s="911"/>
      <c r="U379" s="911"/>
      <c r="V379" s="911" t="e">
        <f t="shared" si="132"/>
        <v>#DIV/0!</v>
      </c>
      <c r="W379" s="911">
        <f t="shared" si="126"/>
        <v>0</v>
      </c>
      <c r="X379" s="906"/>
      <c r="Y379" s="906"/>
      <c r="Z379" s="843">
        <f t="shared" si="127"/>
        <v>0</v>
      </c>
    </row>
    <row r="380" spans="1:26" ht="16.5" thickTop="1" thickBot="1" x14ac:dyDescent="0.3">
      <c r="A380" s="908">
        <v>1</v>
      </c>
      <c r="B380" s="909" t="s">
        <v>817</v>
      </c>
      <c r="C380" s="909" t="s">
        <v>734</v>
      </c>
      <c r="D380" s="909" t="s">
        <v>960</v>
      </c>
      <c r="E380" s="909" t="s">
        <v>738</v>
      </c>
      <c r="F380" s="909" t="s">
        <v>903</v>
      </c>
      <c r="G380" s="909" t="s">
        <v>738</v>
      </c>
      <c r="H380" s="909"/>
      <c r="I380" s="909"/>
      <c r="J380" s="909"/>
      <c r="K380" s="910" t="s">
        <v>1193</v>
      </c>
      <c r="L380" s="911"/>
      <c r="M380" s="911"/>
      <c r="N380" s="911"/>
      <c r="O380" s="904">
        <f t="shared" si="139"/>
        <v>0</v>
      </c>
      <c r="P380" s="911"/>
      <c r="Q380" s="911"/>
      <c r="R380" s="911"/>
      <c r="S380" s="911"/>
      <c r="T380" s="911"/>
      <c r="U380" s="911"/>
      <c r="V380" s="911" t="e">
        <f t="shared" si="132"/>
        <v>#DIV/0!</v>
      </c>
      <c r="W380" s="911">
        <f t="shared" si="126"/>
        <v>0</v>
      </c>
      <c r="X380" s="906"/>
      <c r="Y380" s="906"/>
      <c r="Z380" s="843">
        <f t="shared" si="127"/>
        <v>0</v>
      </c>
    </row>
    <row r="381" spans="1:26" ht="16.5" thickTop="1" thickBot="1" x14ac:dyDescent="0.3">
      <c r="A381" s="908">
        <v>1</v>
      </c>
      <c r="B381" s="909" t="s">
        <v>817</v>
      </c>
      <c r="C381" s="909" t="s">
        <v>734</v>
      </c>
      <c r="D381" s="909" t="s">
        <v>960</v>
      </c>
      <c r="E381" s="909" t="s">
        <v>738</v>
      </c>
      <c r="F381" s="909" t="s">
        <v>903</v>
      </c>
      <c r="G381" s="909" t="s">
        <v>742</v>
      </c>
      <c r="H381" s="909"/>
      <c r="I381" s="909"/>
      <c r="J381" s="909"/>
      <c r="K381" s="910" t="s">
        <v>1194</v>
      </c>
      <c r="L381" s="911"/>
      <c r="M381" s="911"/>
      <c r="N381" s="911"/>
      <c r="O381" s="904">
        <f t="shared" si="139"/>
        <v>0</v>
      </c>
      <c r="P381" s="911"/>
      <c r="Q381" s="911"/>
      <c r="R381" s="911"/>
      <c r="S381" s="911"/>
      <c r="T381" s="911"/>
      <c r="U381" s="911"/>
      <c r="V381" s="911" t="e">
        <f t="shared" si="132"/>
        <v>#DIV/0!</v>
      </c>
      <c r="W381" s="911">
        <f t="shared" si="126"/>
        <v>0</v>
      </c>
      <c r="X381" s="906"/>
      <c r="Y381" s="906"/>
      <c r="Z381" s="843">
        <f t="shared" si="127"/>
        <v>0</v>
      </c>
    </row>
    <row r="382" spans="1:26" ht="16.5" thickTop="1" thickBot="1" x14ac:dyDescent="0.3">
      <c r="A382" s="908">
        <v>1</v>
      </c>
      <c r="B382" s="909" t="s">
        <v>817</v>
      </c>
      <c r="C382" s="909" t="s">
        <v>734</v>
      </c>
      <c r="D382" s="909" t="s">
        <v>960</v>
      </c>
      <c r="E382" s="909" t="s">
        <v>738</v>
      </c>
      <c r="F382" s="909" t="s">
        <v>903</v>
      </c>
      <c r="G382" s="909" t="s">
        <v>758</v>
      </c>
      <c r="H382" s="909"/>
      <c r="I382" s="909"/>
      <c r="J382" s="909"/>
      <c r="K382" s="910" t="s">
        <v>1195</v>
      </c>
      <c r="L382" s="911"/>
      <c r="M382" s="911"/>
      <c r="N382" s="911"/>
      <c r="O382" s="904">
        <f t="shared" si="139"/>
        <v>0</v>
      </c>
      <c r="P382" s="911"/>
      <c r="Q382" s="911"/>
      <c r="R382" s="911"/>
      <c r="S382" s="911"/>
      <c r="T382" s="911"/>
      <c r="U382" s="911"/>
      <c r="V382" s="911" t="e">
        <f t="shared" si="132"/>
        <v>#DIV/0!</v>
      </c>
      <c r="W382" s="911">
        <f t="shared" si="126"/>
        <v>0</v>
      </c>
      <c r="X382" s="906"/>
      <c r="Y382" s="906"/>
      <c r="Z382" s="843">
        <f t="shared" si="127"/>
        <v>0</v>
      </c>
    </row>
    <row r="383" spans="1:26" ht="16.5" thickTop="1" thickBot="1" x14ac:dyDescent="0.3">
      <c r="A383" s="908">
        <v>1</v>
      </c>
      <c r="B383" s="909" t="s">
        <v>817</v>
      </c>
      <c r="C383" s="909" t="s">
        <v>734</v>
      </c>
      <c r="D383" s="909" t="s">
        <v>960</v>
      </c>
      <c r="E383" s="909" t="s">
        <v>738</v>
      </c>
      <c r="F383" s="909" t="s">
        <v>927</v>
      </c>
      <c r="G383" s="909"/>
      <c r="H383" s="909"/>
      <c r="I383" s="909"/>
      <c r="J383" s="909"/>
      <c r="K383" s="910" t="s">
        <v>1196</v>
      </c>
      <c r="L383" s="911"/>
      <c r="M383" s="911"/>
      <c r="N383" s="911"/>
      <c r="O383" s="904">
        <f t="shared" si="139"/>
        <v>0</v>
      </c>
      <c r="P383" s="911"/>
      <c r="Q383" s="911"/>
      <c r="R383" s="911"/>
      <c r="S383" s="911"/>
      <c r="T383" s="911"/>
      <c r="U383" s="911"/>
      <c r="V383" s="911" t="e">
        <f t="shared" si="132"/>
        <v>#DIV/0!</v>
      </c>
      <c r="W383" s="911">
        <f t="shared" si="126"/>
        <v>0</v>
      </c>
      <c r="X383" s="906"/>
      <c r="Y383" s="906"/>
      <c r="Z383" s="843">
        <f t="shared" si="127"/>
        <v>0</v>
      </c>
    </row>
    <row r="384" spans="1:26" ht="16.5" thickTop="1" thickBot="1" x14ac:dyDescent="0.3">
      <c r="A384" s="877">
        <v>1</v>
      </c>
      <c r="B384" s="878" t="s">
        <v>817</v>
      </c>
      <c r="C384" s="878" t="s">
        <v>734</v>
      </c>
      <c r="D384" s="878" t="s">
        <v>960</v>
      </c>
      <c r="E384" s="878" t="s">
        <v>742</v>
      </c>
      <c r="F384" s="878"/>
      <c r="G384" s="878"/>
      <c r="H384" s="879"/>
      <c r="I384" s="879"/>
      <c r="J384" s="879"/>
      <c r="K384" s="880" t="s">
        <v>1182</v>
      </c>
      <c r="L384" s="881"/>
      <c r="M384" s="881"/>
      <c r="N384" s="881"/>
      <c r="O384" s="881">
        <f t="shared" si="139"/>
        <v>0</v>
      </c>
      <c r="P384" s="881"/>
      <c r="Q384" s="881"/>
      <c r="R384" s="881"/>
      <c r="S384" s="881"/>
      <c r="T384" s="881"/>
      <c r="U384" s="904"/>
      <c r="V384" s="882" t="e">
        <f t="shared" si="132"/>
        <v>#DIV/0!</v>
      </c>
      <c r="W384" s="881">
        <f t="shared" si="126"/>
        <v>0</v>
      </c>
      <c r="X384" s="883"/>
      <c r="Y384" s="883"/>
      <c r="Z384" s="884">
        <f t="shared" si="127"/>
        <v>0</v>
      </c>
    </row>
    <row r="385" spans="1:26" ht="16.5" thickTop="1" thickBot="1" x14ac:dyDescent="0.3">
      <c r="A385" s="869">
        <v>1</v>
      </c>
      <c r="B385" s="870" t="s">
        <v>817</v>
      </c>
      <c r="C385" s="870" t="s">
        <v>734</v>
      </c>
      <c r="D385" s="870" t="s">
        <v>965</v>
      </c>
      <c r="E385" s="870"/>
      <c r="F385" s="870"/>
      <c r="G385" s="870"/>
      <c r="H385" s="871"/>
      <c r="I385" s="871"/>
      <c r="J385" s="871"/>
      <c r="K385" s="872" t="s">
        <v>1197</v>
      </c>
      <c r="L385" s="873">
        <f>+L386+L396+L397+L400</f>
        <v>0</v>
      </c>
      <c r="M385" s="873">
        <f t="shared" ref="M385:U385" si="140">+M386+M396+M397+M400</f>
        <v>0</v>
      </c>
      <c r="N385" s="873">
        <f t="shared" si="140"/>
        <v>0</v>
      </c>
      <c r="O385" s="873">
        <f t="shared" si="140"/>
        <v>0</v>
      </c>
      <c r="P385" s="873">
        <f t="shared" si="140"/>
        <v>0</v>
      </c>
      <c r="Q385" s="873">
        <f t="shared" si="140"/>
        <v>0</v>
      </c>
      <c r="R385" s="873">
        <f t="shared" si="140"/>
        <v>0</v>
      </c>
      <c r="S385" s="873">
        <f t="shared" si="140"/>
        <v>0</v>
      </c>
      <c r="T385" s="873">
        <f t="shared" si="140"/>
        <v>0</v>
      </c>
      <c r="U385" s="904">
        <f t="shared" si="140"/>
        <v>0</v>
      </c>
      <c r="V385" s="874" t="e">
        <f t="shared" si="132"/>
        <v>#DIV/0!</v>
      </c>
      <c r="W385" s="873">
        <f t="shared" si="126"/>
        <v>0</v>
      </c>
      <c r="X385" s="875"/>
      <c r="Y385" s="875"/>
      <c r="Z385" s="876">
        <f t="shared" si="127"/>
        <v>0</v>
      </c>
    </row>
    <row r="386" spans="1:26" ht="16.5" thickTop="1" thickBot="1" x14ac:dyDescent="0.3">
      <c r="A386" s="877">
        <v>1</v>
      </c>
      <c r="B386" s="878" t="s">
        <v>817</v>
      </c>
      <c r="C386" s="878" t="s">
        <v>734</v>
      </c>
      <c r="D386" s="878" t="s">
        <v>965</v>
      </c>
      <c r="E386" s="878" t="s">
        <v>735</v>
      </c>
      <c r="F386" s="878"/>
      <c r="G386" s="878"/>
      <c r="H386" s="879"/>
      <c r="I386" s="879"/>
      <c r="J386" s="879"/>
      <c r="K386" s="880" t="s">
        <v>1198</v>
      </c>
      <c r="L386" s="881">
        <f>+L387+L390+L393</f>
        <v>0</v>
      </c>
      <c r="M386" s="881">
        <f t="shared" ref="M386:U386" si="141">+M387+M390+M393</f>
        <v>0</v>
      </c>
      <c r="N386" s="881">
        <f t="shared" si="141"/>
        <v>0</v>
      </c>
      <c r="O386" s="881">
        <f t="shared" si="141"/>
        <v>0</v>
      </c>
      <c r="P386" s="881">
        <f t="shared" si="141"/>
        <v>0</v>
      </c>
      <c r="Q386" s="881">
        <f t="shared" si="141"/>
        <v>0</v>
      </c>
      <c r="R386" s="881">
        <f t="shared" si="141"/>
        <v>0</v>
      </c>
      <c r="S386" s="881">
        <f t="shared" si="141"/>
        <v>0</v>
      </c>
      <c r="T386" s="881">
        <f t="shared" si="141"/>
        <v>0</v>
      </c>
      <c r="U386" s="904">
        <f t="shared" si="141"/>
        <v>0</v>
      </c>
      <c r="V386" s="882" t="e">
        <f t="shared" si="132"/>
        <v>#DIV/0!</v>
      </c>
      <c r="W386" s="881">
        <f t="shared" si="126"/>
        <v>0</v>
      </c>
      <c r="X386" s="883"/>
      <c r="Y386" s="883"/>
      <c r="Z386" s="884">
        <f t="shared" si="127"/>
        <v>0</v>
      </c>
    </row>
    <row r="387" spans="1:26" ht="16.5" thickTop="1" thickBot="1" x14ac:dyDescent="0.3">
      <c r="A387" s="908">
        <v>1</v>
      </c>
      <c r="B387" s="909" t="s">
        <v>817</v>
      </c>
      <c r="C387" s="909" t="s">
        <v>734</v>
      </c>
      <c r="D387" s="909" t="s">
        <v>965</v>
      </c>
      <c r="E387" s="909" t="s">
        <v>735</v>
      </c>
      <c r="F387" s="909" t="s">
        <v>903</v>
      </c>
      <c r="G387" s="909"/>
      <c r="H387" s="909"/>
      <c r="I387" s="909"/>
      <c r="J387" s="909"/>
      <c r="K387" s="910" t="s">
        <v>1199</v>
      </c>
      <c r="L387" s="911">
        <f>+L388+L389</f>
        <v>0</v>
      </c>
      <c r="M387" s="911">
        <f t="shared" ref="M387:U387" si="142">+M388+M389</f>
        <v>0</v>
      </c>
      <c r="N387" s="911">
        <f t="shared" si="142"/>
        <v>0</v>
      </c>
      <c r="O387" s="911">
        <f t="shared" si="142"/>
        <v>0</v>
      </c>
      <c r="P387" s="911">
        <f t="shared" si="142"/>
        <v>0</v>
      </c>
      <c r="Q387" s="911">
        <f t="shared" si="142"/>
        <v>0</v>
      </c>
      <c r="R387" s="911">
        <f t="shared" si="142"/>
        <v>0</v>
      </c>
      <c r="S387" s="911">
        <f t="shared" si="142"/>
        <v>0</v>
      </c>
      <c r="T387" s="911">
        <f t="shared" si="142"/>
        <v>0</v>
      </c>
      <c r="U387" s="911">
        <f t="shared" si="142"/>
        <v>0</v>
      </c>
      <c r="V387" s="911" t="e">
        <f t="shared" si="132"/>
        <v>#DIV/0!</v>
      </c>
      <c r="W387" s="911">
        <f t="shared" si="126"/>
        <v>0</v>
      </c>
      <c r="X387" s="906"/>
      <c r="Y387" s="906"/>
      <c r="Z387" s="843">
        <f t="shared" si="127"/>
        <v>0</v>
      </c>
    </row>
    <row r="388" spans="1:26" ht="16.5" thickTop="1" thickBot="1" x14ac:dyDescent="0.3">
      <c r="A388" s="908">
        <v>1</v>
      </c>
      <c r="B388" s="909" t="s">
        <v>817</v>
      </c>
      <c r="C388" s="909" t="s">
        <v>734</v>
      </c>
      <c r="D388" s="909" t="s">
        <v>965</v>
      </c>
      <c r="E388" s="909" t="s">
        <v>735</v>
      </c>
      <c r="F388" s="909" t="s">
        <v>903</v>
      </c>
      <c r="G388" s="909" t="s">
        <v>735</v>
      </c>
      <c r="H388" s="909"/>
      <c r="I388" s="909"/>
      <c r="J388" s="909"/>
      <c r="K388" s="910" t="s">
        <v>1200</v>
      </c>
      <c r="L388" s="911"/>
      <c r="M388" s="911"/>
      <c r="N388" s="911"/>
      <c r="O388" s="904">
        <f>+L388+M388-N388</f>
        <v>0</v>
      </c>
      <c r="P388" s="911"/>
      <c r="Q388" s="911"/>
      <c r="R388" s="911"/>
      <c r="S388" s="911"/>
      <c r="T388" s="911"/>
      <c r="U388" s="911"/>
      <c r="V388" s="911" t="e">
        <f t="shared" si="132"/>
        <v>#DIV/0!</v>
      </c>
      <c r="W388" s="911">
        <f t="shared" si="126"/>
        <v>0</v>
      </c>
      <c r="X388" s="906"/>
      <c r="Y388" s="906"/>
      <c r="Z388" s="843">
        <f t="shared" si="127"/>
        <v>0</v>
      </c>
    </row>
    <row r="389" spans="1:26" ht="16.5" thickTop="1" thickBot="1" x14ac:dyDescent="0.3">
      <c r="A389" s="908">
        <v>1</v>
      </c>
      <c r="B389" s="909" t="s">
        <v>817</v>
      </c>
      <c r="C389" s="909" t="s">
        <v>734</v>
      </c>
      <c r="D389" s="909" t="s">
        <v>965</v>
      </c>
      <c r="E389" s="909" t="s">
        <v>735</v>
      </c>
      <c r="F389" s="909" t="s">
        <v>903</v>
      </c>
      <c r="G389" s="909" t="s">
        <v>738</v>
      </c>
      <c r="H389" s="909"/>
      <c r="I389" s="909"/>
      <c r="J389" s="909"/>
      <c r="K389" s="910" t="s">
        <v>1201</v>
      </c>
      <c r="L389" s="911"/>
      <c r="M389" s="911"/>
      <c r="N389" s="911"/>
      <c r="O389" s="904">
        <f>+L389+M389-N389</f>
        <v>0</v>
      </c>
      <c r="P389" s="911"/>
      <c r="Q389" s="911"/>
      <c r="R389" s="911"/>
      <c r="S389" s="911"/>
      <c r="T389" s="911"/>
      <c r="U389" s="911"/>
      <c r="V389" s="911" t="e">
        <f t="shared" si="132"/>
        <v>#DIV/0!</v>
      </c>
      <c r="W389" s="911">
        <f t="shared" si="126"/>
        <v>0</v>
      </c>
      <c r="X389" s="906"/>
      <c r="Y389" s="906"/>
      <c r="Z389" s="843">
        <f t="shared" si="127"/>
        <v>0</v>
      </c>
    </row>
    <row r="390" spans="1:26" ht="16.5" thickTop="1" thickBot="1" x14ac:dyDescent="0.3">
      <c r="A390" s="908">
        <v>1</v>
      </c>
      <c r="B390" s="909" t="s">
        <v>817</v>
      </c>
      <c r="C390" s="909" t="s">
        <v>734</v>
      </c>
      <c r="D390" s="909" t="s">
        <v>965</v>
      </c>
      <c r="E390" s="909" t="s">
        <v>735</v>
      </c>
      <c r="F390" s="909" t="s">
        <v>927</v>
      </c>
      <c r="G390" s="909"/>
      <c r="H390" s="909"/>
      <c r="I390" s="909"/>
      <c r="J390" s="909"/>
      <c r="K390" s="910" t="s">
        <v>1202</v>
      </c>
      <c r="L390" s="911">
        <f>+L391+L392</f>
        <v>0</v>
      </c>
      <c r="M390" s="911">
        <f t="shared" ref="M390:U390" si="143">+M391+M392</f>
        <v>0</v>
      </c>
      <c r="N390" s="911">
        <f t="shared" si="143"/>
        <v>0</v>
      </c>
      <c r="O390" s="911">
        <f t="shared" si="143"/>
        <v>0</v>
      </c>
      <c r="P390" s="911">
        <f t="shared" si="143"/>
        <v>0</v>
      </c>
      <c r="Q390" s="911">
        <f t="shared" si="143"/>
        <v>0</v>
      </c>
      <c r="R390" s="911">
        <f t="shared" si="143"/>
        <v>0</v>
      </c>
      <c r="S390" s="911">
        <f t="shared" si="143"/>
        <v>0</v>
      </c>
      <c r="T390" s="911">
        <f t="shared" si="143"/>
        <v>0</v>
      </c>
      <c r="U390" s="911">
        <f t="shared" si="143"/>
        <v>0</v>
      </c>
      <c r="V390" s="911" t="e">
        <f t="shared" si="132"/>
        <v>#DIV/0!</v>
      </c>
      <c r="W390" s="911">
        <f t="shared" si="126"/>
        <v>0</v>
      </c>
      <c r="X390" s="906"/>
      <c r="Y390" s="906"/>
      <c r="Z390" s="843">
        <f t="shared" si="127"/>
        <v>0</v>
      </c>
    </row>
    <row r="391" spans="1:26" ht="16.5" thickTop="1" thickBot="1" x14ac:dyDescent="0.3">
      <c r="A391" s="908">
        <v>1</v>
      </c>
      <c r="B391" s="909" t="s">
        <v>817</v>
      </c>
      <c r="C391" s="909" t="s">
        <v>734</v>
      </c>
      <c r="D391" s="909" t="s">
        <v>965</v>
      </c>
      <c r="E391" s="909" t="s">
        <v>735</v>
      </c>
      <c r="F391" s="909" t="s">
        <v>927</v>
      </c>
      <c r="G391" s="909" t="s">
        <v>735</v>
      </c>
      <c r="H391" s="909"/>
      <c r="I391" s="909"/>
      <c r="J391" s="909"/>
      <c r="K391" s="910" t="s">
        <v>1200</v>
      </c>
      <c r="L391" s="911"/>
      <c r="M391" s="911"/>
      <c r="N391" s="911"/>
      <c r="O391" s="904">
        <f>+L391+M391-N391</f>
        <v>0</v>
      </c>
      <c r="P391" s="911"/>
      <c r="Q391" s="911"/>
      <c r="R391" s="911"/>
      <c r="S391" s="911"/>
      <c r="T391" s="911"/>
      <c r="U391" s="911"/>
      <c r="V391" s="911" t="e">
        <f t="shared" si="132"/>
        <v>#DIV/0!</v>
      </c>
      <c r="W391" s="911">
        <f t="shared" si="126"/>
        <v>0</v>
      </c>
      <c r="X391" s="906"/>
      <c r="Y391" s="906"/>
      <c r="Z391" s="843">
        <f t="shared" si="127"/>
        <v>0</v>
      </c>
    </row>
    <row r="392" spans="1:26" ht="16.5" thickTop="1" thickBot="1" x14ac:dyDescent="0.3">
      <c r="A392" s="908">
        <v>1</v>
      </c>
      <c r="B392" s="909" t="s">
        <v>817</v>
      </c>
      <c r="C392" s="909" t="s">
        <v>734</v>
      </c>
      <c r="D392" s="909" t="s">
        <v>965</v>
      </c>
      <c r="E392" s="909" t="s">
        <v>735</v>
      </c>
      <c r="F392" s="909" t="s">
        <v>927</v>
      </c>
      <c r="G392" s="909" t="s">
        <v>738</v>
      </c>
      <c r="H392" s="909"/>
      <c r="I392" s="909"/>
      <c r="J392" s="909"/>
      <c r="K392" s="910" t="s">
        <v>1201</v>
      </c>
      <c r="L392" s="911"/>
      <c r="M392" s="911"/>
      <c r="N392" s="911"/>
      <c r="O392" s="904">
        <f>+L392+M392-N392</f>
        <v>0</v>
      </c>
      <c r="P392" s="911"/>
      <c r="Q392" s="911"/>
      <c r="R392" s="911"/>
      <c r="S392" s="911"/>
      <c r="T392" s="911"/>
      <c r="U392" s="911"/>
      <c r="V392" s="911" t="e">
        <f t="shared" si="132"/>
        <v>#DIV/0!</v>
      </c>
      <c r="W392" s="911">
        <f t="shared" si="126"/>
        <v>0</v>
      </c>
      <c r="X392" s="906"/>
      <c r="Y392" s="906"/>
      <c r="Z392" s="843">
        <f t="shared" si="127"/>
        <v>0</v>
      </c>
    </row>
    <row r="393" spans="1:26" ht="16.5" thickTop="1" thickBot="1" x14ac:dyDescent="0.3">
      <c r="A393" s="908">
        <v>1</v>
      </c>
      <c r="B393" s="909" t="s">
        <v>817</v>
      </c>
      <c r="C393" s="909" t="s">
        <v>734</v>
      </c>
      <c r="D393" s="909" t="s">
        <v>965</v>
      </c>
      <c r="E393" s="909" t="s">
        <v>735</v>
      </c>
      <c r="F393" s="909" t="s">
        <v>985</v>
      </c>
      <c r="G393" s="909"/>
      <c r="H393" s="909"/>
      <c r="I393" s="909"/>
      <c r="J393" s="909"/>
      <c r="K393" s="910" t="s">
        <v>1203</v>
      </c>
      <c r="L393" s="911">
        <f>+L394+L395</f>
        <v>0</v>
      </c>
      <c r="M393" s="911">
        <f t="shared" ref="M393:U393" si="144">+M394+M395</f>
        <v>0</v>
      </c>
      <c r="N393" s="911">
        <f t="shared" si="144"/>
        <v>0</v>
      </c>
      <c r="O393" s="911">
        <f t="shared" si="144"/>
        <v>0</v>
      </c>
      <c r="P393" s="911">
        <f t="shared" si="144"/>
        <v>0</v>
      </c>
      <c r="Q393" s="911">
        <f t="shared" si="144"/>
        <v>0</v>
      </c>
      <c r="R393" s="911">
        <f t="shared" si="144"/>
        <v>0</v>
      </c>
      <c r="S393" s="911">
        <f t="shared" si="144"/>
        <v>0</v>
      </c>
      <c r="T393" s="911">
        <f t="shared" si="144"/>
        <v>0</v>
      </c>
      <c r="U393" s="911">
        <f t="shared" si="144"/>
        <v>0</v>
      </c>
      <c r="V393" s="911" t="e">
        <f t="shared" si="132"/>
        <v>#DIV/0!</v>
      </c>
      <c r="W393" s="911">
        <f t="shared" si="126"/>
        <v>0</v>
      </c>
      <c r="X393" s="906"/>
      <c r="Y393" s="906"/>
      <c r="Z393" s="843">
        <f t="shared" si="127"/>
        <v>0</v>
      </c>
    </row>
    <row r="394" spans="1:26" ht="16.5" thickTop="1" thickBot="1" x14ac:dyDescent="0.3">
      <c r="A394" s="908">
        <v>1</v>
      </c>
      <c r="B394" s="909" t="s">
        <v>817</v>
      </c>
      <c r="C394" s="909" t="s">
        <v>734</v>
      </c>
      <c r="D394" s="909" t="s">
        <v>965</v>
      </c>
      <c r="E394" s="909" t="s">
        <v>735</v>
      </c>
      <c r="F394" s="909" t="s">
        <v>985</v>
      </c>
      <c r="G394" s="909" t="s">
        <v>735</v>
      </c>
      <c r="H394" s="909"/>
      <c r="I394" s="909"/>
      <c r="J394" s="909"/>
      <c r="K394" s="910" t="s">
        <v>1200</v>
      </c>
      <c r="L394" s="911"/>
      <c r="M394" s="911"/>
      <c r="N394" s="911"/>
      <c r="O394" s="904">
        <f t="shared" ref="O394:O399" si="145">+L394+M394-N394</f>
        <v>0</v>
      </c>
      <c r="P394" s="911"/>
      <c r="Q394" s="911"/>
      <c r="R394" s="911"/>
      <c r="S394" s="911"/>
      <c r="T394" s="911"/>
      <c r="U394" s="911"/>
      <c r="V394" s="911" t="e">
        <f t="shared" si="132"/>
        <v>#DIV/0!</v>
      </c>
      <c r="W394" s="911">
        <f t="shared" si="126"/>
        <v>0</v>
      </c>
      <c r="X394" s="906"/>
      <c r="Y394" s="906"/>
      <c r="Z394" s="843">
        <f t="shared" si="127"/>
        <v>0</v>
      </c>
    </row>
    <row r="395" spans="1:26" ht="16.5" thickTop="1" thickBot="1" x14ac:dyDescent="0.3">
      <c r="A395" s="908">
        <v>1</v>
      </c>
      <c r="B395" s="909" t="s">
        <v>817</v>
      </c>
      <c r="C395" s="909" t="s">
        <v>734</v>
      </c>
      <c r="D395" s="909" t="s">
        <v>965</v>
      </c>
      <c r="E395" s="909" t="s">
        <v>735</v>
      </c>
      <c r="F395" s="909" t="s">
        <v>985</v>
      </c>
      <c r="G395" s="909" t="s">
        <v>738</v>
      </c>
      <c r="H395" s="909"/>
      <c r="I395" s="909"/>
      <c r="J395" s="909"/>
      <c r="K395" s="910" t="s">
        <v>1201</v>
      </c>
      <c r="L395" s="911"/>
      <c r="M395" s="911"/>
      <c r="N395" s="911"/>
      <c r="O395" s="904">
        <f t="shared" si="145"/>
        <v>0</v>
      </c>
      <c r="P395" s="911"/>
      <c r="Q395" s="911"/>
      <c r="R395" s="911"/>
      <c r="S395" s="911"/>
      <c r="T395" s="911"/>
      <c r="U395" s="911"/>
      <c r="V395" s="911" t="e">
        <f t="shared" si="132"/>
        <v>#DIV/0!</v>
      </c>
      <c r="W395" s="911">
        <f t="shared" si="126"/>
        <v>0</v>
      </c>
      <c r="X395" s="906"/>
      <c r="Y395" s="906"/>
      <c r="Z395" s="843">
        <f t="shared" si="127"/>
        <v>0</v>
      </c>
    </row>
    <row r="396" spans="1:26" ht="16.5" thickTop="1" thickBot="1" x14ac:dyDescent="0.3">
      <c r="A396" s="877">
        <v>1</v>
      </c>
      <c r="B396" s="878" t="s">
        <v>817</v>
      </c>
      <c r="C396" s="878" t="s">
        <v>734</v>
      </c>
      <c r="D396" s="878" t="s">
        <v>965</v>
      </c>
      <c r="E396" s="878" t="s">
        <v>738</v>
      </c>
      <c r="F396" s="878"/>
      <c r="G396" s="878"/>
      <c r="H396" s="879"/>
      <c r="I396" s="879"/>
      <c r="J396" s="879"/>
      <c r="K396" s="880" t="s">
        <v>1020</v>
      </c>
      <c r="L396" s="881"/>
      <c r="M396" s="881"/>
      <c r="N396" s="881"/>
      <c r="O396" s="881">
        <f t="shared" si="145"/>
        <v>0</v>
      </c>
      <c r="P396" s="881"/>
      <c r="Q396" s="881"/>
      <c r="R396" s="881"/>
      <c r="S396" s="881"/>
      <c r="T396" s="881"/>
      <c r="U396" s="904"/>
      <c r="V396" s="882" t="e">
        <f t="shared" si="132"/>
        <v>#DIV/0!</v>
      </c>
      <c r="W396" s="881">
        <f t="shared" si="126"/>
        <v>0</v>
      </c>
      <c r="X396" s="883"/>
      <c r="Y396" s="883"/>
      <c r="Z396" s="884">
        <f t="shared" si="127"/>
        <v>0</v>
      </c>
    </row>
    <row r="397" spans="1:26" ht="16.5" thickTop="1" thickBot="1" x14ac:dyDescent="0.3">
      <c r="A397" s="877">
        <v>1</v>
      </c>
      <c r="B397" s="878" t="s">
        <v>817</v>
      </c>
      <c r="C397" s="878" t="s">
        <v>734</v>
      </c>
      <c r="D397" s="878" t="s">
        <v>965</v>
      </c>
      <c r="E397" s="878" t="s">
        <v>742</v>
      </c>
      <c r="F397" s="878"/>
      <c r="G397" s="878"/>
      <c r="H397" s="879"/>
      <c r="I397" s="879"/>
      <c r="J397" s="879"/>
      <c r="K397" s="880" t="s">
        <v>1204</v>
      </c>
      <c r="L397" s="881">
        <f>+L398+L399</f>
        <v>0</v>
      </c>
      <c r="M397" s="881">
        <f t="shared" ref="M397:U397" si="146">+M398+M399</f>
        <v>0</v>
      </c>
      <c r="N397" s="881">
        <f t="shared" si="146"/>
        <v>0</v>
      </c>
      <c r="O397" s="881">
        <f t="shared" si="145"/>
        <v>0</v>
      </c>
      <c r="P397" s="881">
        <f t="shared" si="146"/>
        <v>0</v>
      </c>
      <c r="Q397" s="881">
        <f t="shared" si="146"/>
        <v>0</v>
      </c>
      <c r="R397" s="881">
        <f t="shared" si="146"/>
        <v>0</v>
      </c>
      <c r="S397" s="881">
        <f t="shared" si="146"/>
        <v>0</v>
      </c>
      <c r="T397" s="881">
        <f t="shared" si="146"/>
        <v>0</v>
      </c>
      <c r="U397" s="904">
        <f t="shared" si="146"/>
        <v>0</v>
      </c>
      <c r="V397" s="882" t="e">
        <f t="shared" si="132"/>
        <v>#DIV/0!</v>
      </c>
      <c r="W397" s="881">
        <f t="shared" si="126"/>
        <v>0</v>
      </c>
      <c r="X397" s="883"/>
      <c r="Y397" s="883"/>
      <c r="Z397" s="884">
        <f t="shared" si="127"/>
        <v>0</v>
      </c>
    </row>
    <row r="398" spans="1:26" ht="16.5" thickTop="1" thickBot="1" x14ac:dyDescent="0.3">
      <c r="A398" s="908">
        <v>1</v>
      </c>
      <c r="B398" s="909" t="s">
        <v>817</v>
      </c>
      <c r="C398" s="909" t="s">
        <v>734</v>
      </c>
      <c r="D398" s="909" t="s">
        <v>965</v>
      </c>
      <c r="E398" s="909" t="s">
        <v>742</v>
      </c>
      <c r="F398" s="909" t="s">
        <v>903</v>
      </c>
      <c r="G398" s="909"/>
      <c r="H398" s="909"/>
      <c r="I398" s="909"/>
      <c r="J398" s="909"/>
      <c r="K398" s="910" t="s">
        <v>1205</v>
      </c>
      <c r="L398" s="911"/>
      <c r="M398" s="911"/>
      <c r="N398" s="911"/>
      <c r="O398" s="904">
        <f t="shared" si="145"/>
        <v>0</v>
      </c>
      <c r="P398" s="911"/>
      <c r="Q398" s="911"/>
      <c r="R398" s="911"/>
      <c r="S398" s="911"/>
      <c r="T398" s="911"/>
      <c r="U398" s="911"/>
      <c r="V398" s="911" t="e">
        <f t="shared" si="132"/>
        <v>#DIV/0!</v>
      </c>
      <c r="W398" s="911">
        <f t="shared" si="126"/>
        <v>0</v>
      </c>
      <c r="X398" s="906"/>
      <c r="Y398" s="906"/>
      <c r="Z398" s="843">
        <f t="shared" si="127"/>
        <v>0</v>
      </c>
    </row>
    <row r="399" spans="1:26" ht="16.5" thickTop="1" thickBot="1" x14ac:dyDescent="0.3">
      <c r="A399" s="908">
        <v>1</v>
      </c>
      <c r="B399" s="909" t="s">
        <v>817</v>
      </c>
      <c r="C399" s="909" t="s">
        <v>734</v>
      </c>
      <c r="D399" s="909" t="s">
        <v>965</v>
      </c>
      <c r="E399" s="909" t="s">
        <v>742</v>
      </c>
      <c r="F399" s="909" t="s">
        <v>927</v>
      </c>
      <c r="G399" s="909"/>
      <c r="H399" s="909"/>
      <c r="I399" s="909"/>
      <c r="J399" s="909"/>
      <c r="K399" s="910" t="s">
        <v>1206</v>
      </c>
      <c r="L399" s="911"/>
      <c r="M399" s="911"/>
      <c r="N399" s="911"/>
      <c r="O399" s="904">
        <f t="shared" si="145"/>
        <v>0</v>
      </c>
      <c r="P399" s="911"/>
      <c r="Q399" s="911"/>
      <c r="R399" s="911"/>
      <c r="S399" s="911"/>
      <c r="T399" s="911"/>
      <c r="U399" s="911"/>
      <c r="V399" s="911" t="e">
        <f t="shared" si="132"/>
        <v>#DIV/0!</v>
      </c>
      <c r="W399" s="911">
        <f t="shared" si="126"/>
        <v>0</v>
      </c>
      <c r="X399" s="906"/>
      <c r="Y399" s="906"/>
      <c r="Z399" s="843">
        <f t="shared" si="127"/>
        <v>0</v>
      </c>
    </row>
    <row r="400" spans="1:26" ht="16.5" thickTop="1" thickBot="1" x14ac:dyDescent="0.3">
      <c r="A400" s="877">
        <v>1</v>
      </c>
      <c r="B400" s="878" t="s">
        <v>817</v>
      </c>
      <c r="C400" s="878" t="s">
        <v>734</v>
      </c>
      <c r="D400" s="878" t="s">
        <v>965</v>
      </c>
      <c r="E400" s="878" t="s">
        <v>955</v>
      </c>
      <c r="F400" s="878"/>
      <c r="G400" s="878"/>
      <c r="H400" s="879"/>
      <c r="I400" s="879"/>
      <c r="J400" s="879"/>
      <c r="K400" s="880" t="s">
        <v>1207</v>
      </c>
      <c r="L400" s="881">
        <f>+L401+L402</f>
        <v>0</v>
      </c>
      <c r="M400" s="881">
        <f t="shared" ref="M400:U400" si="147">+M401+M402</f>
        <v>0</v>
      </c>
      <c r="N400" s="881">
        <f t="shared" si="147"/>
        <v>0</v>
      </c>
      <c r="O400" s="881">
        <f t="shared" si="147"/>
        <v>0</v>
      </c>
      <c r="P400" s="881">
        <f t="shared" si="147"/>
        <v>0</v>
      </c>
      <c r="Q400" s="881">
        <f t="shared" si="147"/>
        <v>0</v>
      </c>
      <c r="R400" s="881">
        <f t="shared" si="147"/>
        <v>0</v>
      </c>
      <c r="S400" s="881">
        <f t="shared" si="147"/>
        <v>0</v>
      </c>
      <c r="T400" s="881">
        <f t="shared" si="147"/>
        <v>0</v>
      </c>
      <c r="U400" s="904">
        <f t="shared" si="147"/>
        <v>0</v>
      </c>
      <c r="V400" s="882" t="e">
        <f t="shared" si="132"/>
        <v>#DIV/0!</v>
      </c>
      <c r="W400" s="881">
        <f t="shared" si="126"/>
        <v>0</v>
      </c>
      <c r="X400" s="883"/>
      <c r="Y400" s="883"/>
      <c r="Z400" s="884">
        <f t="shared" si="127"/>
        <v>0</v>
      </c>
    </row>
    <row r="401" spans="1:26" ht="16.5" thickTop="1" thickBot="1" x14ac:dyDescent="0.3">
      <c r="A401" s="908">
        <v>1</v>
      </c>
      <c r="B401" s="909" t="s">
        <v>817</v>
      </c>
      <c r="C401" s="909" t="s">
        <v>734</v>
      </c>
      <c r="D401" s="909" t="s">
        <v>965</v>
      </c>
      <c r="E401" s="909" t="s">
        <v>955</v>
      </c>
      <c r="F401" s="909" t="s">
        <v>903</v>
      </c>
      <c r="G401" s="909"/>
      <c r="H401" s="909"/>
      <c r="I401" s="909"/>
      <c r="J401" s="909"/>
      <c r="K401" s="910" t="s">
        <v>1208</v>
      </c>
      <c r="L401" s="911"/>
      <c r="M401" s="911"/>
      <c r="N401" s="911"/>
      <c r="O401" s="904">
        <f>+L401+M401-N401</f>
        <v>0</v>
      </c>
      <c r="P401" s="911"/>
      <c r="Q401" s="911"/>
      <c r="R401" s="911"/>
      <c r="S401" s="911"/>
      <c r="T401" s="911"/>
      <c r="U401" s="911"/>
      <c r="V401" s="911" t="e">
        <f t="shared" si="132"/>
        <v>#DIV/0!</v>
      </c>
      <c r="W401" s="911">
        <f t="shared" si="126"/>
        <v>0</v>
      </c>
      <c r="X401" s="906"/>
      <c r="Y401" s="906"/>
      <c r="Z401" s="843">
        <f t="shared" si="127"/>
        <v>0</v>
      </c>
    </row>
    <row r="402" spans="1:26" ht="16.5" thickTop="1" thickBot="1" x14ac:dyDescent="0.3">
      <c r="A402" s="908">
        <v>1</v>
      </c>
      <c r="B402" s="909" t="s">
        <v>817</v>
      </c>
      <c r="C402" s="909" t="s">
        <v>734</v>
      </c>
      <c r="D402" s="909" t="s">
        <v>965</v>
      </c>
      <c r="E402" s="909" t="s">
        <v>955</v>
      </c>
      <c r="F402" s="909" t="s">
        <v>927</v>
      </c>
      <c r="G402" s="909"/>
      <c r="H402" s="909"/>
      <c r="I402" s="909"/>
      <c r="J402" s="909"/>
      <c r="K402" s="910" t="s">
        <v>1209</v>
      </c>
      <c r="L402" s="911"/>
      <c r="M402" s="911"/>
      <c r="N402" s="911"/>
      <c r="O402" s="904">
        <f>+L402+M402-N402</f>
        <v>0</v>
      </c>
      <c r="P402" s="911"/>
      <c r="Q402" s="911"/>
      <c r="R402" s="911"/>
      <c r="S402" s="911"/>
      <c r="T402" s="911"/>
      <c r="U402" s="911"/>
      <c r="V402" s="911" t="e">
        <f t="shared" si="132"/>
        <v>#DIV/0!</v>
      </c>
      <c r="W402" s="911">
        <f t="shared" si="126"/>
        <v>0</v>
      </c>
      <c r="X402" s="906"/>
      <c r="Y402" s="906"/>
      <c r="Z402" s="843">
        <f t="shared" si="127"/>
        <v>0</v>
      </c>
    </row>
    <row r="403" spans="1:26" ht="16.5" thickTop="1" thickBot="1" x14ac:dyDescent="0.3">
      <c r="A403" s="869">
        <v>1</v>
      </c>
      <c r="B403" s="870" t="s">
        <v>817</v>
      </c>
      <c r="C403" s="870" t="s">
        <v>734</v>
      </c>
      <c r="D403" s="870" t="s">
        <v>970</v>
      </c>
      <c r="E403" s="870"/>
      <c r="F403" s="870"/>
      <c r="G403" s="870"/>
      <c r="H403" s="871"/>
      <c r="I403" s="871"/>
      <c r="J403" s="871"/>
      <c r="K403" s="872" t="s">
        <v>1210</v>
      </c>
      <c r="L403" s="873">
        <f>+L404+L405+L406+L407+L408</f>
        <v>0</v>
      </c>
      <c r="M403" s="873">
        <f t="shared" ref="M403:U403" si="148">+M404+M405+M406+M407+M408</f>
        <v>0</v>
      </c>
      <c r="N403" s="873">
        <f t="shared" si="148"/>
        <v>0</v>
      </c>
      <c r="O403" s="873">
        <f t="shared" si="148"/>
        <v>0</v>
      </c>
      <c r="P403" s="873">
        <f t="shared" si="148"/>
        <v>0</v>
      </c>
      <c r="Q403" s="873">
        <f t="shared" si="148"/>
        <v>0</v>
      </c>
      <c r="R403" s="873">
        <f t="shared" si="148"/>
        <v>0</v>
      </c>
      <c r="S403" s="873">
        <f t="shared" si="148"/>
        <v>0</v>
      </c>
      <c r="T403" s="873">
        <f t="shared" si="148"/>
        <v>0</v>
      </c>
      <c r="U403" s="904">
        <f t="shared" si="148"/>
        <v>0</v>
      </c>
      <c r="V403" s="874" t="e">
        <f t="shared" si="132"/>
        <v>#DIV/0!</v>
      </c>
      <c r="W403" s="873">
        <f t="shared" si="126"/>
        <v>0</v>
      </c>
      <c r="X403" s="875"/>
      <c r="Y403" s="875"/>
      <c r="Z403" s="876">
        <f t="shared" si="127"/>
        <v>0</v>
      </c>
    </row>
    <row r="404" spans="1:26" ht="16.5" thickTop="1" thickBot="1" x14ac:dyDescent="0.3">
      <c r="A404" s="908">
        <v>1</v>
      </c>
      <c r="B404" s="909" t="s">
        <v>817</v>
      </c>
      <c r="C404" s="909" t="s">
        <v>734</v>
      </c>
      <c r="D404" s="909" t="s">
        <v>970</v>
      </c>
      <c r="E404" s="909" t="s">
        <v>735</v>
      </c>
      <c r="F404" s="909"/>
      <c r="G404" s="909"/>
      <c r="H404" s="909"/>
      <c r="I404" s="909"/>
      <c r="J404" s="909"/>
      <c r="K404" s="910" t="s">
        <v>1211</v>
      </c>
      <c r="L404" s="911"/>
      <c r="M404" s="911"/>
      <c r="N404" s="911"/>
      <c r="O404" s="904">
        <f>+L404+M404-N404</f>
        <v>0</v>
      </c>
      <c r="P404" s="911"/>
      <c r="Q404" s="911"/>
      <c r="R404" s="911"/>
      <c r="S404" s="911"/>
      <c r="T404" s="911"/>
      <c r="U404" s="911"/>
      <c r="V404" s="911" t="e">
        <f t="shared" si="132"/>
        <v>#DIV/0!</v>
      </c>
      <c r="W404" s="911">
        <f t="shared" si="126"/>
        <v>0</v>
      </c>
      <c r="X404" s="906"/>
      <c r="Y404" s="906"/>
      <c r="Z404" s="843">
        <f t="shared" si="127"/>
        <v>0</v>
      </c>
    </row>
    <row r="405" spans="1:26" ht="16.5" thickTop="1" thickBot="1" x14ac:dyDescent="0.3">
      <c r="A405" s="908">
        <v>1</v>
      </c>
      <c r="B405" s="909" t="s">
        <v>817</v>
      </c>
      <c r="C405" s="909" t="s">
        <v>734</v>
      </c>
      <c r="D405" s="909" t="s">
        <v>970</v>
      </c>
      <c r="E405" s="909" t="s">
        <v>738</v>
      </c>
      <c r="F405" s="909"/>
      <c r="G405" s="909"/>
      <c r="H405" s="909"/>
      <c r="I405" s="909"/>
      <c r="J405" s="909"/>
      <c r="K405" s="910" t="s">
        <v>1212</v>
      </c>
      <c r="L405" s="911"/>
      <c r="M405" s="911"/>
      <c r="N405" s="911"/>
      <c r="O405" s="904">
        <f>+L405+M405-N405</f>
        <v>0</v>
      </c>
      <c r="P405" s="911"/>
      <c r="Q405" s="911"/>
      <c r="R405" s="911"/>
      <c r="S405" s="911"/>
      <c r="T405" s="911"/>
      <c r="U405" s="911"/>
      <c r="V405" s="911" t="e">
        <f t="shared" si="132"/>
        <v>#DIV/0!</v>
      </c>
      <c r="W405" s="911">
        <f t="shared" si="126"/>
        <v>0</v>
      </c>
      <c r="X405" s="906"/>
      <c r="Y405" s="906"/>
      <c r="Z405" s="843">
        <f t="shared" si="127"/>
        <v>0</v>
      </c>
    </row>
    <row r="406" spans="1:26" ht="16.5" thickTop="1" thickBot="1" x14ac:dyDescent="0.3">
      <c r="A406" s="908">
        <v>1</v>
      </c>
      <c r="B406" s="909" t="s">
        <v>817</v>
      </c>
      <c r="C406" s="909" t="s">
        <v>734</v>
      </c>
      <c r="D406" s="909" t="s">
        <v>970</v>
      </c>
      <c r="E406" s="909" t="s">
        <v>742</v>
      </c>
      <c r="F406" s="909"/>
      <c r="G406" s="909"/>
      <c r="H406" s="909"/>
      <c r="I406" s="909"/>
      <c r="J406" s="909"/>
      <c r="K406" s="910" t="s">
        <v>1213</v>
      </c>
      <c r="L406" s="911"/>
      <c r="M406" s="911"/>
      <c r="N406" s="911"/>
      <c r="O406" s="904">
        <f>+L406+M406-N406</f>
        <v>0</v>
      </c>
      <c r="P406" s="911"/>
      <c r="Q406" s="911"/>
      <c r="R406" s="911"/>
      <c r="S406" s="911"/>
      <c r="T406" s="911"/>
      <c r="U406" s="911"/>
      <c r="V406" s="911" t="e">
        <f t="shared" si="132"/>
        <v>#DIV/0!</v>
      </c>
      <c r="W406" s="911">
        <f t="shared" si="126"/>
        <v>0</v>
      </c>
      <c r="X406" s="906"/>
      <c r="Y406" s="906"/>
      <c r="Z406" s="843">
        <f t="shared" si="127"/>
        <v>0</v>
      </c>
    </row>
    <row r="407" spans="1:26" ht="16.5" thickTop="1" thickBot="1" x14ac:dyDescent="0.3">
      <c r="A407" s="908">
        <v>1</v>
      </c>
      <c r="B407" s="909" t="s">
        <v>817</v>
      </c>
      <c r="C407" s="909" t="s">
        <v>734</v>
      </c>
      <c r="D407" s="909" t="s">
        <v>970</v>
      </c>
      <c r="E407" s="909" t="s">
        <v>758</v>
      </c>
      <c r="F407" s="909"/>
      <c r="G407" s="909"/>
      <c r="H407" s="909"/>
      <c r="I407" s="909"/>
      <c r="J407" s="909"/>
      <c r="K407" s="910" t="s">
        <v>1214</v>
      </c>
      <c r="L407" s="911"/>
      <c r="M407" s="911"/>
      <c r="N407" s="911"/>
      <c r="O407" s="904">
        <f>+L407+M407-N407</f>
        <v>0</v>
      </c>
      <c r="P407" s="911"/>
      <c r="Q407" s="911"/>
      <c r="R407" s="911"/>
      <c r="S407" s="911"/>
      <c r="T407" s="911"/>
      <c r="U407" s="911"/>
      <c r="V407" s="911" t="e">
        <f t="shared" si="132"/>
        <v>#DIV/0!</v>
      </c>
      <c r="W407" s="911">
        <f t="shared" ref="W407:W470" si="149">SUBTOTAL(9,P407:S407)</f>
        <v>0</v>
      </c>
      <c r="X407" s="906"/>
      <c r="Y407" s="906"/>
      <c r="Z407" s="843">
        <f t="shared" ref="Z407:Z470" si="150">W407-O407</f>
        <v>0</v>
      </c>
    </row>
    <row r="408" spans="1:26" ht="16.5" thickTop="1" thickBot="1" x14ac:dyDescent="0.3">
      <c r="A408" s="908">
        <v>1</v>
      </c>
      <c r="B408" s="909" t="s">
        <v>817</v>
      </c>
      <c r="C408" s="909" t="s">
        <v>734</v>
      </c>
      <c r="D408" s="909" t="s">
        <v>970</v>
      </c>
      <c r="E408" s="909" t="s">
        <v>841</v>
      </c>
      <c r="F408" s="909"/>
      <c r="G408" s="909"/>
      <c r="H408" s="909"/>
      <c r="I408" s="909"/>
      <c r="J408" s="909"/>
      <c r="K408" s="910" t="s">
        <v>1215</v>
      </c>
      <c r="L408" s="911"/>
      <c r="M408" s="911"/>
      <c r="N408" s="911"/>
      <c r="O408" s="904">
        <f>+L408+M408-N408</f>
        <v>0</v>
      </c>
      <c r="P408" s="911"/>
      <c r="Q408" s="911"/>
      <c r="R408" s="911"/>
      <c r="S408" s="911"/>
      <c r="T408" s="911"/>
      <c r="U408" s="911"/>
      <c r="V408" s="911" t="e">
        <f t="shared" si="132"/>
        <v>#DIV/0!</v>
      </c>
      <c r="W408" s="911">
        <f t="shared" si="149"/>
        <v>0</v>
      </c>
      <c r="X408" s="906"/>
      <c r="Y408" s="906"/>
      <c r="Z408" s="843">
        <f t="shared" si="150"/>
        <v>0</v>
      </c>
    </row>
    <row r="409" spans="1:26" ht="16.5" thickTop="1" thickBot="1" x14ac:dyDescent="0.3">
      <c r="A409" s="869">
        <v>1</v>
      </c>
      <c r="B409" s="870" t="s">
        <v>817</v>
      </c>
      <c r="C409" s="870" t="s">
        <v>734</v>
      </c>
      <c r="D409" s="870" t="s">
        <v>975</v>
      </c>
      <c r="E409" s="870"/>
      <c r="F409" s="870"/>
      <c r="G409" s="870"/>
      <c r="H409" s="871"/>
      <c r="I409" s="871"/>
      <c r="J409" s="871"/>
      <c r="K409" s="872" t="s">
        <v>1216</v>
      </c>
      <c r="L409" s="873">
        <f>+L410+L411</f>
        <v>0</v>
      </c>
      <c r="M409" s="873">
        <f t="shared" ref="M409:U409" si="151">+M410+M411</f>
        <v>0</v>
      </c>
      <c r="N409" s="873">
        <f t="shared" si="151"/>
        <v>0</v>
      </c>
      <c r="O409" s="873">
        <f t="shared" si="151"/>
        <v>0</v>
      </c>
      <c r="P409" s="873">
        <f t="shared" si="151"/>
        <v>0</v>
      </c>
      <c r="Q409" s="873">
        <f t="shared" si="151"/>
        <v>0</v>
      </c>
      <c r="R409" s="873">
        <f t="shared" si="151"/>
        <v>0</v>
      </c>
      <c r="S409" s="873">
        <f t="shared" si="151"/>
        <v>0</v>
      </c>
      <c r="T409" s="873">
        <f t="shared" si="151"/>
        <v>0</v>
      </c>
      <c r="U409" s="904">
        <f t="shared" si="151"/>
        <v>0</v>
      </c>
      <c r="V409" s="874" t="e">
        <f t="shared" si="132"/>
        <v>#DIV/0!</v>
      </c>
      <c r="W409" s="873">
        <f t="shared" si="149"/>
        <v>0</v>
      </c>
      <c r="X409" s="875"/>
      <c r="Y409" s="875"/>
      <c r="Z409" s="876">
        <f t="shared" si="150"/>
        <v>0</v>
      </c>
    </row>
    <row r="410" spans="1:26" ht="16.5" thickTop="1" thickBot="1" x14ac:dyDescent="0.3">
      <c r="A410" s="877">
        <v>1</v>
      </c>
      <c r="B410" s="878" t="s">
        <v>817</v>
      </c>
      <c r="C410" s="878" t="s">
        <v>734</v>
      </c>
      <c r="D410" s="878" t="s">
        <v>975</v>
      </c>
      <c r="E410" s="878" t="s">
        <v>735</v>
      </c>
      <c r="F410" s="878"/>
      <c r="G410" s="878"/>
      <c r="H410" s="879"/>
      <c r="I410" s="879"/>
      <c r="J410" s="879"/>
      <c r="K410" s="880" t="s">
        <v>1217</v>
      </c>
      <c r="L410" s="881"/>
      <c r="M410" s="881"/>
      <c r="N410" s="881"/>
      <c r="O410" s="881">
        <f>+L410+M410-N410</f>
        <v>0</v>
      </c>
      <c r="P410" s="881"/>
      <c r="Q410" s="881"/>
      <c r="R410" s="881"/>
      <c r="S410" s="881"/>
      <c r="T410" s="881"/>
      <c r="U410" s="904"/>
      <c r="V410" s="882" t="e">
        <f t="shared" si="132"/>
        <v>#DIV/0!</v>
      </c>
      <c r="W410" s="881">
        <f t="shared" si="149"/>
        <v>0</v>
      </c>
      <c r="X410" s="883"/>
      <c r="Y410" s="883"/>
      <c r="Z410" s="884">
        <f t="shared" si="150"/>
        <v>0</v>
      </c>
    </row>
    <row r="411" spans="1:26" ht="16.5" thickTop="1" thickBot="1" x14ac:dyDescent="0.3">
      <c r="A411" s="877">
        <v>1</v>
      </c>
      <c r="B411" s="878" t="s">
        <v>817</v>
      </c>
      <c r="C411" s="878" t="s">
        <v>734</v>
      </c>
      <c r="D411" s="878" t="s">
        <v>975</v>
      </c>
      <c r="E411" s="878" t="s">
        <v>738</v>
      </c>
      <c r="F411" s="878"/>
      <c r="G411" s="878"/>
      <c r="H411" s="879"/>
      <c r="I411" s="879"/>
      <c r="J411" s="879"/>
      <c r="K411" s="880" t="s">
        <v>1218</v>
      </c>
      <c r="L411" s="881"/>
      <c r="M411" s="881"/>
      <c r="N411" s="881"/>
      <c r="O411" s="881">
        <f>+L411+M411-N411</f>
        <v>0</v>
      </c>
      <c r="P411" s="881"/>
      <c r="Q411" s="881"/>
      <c r="R411" s="881"/>
      <c r="S411" s="881"/>
      <c r="T411" s="881"/>
      <c r="U411" s="904"/>
      <c r="V411" s="882" t="e">
        <f t="shared" si="132"/>
        <v>#DIV/0!</v>
      </c>
      <c r="W411" s="881">
        <f t="shared" si="149"/>
        <v>0</v>
      </c>
      <c r="X411" s="883"/>
      <c r="Y411" s="883"/>
      <c r="Z411" s="884">
        <f t="shared" si="150"/>
        <v>0</v>
      </c>
    </row>
    <row r="412" spans="1:26" ht="16.5" thickTop="1" thickBot="1" x14ac:dyDescent="0.3">
      <c r="A412" s="885">
        <v>1</v>
      </c>
      <c r="B412" s="886" t="s">
        <v>817</v>
      </c>
      <c r="C412" s="886" t="s">
        <v>734</v>
      </c>
      <c r="D412" s="886" t="s">
        <v>975</v>
      </c>
      <c r="E412" s="886" t="s">
        <v>738</v>
      </c>
      <c r="F412" s="886" t="s">
        <v>735</v>
      </c>
      <c r="G412" s="886"/>
      <c r="H412" s="886"/>
      <c r="I412" s="886"/>
      <c r="J412" s="886"/>
      <c r="K412" s="927" t="s">
        <v>1219</v>
      </c>
      <c r="L412" s="928">
        <f>SUM(L413:L444)</f>
        <v>0</v>
      </c>
      <c r="M412" s="928">
        <f t="shared" ref="M412:U412" si="152">SUM(M413:M444)</f>
        <v>0</v>
      </c>
      <c r="N412" s="928">
        <f t="shared" si="152"/>
        <v>0</v>
      </c>
      <c r="O412" s="928">
        <f t="shared" si="152"/>
        <v>0</v>
      </c>
      <c r="P412" s="928">
        <f t="shared" si="152"/>
        <v>0</v>
      </c>
      <c r="Q412" s="928">
        <f t="shared" si="152"/>
        <v>0</v>
      </c>
      <c r="R412" s="928">
        <f t="shared" si="152"/>
        <v>0</v>
      </c>
      <c r="S412" s="928">
        <f t="shared" si="152"/>
        <v>0</v>
      </c>
      <c r="T412" s="928">
        <f t="shared" si="152"/>
        <v>0</v>
      </c>
      <c r="U412" s="911">
        <f t="shared" si="152"/>
        <v>0</v>
      </c>
      <c r="V412" s="928" t="e">
        <f t="shared" si="132"/>
        <v>#DIV/0!</v>
      </c>
      <c r="W412" s="928">
        <f t="shared" si="149"/>
        <v>0</v>
      </c>
      <c r="X412" s="891"/>
      <c r="Y412" s="891"/>
      <c r="Z412" s="929">
        <f t="shared" si="150"/>
        <v>0</v>
      </c>
    </row>
    <row r="413" spans="1:26" ht="24" thickTop="1" thickBot="1" x14ac:dyDescent="0.3">
      <c r="A413" s="908">
        <v>1</v>
      </c>
      <c r="B413" s="909" t="s">
        <v>817</v>
      </c>
      <c r="C413" s="909" t="s">
        <v>734</v>
      </c>
      <c r="D413" s="909" t="s">
        <v>975</v>
      </c>
      <c r="E413" s="909" t="s">
        <v>738</v>
      </c>
      <c r="F413" s="909" t="s">
        <v>735</v>
      </c>
      <c r="G413" s="909" t="s">
        <v>735</v>
      </c>
      <c r="H413" s="909"/>
      <c r="I413" s="909"/>
      <c r="J413" s="909"/>
      <c r="K413" s="910" t="s">
        <v>1220</v>
      </c>
      <c r="L413" s="911"/>
      <c r="M413" s="911"/>
      <c r="N413" s="911"/>
      <c r="O413" s="904">
        <f t="shared" ref="O413:O444" si="153">+L413+M413-N413</f>
        <v>0</v>
      </c>
      <c r="P413" s="911"/>
      <c r="Q413" s="911"/>
      <c r="R413" s="911"/>
      <c r="S413" s="911"/>
      <c r="T413" s="911"/>
      <c r="U413" s="911"/>
      <c r="V413" s="911" t="e">
        <f t="shared" si="132"/>
        <v>#DIV/0!</v>
      </c>
      <c r="W413" s="911">
        <f t="shared" si="149"/>
        <v>0</v>
      </c>
      <c r="X413" s="906"/>
      <c r="Y413" s="906"/>
      <c r="Z413" s="843">
        <f t="shared" si="150"/>
        <v>0</v>
      </c>
    </row>
    <row r="414" spans="1:26" ht="24" thickTop="1" thickBot="1" x14ac:dyDescent="0.3">
      <c r="A414" s="908">
        <v>1</v>
      </c>
      <c r="B414" s="909" t="s">
        <v>817</v>
      </c>
      <c r="C414" s="909" t="s">
        <v>734</v>
      </c>
      <c r="D414" s="909" t="s">
        <v>975</v>
      </c>
      <c r="E414" s="909" t="s">
        <v>738</v>
      </c>
      <c r="F414" s="909" t="s">
        <v>735</v>
      </c>
      <c r="G414" s="909" t="s">
        <v>738</v>
      </c>
      <c r="H414" s="909"/>
      <c r="I414" s="909"/>
      <c r="J414" s="909"/>
      <c r="K414" s="910" t="s">
        <v>1221</v>
      </c>
      <c r="L414" s="911"/>
      <c r="M414" s="911"/>
      <c r="N414" s="911"/>
      <c r="O414" s="904">
        <f t="shared" si="153"/>
        <v>0</v>
      </c>
      <c r="P414" s="911"/>
      <c r="Q414" s="911"/>
      <c r="R414" s="911"/>
      <c r="S414" s="911"/>
      <c r="T414" s="911"/>
      <c r="U414" s="911"/>
      <c r="V414" s="911" t="e">
        <f t="shared" si="132"/>
        <v>#DIV/0!</v>
      </c>
      <c r="W414" s="911">
        <f t="shared" si="149"/>
        <v>0</v>
      </c>
      <c r="X414" s="906"/>
      <c r="Y414" s="906"/>
      <c r="Z414" s="843">
        <f t="shared" si="150"/>
        <v>0</v>
      </c>
    </row>
    <row r="415" spans="1:26" ht="24" thickTop="1" thickBot="1" x14ac:dyDescent="0.3">
      <c r="A415" s="908">
        <v>1</v>
      </c>
      <c r="B415" s="909" t="s">
        <v>817</v>
      </c>
      <c r="C415" s="909" t="s">
        <v>734</v>
      </c>
      <c r="D415" s="909" t="s">
        <v>975</v>
      </c>
      <c r="E415" s="909" t="s">
        <v>738</v>
      </c>
      <c r="F415" s="909" t="s">
        <v>735</v>
      </c>
      <c r="G415" s="909" t="s">
        <v>742</v>
      </c>
      <c r="H415" s="909"/>
      <c r="I415" s="909"/>
      <c r="J415" s="909"/>
      <c r="K415" s="910" t="s">
        <v>1222</v>
      </c>
      <c r="L415" s="911"/>
      <c r="M415" s="911"/>
      <c r="N415" s="911"/>
      <c r="O415" s="904">
        <f t="shared" si="153"/>
        <v>0</v>
      </c>
      <c r="P415" s="911"/>
      <c r="Q415" s="911"/>
      <c r="R415" s="911"/>
      <c r="S415" s="911"/>
      <c r="T415" s="911"/>
      <c r="U415" s="911"/>
      <c r="V415" s="911" t="e">
        <f t="shared" si="132"/>
        <v>#DIV/0!</v>
      </c>
      <c r="W415" s="911">
        <f t="shared" si="149"/>
        <v>0</v>
      </c>
      <c r="X415" s="906"/>
      <c r="Y415" s="906"/>
      <c r="Z415" s="843">
        <f t="shared" si="150"/>
        <v>0</v>
      </c>
    </row>
    <row r="416" spans="1:26" ht="35.25" thickTop="1" thickBot="1" x14ac:dyDescent="0.3">
      <c r="A416" s="908">
        <v>1</v>
      </c>
      <c r="B416" s="909" t="s">
        <v>817</v>
      </c>
      <c r="C416" s="909" t="s">
        <v>734</v>
      </c>
      <c r="D416" s="909" t="s">
        <v>975</v>
      </c>
      <c r="E416" s="909" t="s">
        <v>738</v>
      </c>
      <c r="F416" s="909" t="s">
        <v>735</v>
      </c>
      <c r="G416" s="909" t="s">
        <v>758</v>
      </c>
      <c r="H416" s="909"/>
      <c r="I416" s="909"/>
      <c r="J416" s="909"/>
      <c r="K416" s="910" t="s">
        <v>1223</v>
      </c>
      <c r="L416" s="911"/>
      <c r="M416" s="911"/>
      <c r="N416" s="911"/>
      <c r="O416" s="904">
        <f t="shared" si="153"/>
        <v>0</v>
      </c>
      <c r="P416" s="911"/>
      <c r="Q416" s="911"/>
      <c r="R416" s="911"/>
      <c r="S416" s="911"/>
      <c r="T416" s="911"/>
      <c r="U416" s="911"/>
      <c r="V416" s="911" t="e">
        <f t="shared" si="132"/>
        <v>#DIV/0!</v>
      </c>
      <c r="W416" s="911">
        <f t="shared" si="149"/>
        <v>0</v>
      </c>
      <c r="X416" s="906"/>
      <c r="Y416" s="906"/>
      <c r="Z416" s="843">
        <f t="shared" si="150"/>
        <v>0</v>
      </c>
    </row>
    <row r="417" spans="1:26" ht="35.25" thickTop="1" thickBot="1" x14ac:dyDescent="0.3">
      <c r="A417" s="908">
        <v>1</v>
      </c>
      <c r="B417" s="909" t="s">
        <v>817</v>
      </c>
      <c r="C417" s="909" t="s">
        <v>734</v>
      </c>
      <c r="D417" s="909" t="s">
        <v>975</v>
      </c>
      <c r="E417" s="909" t="s">
        <v>738</v>
      </c>
      <c r="F417" s="909" t="s">
        <v>735</v>
      </c>
      <c r="G417" s="909" t="s">
        <v>841</v>
      </c>
      <c r="H417" s="909"/>
      <c r="I417" s="909"/>
      <c r="J417" s="909"/>
      <c r="K417" s="910" t="s">
        <v>1224</v>
      </c>
      <c r="L417" s="911"/>
      <c r="M417" s="911"/>
      <c r="N417" s="911"/>
      <c r="O417" s="904">
        <f t="shared" si="153"/>
        <v>0</v>
      </c>
      <c r="P417" s="911"/>
      <c r="Q417" s="911"/>
      <c r="R417" s="911"/>
      <c r="S417" s="911"/>
      <c r="T417" s="911"/>
      <c r="U417" s="911"/>
      <c r="V417" s="911" t="e">
        <f t="shared" si="132"/>
        <v>#DIV/0!</v>
      </c>
      <c r="W417" s="911">
        <f t="shared" si="149"/>
        <v>0</v>
      </c>
      <c r="X417" s="906"/>
      <c r="Y417" s="906"/>
      <c r="Z417" s="843">
        <f t="shared" si="150"/>
        <v>0</v>
      </c>
    </row>
    <row r="418" spans="1:26" ht="24" thickTop="1" thickBot="1" x14ac:dyDescent="0.3">
      <c r="A418" s="908">
        <v>1</v>
      </c>
      <c r="B418" s="909" t="s">
        <v>817</v>
      </c>
      <c r="C418" s="909" t="s">
        <v>734</v>
      </c>
      <c r="D418" s="909" t="s">
        <v>975</v>
      </c>
      <c r="E418" s="909" t="s">
        <v>738</v>
      </c>
      <c r="F418" s="909" t="s">
        <v>735</v>
      </c>
      <c r="G418" s="909" t="s">
        <v>955</v>
      </c>
      <c r="H418" s="909"/>
      <c r="I418" s="909"/>
      <c r="J418" s="909"/>
      <c r="K418" s="910" t="s">
        <v>1225</v>
      </c>
      <c r="L418" s="911"/>
      <c r="M418" s="911"/>
      <c r="N418" s="911"/>
      <c r="O418" s="904">
        <f t="shared" si="153"/>
        <v>0</v>
      </c>
      <c r="P418" s="911"/>
      <c r="Q418" s="911"/>
      <c r="R418" s="911"/>
      <c r="S418" s="911"/>
      <c r="T418" s="911"/>
      <c r="U418" s="911"/>
      <c r="V418" s="911" t="e">
        <f t="shared" si="132"/>
        <v>#DIV/0!</v>
      </c>
      <c r="W418" s="911">
        <f t="shared" si="149"/>
        <v>0</v>
      </c>
      <c r="X418" s="906"/>
      <c r="Y418" s="906"/>
      <c r="Z418" s="843">
        <f t="shared" si="150"/>
        <v>0</v>
      </c>
    </row>
    <row r="419" spans="1:26" ht="24" thickTop="1" thickBot="1" x14ac:dyDescent="0.3">
      <c r="A419" s="908">
        <v>1</v>
      </c>
      <c r="B419" s="909" t="s">
        <v>817</v>
      </c>
      <c r="C419" s="909" t="s">
        <v>734</v>
      </c>
      <c r="D419" s="909" t="s">
        <v>975</v>
      </c>
      <c r="E419" s="909" t="s">
        <v>738</v>
      </c>
      <c r="F419" s="909" t="s">
        <v>735</v>
      </c>
      <c r="G419" s="909" t="s">
        <v>960</v>
      </c>
      <c r="H419" s="909"/>
      <c r="I419" s="909"/>
      <c r="J419" s="909"/>
      <c r="K419" s="910" t="s">
        <v>1226</v>
      </c>
      <c r="L419" s="911"/>
      <c r="M419" s="911"/>
      <c r="N419" s="911"/>
      <c r="O419" s="904">
        <f t="shared" si="153"/>
        <v>0</v>
      </c>
      <c r="P419" s="911"/>
      <c r="Q419" s="911"/>
      <c r="R419" s="911"/>
      <c r="S419" s="911"/>
      <c r="T419" s="911"/>
      <c r="U419" s="911"/>
      <c r="V419" s="911" t="e">
        <f t="shared" si="132"/>
        <v>#DIV/0!</v>
      </c>
      <c r="W419" s="911">
        <f t="shared" si="149"/>
        <v>0</v>
      </c>
      <c r="X419" s="906"/>
      <c r="Y419" s="906"/>
      <c r="Z419" s="843">
        <f t="shared" si="150"/>
        <v>0</v>
      </c>
    </row>
    <row r="420" spans="1:26" ht="24" thickTop="1" thickBot="1" x14ac:dyDescent="0.3">
      <c r="A420" s="908">
        <v>1</v>
      </c>
      <c r="B420" s="909" t="s">
        <v>817</v>
      </c>
      <c r="C420" s="909" t="s">
        <v>734</v>
      </c>
      <c r="D420" s="909" t="s">
        <v>975</v>
      </c>
      <c r="E420" s="909" t="s">
        <v>738</v>
      </c>
      <c r="F420" s="909" t="s">
        <v>735</v>
      </c>
      <c r="G420" s="909" t="s">
        <v>965</v>
      </c>
      <c r="H420" s="909"/>
      <c r="I420" s="909"/>
      <c r="J420" s="909"/>
      <c r="K420" s="910" t="s">
        <v>1227</v>
      </c>
      <c r="L420" s="911"/>
      <c r="M420" s="911"/>
      <c r="N420" s="911"/>
      <c r="O420" s="904">
        <f t="shared" si="153"/>
        <v>0</v>
      </c>
      <c r="P420" s="911"/>
      <c r="Q420" s="911"/>
      <c r="R420" s="911"/>
      <c r="S420" s="911"/>
      <c r="T420" s="911"/>
      <c r="U420" s="911"/>
      <c r="V420" s="911" t="e">
        <f t="shared" si="132"/>
        <v>#DIV/0!</v>
      </c>
      <c r="W420" s="911">
        <f t="shared" si="149"/>
        <v>0</v>
      </c>
      <c r="X420" s="906"/>
      <c r="Y420" s="906"/>
      <c r="Z420" s="843">
        <f t="shared" si="150"/>
        <v>0</v>
      </c>
    </row>
    <row r="421" spans="1:26" ht="24" thickTop="1" thickBot="1" x14ac:dyDescent="0.3">
      <c r="A421" s="908">
        <v>1</v>
      </c>
      <c r="B421" s="909" t="s">
        <v>817</v>
      </c>
      <c r="C421" s="909" t="s">
        <v>734</v>
      </c>
      <c r="D421" s="909" t="s">
        <v>975</v>
      </c>
      <c r="E421" s="909" t="s">
        <v>738</v>
      </c>
      <c r="F421" s="909" t="s">
        <v>735</v>
      </c>
      <c r="G421" s="909" t="s">
        <v>970</v>
      </c>
      <c r="H421" s="909"/>
      <c r="I421" s="909"/>
      <c r="J421" s="909"/>
      <c r="K421" s="910" t="s">
        <v>1228</v>
      </c>
      <c r="L421" s="911"/>
      <c r="M421" s="911"/>
      <c r="N421" s="911"/>
      <c r="O421" s="904">
        <f t="shared" si="153"/>
        <v>0</v>
      </c>
      <c r="P421" s="911"/>
      <c r="Q421" s="911"/>
      <c r="R421" s="911"/>
      <c r="S421" s="911"/>
      <c r="T421" s="911"/>
      <c r="U421" s="911"/>
      <c r="V421" s="911" t="e">
        <f t="shared" si="132"/>
        <v>#DIV/0!</v>
      </c>
      <c r="W421" s="911">
        <f t="shared" si="149"/>
        <v>0</v>
      </c>
      <c r="X421" s="906"/>
      <c r="Y421" s="906"/>
      <c r="Z421" s="843">
        <f t="shared" si="150"/>
        <v>0</v>
      </c>
    </row>
    <row r="422" spans="1:26" ht="24" thickTop="1" thickBot="1" x14ac:dyDescent="0.3">
      <c r="A422" s="908">
        <v>1</v>
      </c>
      <c r="B422" s="909" t="s">
        <v>817</v>
      </c>
      <c r="C422" s="909" t="s">
        <v>734</v>
      </c>
      <c r="D422" s="909" t="s">
        <v>975</v>
      </c>
      <c r="E422" s="909" t="s">
        <v>738</v>
      </c>
      <c r="F422" s="909" t="s">
        <v>735</v>
      </c>
      <c r="G422" s="909" t="s">
        <v>975</v>
      </c>
      <c r="H422" s="909"/>
      <c r="I422" s="909"/>
      <c r="J422" s="909"/>
      <c r="K422" s="910" t="s">
        <v>1229</v>
      </c>
      <c r="L422" s="911"/>
      <c r="M422" s="911"/>
      <c r="N422" s="911"/>
      <c r="O422" s="904">
        <f t="shared" si="153"/>
        <v>0</v>
      </c>
      <c r="P422" s="911"/>
      <c r="Q422" s="911"/>
      <c r="R422" s="911"/>
      <c r="S422" s="911"/>
      <c r="T422" s="911"/>
      <c r="U422" s="911"/>
      <c r="V422" s="911" t="e">
        <f t="shared" si="132"/>
        <v>#DIV/0!</v>
      </c>
      <c r="W422" s="911">
        <f t="shared" si="149"/>
        <v>0</v>
      </c>
      <c r="X422" s="906"/>
      <c r="Y422" s="906"/>
      <c r="Z422" s="843">
        <f t="shared" si="150"/>
        <v>0</v>
      </c>
    </row>
    <row r="423" spans="1:26" ht="24" thickTop="1" thickBot="1" x14ac:dyDescent="0.3">
      <c r="A423" s="908">
        <v>1</v>
      </c>
      <c r="B423" s="909" t="s">
        <v>817</v>
      </c>
      <c r="C423" s="909" t="s">
        <v>734</v>
      </c>
      <c r="D423" s="909" t="s">
        <v>975</v>
      </c>
      <c r="E423" s="909" t="s">
        <v>738</v>
      </c>
      <c r="F423" s="909" t="s">
        <v>735</v>
      </c>
      <c r="G423" s="909" t="s">
        <v>1124</v>
      </c>
      <c r="H423" s="909"/>
      <c r="I423" s="909"/>
      <c r="J423" s="909"/>
      <c r="K423" s="910" t="s">
        <v>1230</v>
      </c>
      <c r="L423" s="911"/>
      <c r="M423" s="911"/>
      <c r="N423" s="911"/>
      <c r="O423" s="904">
        <f t="shared" si="153"/>
        <v>0</v>
      </c>
      <c r="P423" s="911"/>
      <c r="Q423" s="911"/>
      <c r="R423" s="911"/>
      <c r="S423" s="911"/>
      <c r="T423" s="911"/>
      <c r="U423" s="911"/>
      <c r="V423" s="911" t="e">
        <f t="shared" si="132"/>
        <v>#DIV/0!</v>
      </c>
      <c r="W423" s="911">
        <f t="shared" si="149"/>
        <v>0</v>
      </c>
      <c r="X423" s="906"/>
      <c r="Y423" s="906"/>
      <c r="Z423" s="843">
        <f t="shared" si="150"/>
        <v>0</v>
      </c>
    </row>
    <row r="424" spans="1:26" ht="24" thickTop="1" thickBot="1" x14ac:dyDescent="0.3">
      <c r="A424" s="908">
        <v>1</v>
      </c>
      <c r="B424" s="909" t="s">
        <v>817</v>
      </c>
      <c r="C424" s="909" t="s">
        <v>734</v>
      </c>
      <c r="D424" s="909" t="s">
        <v>975</v>
      </c>
      <c r="E424" s="909" t="s">
        <v>738</v>
      </c>
      <c r="F424" s="909" t="s">
        <v>735</v>
      </c>
      <c r="G424" s="909" t="s">
        <v>1126</v>
      </c>
      <c r="H424" s="909"/>
      <c r="I424" s="909"/>
      <c r="J424" s="909"/>
      <c r="K424" s="910" t="s">
        <v>1231</v>
      </c>
      <c r="L424" s="911"/>
      <c r="M424" s="911"/>
      <c r="N424" s="911"/>
      <c r="O424" s="904">
        <f t="shared" si="153"/>
        <v>0</v>
      </c>
      <c r="P424" s="911"/>
      <c r="Q424" s="911"/>
      <c r="R424" s="911"/>
      <c r="S424" s="911"/>
      <c r="T424" s="911"/>
      <c r="U424" s="911"/>
      <c r="V424" s="911" t="e">
        <f t="shared" si="132"/>
        <v>#DIV/0!</v>
      </c>
      <c r="W424" s="911">
        <f t="shared" si="149"/>
        <v>0</v>
      </c>
      <c r="X424" s="906"/>
      <c r="Y424" s="906"/>
      <c r="Z424" s="843">
        <f t="shared" si="150"/>
        <v>0</v>
      </c>
    </row>
    <row r="425" spans="1:26" ht="24" thickTop="1" thickBot="1" x14ac:dyDescent="0.3">
      <c r="A425" s="908">
        <v>1</v>
      </c>
      <c r="B425" s="909" t="s">
        <v>817</v>
      </c>
      <c r="C425" s="909" t="s">
        <v>734</v>
      </c>
      <c r="D425" s="909" t="s">
        <v>975</v>
      </c>
      <c r="E425" s="909" t="s">
        <v>738</v>
      </c>
      <c r="F425" s="909" t="s">
        <v>735</v>
      </c>
      <c r="G425" s="909" t="s">
        <v>917</v>
      </c>
      <c r="H425" s="909"/>
      <c r="I425" s="909"/>
      <c r="J425" s="909"/>
      <c r="K425" s="910" t="s">
        <v>1232</v>
      </c>
      <c r="L425" s="911"/>
      <c r="M425" s="911"/>
      <c r="N425" s="911"/>
      <c r="O425" s="904">
        <f t="shared" si="153"/>
        <v>0</v>
      </c>
      <c r="P425" s="911"/>
      <c r="Q425" s="911"/>
      <c r="R425" s="911"/>
      <c r="S425" s="911"/>
      <c r="T425" s="911"/>
      <c r="U425" s="911"/>
      <c r="V425" s="911" t="e">
        <f t="shared" si="132"/>
        <v>#DIV/0!</v>
      </c>
      <c r="W425" s="911">
        <f t="shared" si="149"/>
        <v>0</v>
      </c>
      <c r="X425" s="906"/>
      <c r="Y425" s="906"/>
      <c r="Z425" s="843">
        <f t="shared" si="150"/>
        <v>0</v>
      </c>
    </row>
    <row r="426" spans="1:26" ht="35.25" thickTop="1" thickBot="1" x14ac:dyDescent="0.3">
      <c r="A426" s="908">
        <v>1</v>
      </c>
      <c r="B426" s="909" t="s">
        <v>817</v>
      </c>
      <c r="C426" s="909" t="s">
        <v>734</v>
      </c>
      <c r="D426" s="909" t="s">
        <v>975</v>
      </c>
      <c r="E426" s="909" t="s">
        <v>738</v>
      </c>
      <c r="F426" s="909" t="s">
        <v>735</v>
      </c>
      <c r="G426" s="909" t="s">
        <v>988</v>
      </c>
      <c r="H426" s="909"/>
      <c r="I426" s="909"/>
      <c r="J426" s="909"/>
      <c r="K426" s="910" t="s">
        <v>1233</v>
      </c>
      <c r="L426" s="911"/>
      <c r="M426" s="911"/>
      <c r="N426" s="911"/>
      <c r="O426" s="904">
        <f t="shared" si="153"/>
        <v>0</v>
      </c>
      <c r="P426" s="911"/>
      <c r="Q426" s="911"/>
      <c r="R426" s="911"/>
      <c r="S426" s="911"/>
      <c r="T426" s="911"/>
      <c r="U426" s="911"/>
      <c r="V426" s="911" t="e">
        <f t="shared" ref="V426:V489" si="154">U426/T426</f>
        <v>#DIV/0!</v>
      </c>
      <c r="W426" s="911">
        <f t="shared" si="149"/>
        <v>0</v>
      </c>
      <c r="X426" s="906"/>
      <c r="Y426" s="906"/>
      <c r="Z426" s="843">
        <f t="shared" si="150"/>
        <v>0</v>
      </c>
    </row>
    <row r="427" spans="1:26" ht="24" thickTop="1" thickBot="1" x14ac:dyDescent="0.3">
      <c r="A427" s="908">
        <v>1</v>
      </c>
      <c r="B427" s="909" t="s">
        <v>817</v>
      </c>
      <c r="C427" s="909" t="s">
        <v>734</v>
      </c>
      <c r="D427" s="909" t="s">
        <v>975</v>
      </c>
      <c r="E427" s="909" t="s">
        <v>738</v>
      </c>
      <c r="F427" s="909" t="s">
        <v>735</v>
      </c>
      <c r="G427" s="909" t="s">
        <v>1130</v>
      </c>
      <c r="H427" s="909"/>
      <c r="I427" s="909"/>
      <c r="J427" s="909"/>
      <c r="K427" s="910" t="s">
        <v>1234</v>
      </c>
      <c r="L427" s="911"/>
      <c r="M427" s="911"/>
      <c r="N427" s="911"/>
      <c r="O427" s="904">
        <f t="shared" si="153"/>
        <v>0</v>
      </c>
      <c r="P427" s="911"/>
      <c r="Q427" s="911"/>
      <c r="R427" s="911"/>
      <c r="S427" s="911"/>
      <c r="T427" s="911"/>
      <c r="U427" s="911"/>
      <c r="V427" s="911" t="e">
        <f t="shared" si="154"/>
        <v>#DIV/0!</v>
      </c>
      <c r="W427" s="911">
        <f t="shared" si="149"/>
        <v>0</v>
      </c>
      <c r="X427" s="906"/>
      <c r="Y427" s="906"/>
      <c r="Z427" s="843">
        <f t="shared" si="150"/>
        <v>0</v>
      </c>
    </row>
    <row r="428" spans="1:26" ht="24" thickTop="1" thickBot="1" x14ac:dyDescent="0.3">
      <c r="A428" s="908">
        <v>1</v>
      </c>
      <c r="B428" s="909" t="s">
        <v>817</v>
      </c>
      <c r="C428" s="909" t="s">
        <v>734</v>
      </c>
      <c r="D428" s="909" t="s">
        <v>975</v>
      </c>
      <c r="E428" s="909" t="s">
        <v>738</v>
      </c>
      <c r="F428" s="909" t="s">
        <v>735</v>
      </c>
      <c r="G428" s="909" t="s">
        <v>1132</v>
      </c>
      <c r="H428" s="909"/>
      <c r="I428" s="909"/>
      <c r="J428" s="909"/>
      <c r="K428" s="910" t="s">
        <v>1235</v>
      </c>
      <c r="L428" s="911"/>
      <c r="M428" s="911"/>
      <c r="N428" s="911"/>
      <c r="O428" s="904">
        <f t="shared" si="153"/>
        <v>0</v>
      </c>
      <c r="P428" s="911"/>
      <c r="Q428" s="911"/>
      <c r="R428" s="911"/>
      <c r="S428" s="911"/>
      <c r="T428" s="911"/>
      <c r="U428" s="911"/>
      <c r="V428" s="911" t="e">
        <f t="shared" si="154"/>
        <v>#DIV/0!</v>
      </c>
      <c r="W428" s="911">
        <f t="shared" si="149"/>
        <v>0</v>
      </c>
      <c r="X428" s="906"/>
      <c r="Y428" s="906"/>
      <c r="Z428" s="843">
        <f t="shared" si="150"/>
        <v>0</v>
      </c>
    </row>
    <row r="429" spans="1:26" ht="24" thickTop="1" thickBot="1" x14ac:dyDescent="0.3">
      <c r="A429" s="908">
        <v>1</v>
      </c>
      <c r="B429" s="909" t="s">
        <v>817</v>
      </c>
      <c r="C429" s="909" t="s">
        <v>734</v>
      </c>
      <c r="D429" s="909" t="s">
        <v>975</v>
      </c>
      <c r="E429" s="909" t="s">
        <v>738</v>
      </c>
      <c r="F429" s="909" t="s">
        <v>735</v>
      </c>
      <c r="G429" s="909" t="s">
        <v>1134</v>
      </c>
      <c r="H429" s="909"/>
      <c r="I429" s="909"/>
      <c r="J429" s="909"/>
      <c r="K429" s="910" t="s">
        <v>1236</v>
      </c>
      <c r="L429" s="911"/>
      <c r="M429" s="911"/>
      <c r="N429" s="911"/>
      <c r="O429" s="904">
        <f t="shared" si="153"/>
        <v>0</v>
      </c>
      <c r="P429" s="911"/>
      <c r="Q429" s="911"/>
      <c r="R429" s="911"/>
      <c r="S429" s="911"/>
      <c r="T429" s="911"/>
      <c r="U429" s="911"/>
      <c r="V429" s="911" t="e">
        <f t="shared" si="154"/>
        <v>#DIV/0!</v>
      </c>
      <c r="W429" s="911">
        <f t="shared" si="149"/>
        <v>0</v>
      </c>
      <c r="X429" s="906"/>
      <c r="Y429" s="906"/>
      <c r="Z429" s="843">
        <f t="shared" si="150"/>
        <v>0</v>
      </c>
    </row>
    <row r="430" spans="1:26" ht="24" thickTop="1" thickBot="1" x14ac:dyDescent="0.3">
      <c r="A430" s="908">
        <v>1</v>
      </c>
      <c r="B430" s="909" t="s">
        <v>817</v>
      </c>
      <c r="C430" s="909" t="s">
        <v>734</v>
      </c>
      <c r="D430" s="909" t="s">
        <v>975</v>
      </c>
      <c r="E430" s="909" t="s">
        <v>738</v>
      </c>
      <c r="F430" s="909" t="s">
        <v>735</v>
      </c>
      <c r="G430" s="909" t="s">
        <v>1136</v>
      </c>
      <c r="H430" s="909"/>
      <c r="I430" s="909"/>
      <c r="J430" s="909"/>
      <c r="K430" s="910" t="s">
        <v>1237</v>
      </c>
      <c r="L430" s="911"/>
      <c r="M430" s="911"/>
      <c r="N430" s="911"/>
      <c r="O430" s="904">
        <f t="shared" si="153"/>
        <v>0</v>
      </c>
      <c r="P430" s="911"/>
      <c r="Q430" s="911"/>
      <c r="R430" s="911"/>
      <c r="S430" s="911"/>
      <c r="T430" s="911"/>
      <c r="U430" s="911"/>
      <c r="V430" s="911" t="e">
        <f t="shared" si="154"/>
        <v>#DIV/0!</v>
      </c>
      <c r="W430" s="911">
        <f t="shared" si="149"/>
        <v>0</v>
      </c>
      <c r="X430" s="906"/>
      <c r="Y430" s="906"/>
      <c r="Z430" s="843">
        <f t="shared" si="150"/>
        <v>0</v>
      </c>
    </row>
    <row r="431" spans="1:26" ht="35.25" thickTop="1" thickBot="1" x14ac:dyDescent="0.3">
      <c r="A431" s="908">
        <v>1</v>
      </c>
      <c r="B431" s="909" t="s">
        <v>817</v>
      </c>
      <c r="C431" s="909" t="s">
        <v>734</v>
      </c>
      <c r="D431" s="909" t="s">
        <v>975</v>
      </c>
      <c r="E431" s="909" t="s">
        <v>738</v>
      </c>
      <c r="F431" s="909" t="s">
        <v>735</v>
      </c>
      <c r="G431" s="909" t="s">
        <v>1138</v>
      </c>
      <c r="H431" s="909"/>
      <c r="I431" s="909"/>
      <c r="J431" s="909"/>
      <c r="K431" s="910" t="s">
        <v>1238</v>
      </c>
      <c r="L431" s="911"/>
      <c r="M431" s="911"/>
      <c r="N431" s="911"/>
      <c r="O431" s="904">
        <f t="shared" si="153"/>
        <v>0</v>
      </c>
      <c r="P431" s="911"/>
      <c r="Q431" s="911"/>
      <c r="R431" s="911"/>
      <c r="S431" s="911"/>
      <c r="T431" s="911"/>
      <c r="U431" s="911"/>
      <c r="V431" s="911" t="e">
        <f t="shared" si="154"/>
        <v>#DIV/0!</v>
      </c>
      <c r="W431" s="911">
        <f t="shared" si="149"/>
        <v>0</v>
      </c>
      <c r="X431" s="906"/>
      <c r="Y431" s="906"/>
      <c r="Z431" s="843">
        <f t="shared" si="150"/>
        <v>0</v>
      </c>
    </row>
    <row r="432" spans="1:26" ht="35.25" thickTop="1" thickBot="1" x14ac:dyDescent="0.3">
      <c r="A432" s="908">
        <v>1</v>
      </c>
      <c r="B432" s="909" t="s">
        <v>817</v>
      </c>
      <c r="C432" s="909" t="s">
        <v>734</v>
      </c>
      <c r="D432" s="909" t="s">
        <v>975</v>
      </c>
      <c r="E432" s="909" t="s">
        <v>738</v>
      </c>
      <c r="F432" s="909" t="s">
        <v>735</v>
      </c>
      <c r="G432" s="909" t="s">
        <v>1140</v>
      </c>
      <c r="H432" s="909"/>
      <c r="I432" s="909"/>
      <c r="J432" s="909"/>
      <c r="K432" s="910" t="s">
        <v>1239</v>
      </c>
      <c r="L432" s="911"/>
      <c r="M432" s="911"/>
      <c r="N432" s="911"/>
      <c r="O432" s="904">
        <f t="shared" si="153"/>
        <v>0</v>
      </c>
      <c r="P432" s="911"/>
      <c r="Q432" s="911"/>
      <c r="R432" s="911"/>
      <c r="S432" s="911"/>
      <c r="T432" s="911"/>
      <c r="U432" s="911"/>
      <c r="V432" s="911" t="e">
        <f t="shared" si="154"/>
        <v>#DIV/0!</v>
      </c>
      <c r="W432" s="911">
        <f t="shared" si="149"/>
        <v>0</v>
      </c>
      <c r="X432" s="906"/>
      <c r="Y432" s="906"/>
      <c r="Z432" s="843">
        <f t="shared" si="150"/>
        <v>0</v>
      </c>
    </row>
    <row r="433" spans="1:26" ht="24" thickTop="1" thickBot="1" x14ac:dyDescent="0.3">
      <c r="A433" s="908">
        <v>1</v>
      </c>
      <c r="B433" s="909" t="s">
        <v>817</v>
      </c>
      <c r="C433" s="909" t="s">
        <v>734</v>
      </c>
      <c r="D433" s="909" t="s">
        <v>975</v>
      </c>
      <c r="E433" s="909" t="s">
        <v>738</v>
      </c>
      <c r="F433" s="909" t="s">
        <v>735</v>
      </c>
      <c r="G433" s="909" t="s">
        <v>1142</v>
      </c>
      <c r="H433" s="909"/>
      <c r="I433" s="909"/>
      <c r="J433" s="909"/>
      <c r="K433" s="910" t="s">
        <v>1240</v>
      </c>
      <c r="L433" s="911"/>
      <c r="M433" s="911"/>
      <c r="N433" s="911"/>
      <c r="O433" s="904">
        <f t="shared" si="153"/>
        <v>0</v>
      </c>
      <c r="P433" s="911"/>
      <c r="Q433" s="911"/>
      <c r="R433" s="911"/>
      <c r="S433" s="911"/>
      <c r="T433" s="911"/>
      <c r="U433" s="911"/>
      <c r="V433" s="911" t="e">
        <f t="shared" si="154"/>
        <v>#DIV/0!</v>
      </c>
      <c r="W433" s="911">
        <f t="shared" si="149"/>
        <v>0</v>
      </c>
      <c r="X433" s="906"/>
      <c r="Y433" s="906"/>
      <c r="Z433" s="843">
        <f t="shared" si="150"/>
        <v>0</v>
      </c>
    </row>
    <row r="434" spans="1:26" ht="24" thickTop="1" thickBot="1" x14ac:dyDescent="0.3">
      <c r="A434" s="908">
        <v>1</v>
      </c>
      <c r="B434" s="909" t="s">
        <v>817</v>
      </c>
      <c r="C434" s="909" t="s">
        <v>734</v>
      </c>
      <c r="D434" s="909" t="s">
        <v>975</v>
      </c>
      <c r="E434" s="909" t="s">
        <v>738</v>
      </c>
      <c r="F434" s="909" t="s">
        <v>735</v>
      </c>
      <c r="G434" s="909" t="s">
        <v>922</v>
      </c>
      <c r="H434" s="909"/>
      <c r="I434" s="909"/>
      <c r="J434" s="909"/>
      <c r="K434" s="910" t="s">
        <v>1241</v>
      </c>
      <c r="L434" s="911"/>
      <c r="M434" s="911"/>
      <c r="N434" s="911"/>
      <c r="O434" s="904">
        <f t="shared" si="153"/>
        <v>0</v>
      </c>
      <c r="P434" s="911"/>
      <c r="Q434" s="911"/>
      <c r="R434" s="911"/>
      <c r="S434" s="911"/>
      <c r="T434" s="911"/>
      <c r="U434" s="911"/>
      <c r="V434" s="911" t="e">
        <f t="shared" si="154"/>
        <v>#DIV/0!</v>
      </c>
      <c r="W434" s="911">
        <f t="shared" si="149"/>
        <v>0</v>
      </c>
      <c r="X434" s="906"/>
      <c r="Y434" s="906"/>
      <c r="Z434" s="843">
        <f t="shared" si="150"/>
        <v>0</v>
      </c>
    </row>
    <row r="435" spans="1:26" ht="24" thickTop="1" thickBot="1" x14ac:dyDescent="0.3">
      <c r="A435" s="908">
        <v>1</v>
      </c>
      <c r="B435" s="909" t="s">
        <v>817</v>
      </c>
      <c r="C435" s="909" t="s">
        <v>734</v>
      </c>
      <c r="D435" s="909" t="s">
        <v>975</v>
      </c>
      <c r="E435" s="909" t="s">
        <v>738</v>
      </c>
      <c r="F435" s="909" t="s">
        <v>735</v>
      </c>
      <c r="G435" s="909" t="s">
        <v>1145</v>
      </c>
      <c r="H435" s="909"/>
      <c r="I435" s="909"/>
      <c r="J435" s="909"/>
      <c r="K435" s="910" t="s">
        <v>1242</v>
      </c>
      <c r="L435" s="911"/>
      <c r="M435" s="911"/>
      <c r="N435" s="911"/>
      <c r="O435" s="904">
        <f t="shared" si="153"/>
        <v>0</v>
      </c>
      <c r="P435" s="911"/>
      <c r="Q435" s="911"/>
      <c r="R435" s="911"/>
      <c r="S435" s="911"/>
      <c r="T435" s="911"/>
      <c r="U435" s="911"/>
      <c r="V435" s="911" t="e">
        <f t="shared" si="154"/>
        <v>#DIV/0!</v>
      </c>
      <c r="W435" s="911">
        <f t="shared" si="149"/>
        <v>0</v>
      </c>
      <c r="X435" s="906"/>
      <c r="Y435" s="906"/>
      <c r="Z435" s="843">
        <f t="shared" si="150"/>
        <v>0</v>
      </c>
    </row>
    <row r="436" spans="1:26" ht="24" thickTop="1" thickBot="1" x14ac:dyDescent="0.3">
      <c r="A436" s="908">
        <v>1</v>
      </c>
      <c r="B436" s="909" t="s">
        <v>817</v>
      </c>
      <c r="C436" s="909" t="s">
        <v>734</v>
      </c>
      <c r="D436" s="909" t="s">
        <v>975</v>
      </c>
      <c r="E436" s="909" t="s">
        <v>738</v>
      </c>
      <c r="F436" s="909" t="s">
        <v>735</v>
      </c>
      <c r="G436" s="909" t="s">
        <v>1147</v>
      </c>
      <c r="H436" s="909"/>
      <c r="I436" s="909"/>
      <c r="J436" s="909"/>
      <c r="K436" s="910" t="s">
        <v>1243</v>
      </c>
      <c r="L436" s="911"/>
      <c r="M436" s="911"/>
      <c r="N436" s="911"/>
      <c r="O436" s="904">
        <f t="shared" si="153"/>
        <v>0</v>
      </c>
      <c r="P436" s="911"/>
      <c r="Q436" s="911"/>
      <c r="R436" s="911"/>
      <c r="S436" s="911"/>
      <c r="T436" s="911"/>
      <c r="U436" s="911"/>
      <c r="V436" s="911" t="e">
        <f t="shared" si="154"/>
        <v>#DIV/0!</v>
      </c>
      <c r="W436" s="911">
        <f t="shared" si="149"/>
        <v>0</v>
      </c>
      <c r="X436" s="906"/>
      <c r="Y436" s="906"/>
      <c r="Z436" s="843">
        <f t="shared" si="150"/>
        <v>0</v>
      </c>
    </row>
    <row r="437" spans="1:26" ht="24" thickTop="1" thickBot="1" x14ac:dyDescent="0.3">
      <c r="A437" s="908">
        <v>1</v>
      </c>
      <c r="B437" s="909" t="s">
        <v>817</v>
      </c>
      <c r="C437" s="909" t="s">
        <v>734</v>
      </c>
      <c r="D437" s="909" t="s">
        <v>975</v>
      </c>
      <c r="E437" s="909" t="s">
        <v>738</v>
      </c>
      <c r="F437" s="909" t="s">
        <v>735</v>
      </c>
      <c r="G437" s="909" t="s">
        <v>1149</v>
      </c>
      <c r="H437" s="909"/>
      <c r="I437" s="909"/>
      <c r="J437" s="909"/>
      <c r="K437" s="910" t="s">
        <v>1244</v>
      </c>
      <c r="L437" s="911"/>
      <c r="M437" s="911"/>
      <c r="N437" s="911"/>
      <c r="O437" s="904">
        <f t="shared" si="153"/>
        <v>0</v>
      </c>
      <c r="P437" s="911"/>
      <c r="Q437" s="911"/>
      <c r="R437" s="911"/>
      <c r="S437" s="911"/>
      <c r="T437" s="911"/>
      <c r="U437" s="911"/>
      <c r="V437" s="911" t="e">
        <f t="shared" si="154"/>
        <v>#DIV/0!</v>
      </c>
      <c r="W437" s="911">
        <f t="shared" si="149"/>
        <v>0</v>
      </c>
      <c r="X437" s="906"/>
      <c r="Y437" s="906"/>
      <c r="Z437" s="843">
        <f t="shared" si="150"/>
        <v>0</v>
      </c>
    </row>
    <row r="438" spans="1:26" ht="24" thickTop="1" thickBot="1" x14ac:dyDescent="0.3">
      <c r="A438" s="908">
        <v>1</v>
      </c>
      <c r="B438" s="909" t="s">
        <v>817</v>
      </c>
      <c r="C438" s="909" t="s">
        <v>734</v>
      </c>
      <c r="D438" s="909" t="s">
        <v>975</v>
      </c>
      <c r="E438" s="909" t="s">
        <v>738</v>
      </c>
      <c r="F438" s="909" t="s">
        <v>735</v>
      </c>
      <c r="G438" s="909" t="s">
        <v>1151</v>
      </c>
      <c r="H438" s="909"/>
      <c r="I438" s="909"/>
      <c r="J438" s="909"/>
      <c r="K438" s="910" t="s">
        <v>1245</v>
      </c>
      <c r="L438" s="911"/>
      <c r="M438" s="911"/>
      <c r="N438" s="911"/>
      <c r="O438" s="904">
        <f t="shared" si="153"/>
        <v>0</v>
      </c>
      <c r="P438" s="911"/>
      <c r="Q438" s="911"/>
      <c r="R438" s="911"/>
      <c r="S438" s="911"/>
      <c r="T438" s="911"/>
      <c r="U438" s="911"/>
      <c r="V438" s="911" t="e">
        <f t="shared" si="154"/>
        <v>#DIV/0!</v>
      </c>
      <c r="W438" s="911">
        <f t="shared" si="149"/>
        <v>0</v>
      </c>
      <c r="X438" s="906"/>
      <c r="Y438" s="906"/>
      <c r="Z438" s="843">
        <f t="shared" si="150"/>
        <v>0</v>
      </c>
    </row>
    <row r="439" spans="1:26" ht="24" thickTop="1" thickBot="1" x14ac:dyDescent="0.3">
      <c r="A439" s="908">
        <v>1</v>
      </c>
      <c r="B439" s="909" t="s">
        <v>817</v>
      </c>
      <c r="C439" s="909" t="s">
        <v>734</v>
      </c>
      <c r="D439" s="909" t="s">
        <v>975</v>
      </c>
      <c r="E439" s="909" t="s">
        <v>738</v>
      </c>
      <c r="F439" s="909" t="s">
        <v>735</v>
      </c>
      <c r="G439" s="909" t="s">
        <v>1153</v>
      </c>
      <c r="H439" s="909"/>
      <c r="I439" s="909"/>
      <c r="J439" s="909"/>
      <c r="K439" s="910" t="s">
        <v>1246</v>
      </c>
      <c r="L439" s="911"/>
      <c r="M439" s="911"/>
      <c r="N439" s="911"/>
      <c r="O439" s="904">
        <f t="shared" si="153"/>
        <v>0</v>
      </c>
      <c r="P439" s="911"/>
      <c r="Q439" s="911"/>
      <c r="R439" s="911"/>
      <c r="S439" s="911"/>
      <c r="T439" s="911"/>
      <c r="U439" s="911"/>
      <c r="V439" s="911" t="e">
        <f t="shared" si="154"/>
        <v>#DIV/0!</v>
      </c>
      <c r="W439" s="911">
        <f t="shared" si="149"/>
        <v>0</v>
      </c>
      <c r="X439" s="906"/>
      <c r="Y439" s="906"/>
      <c r="Z439" s="843">
        <f t="shared" si="150"/>
        <v>0</v>
      </c>
    </row>
    <row r="440" spans="1:26" ht="24" thickTop="1" thickBot="1" x14ac:dyDescent="0.3">
      <c r="A440" s="908">
        <v>1</v>
      </c>
      <c r="B440" s="909" t="s">
        <v>817</v>
      </c>
      <c r="C440" s="909" t="s">
        <v>734</v>
      </c>
      <c r="D440" s="909" t="s">
        <v>975</v>
      </c>
      <c r="E440" s="909" t="s">
        <v>738</v>
      </c>
      <c r="F440" s="909" t="s">
        <v>735</v>
      </c>
      <c r="G440" s="909" t="s">
        <v>1155</v>
      </c>
      <c r="H440" s="909"/>
      <c r="I440" s="909"/>
      <c r="J440" s="909"/>
      <c r="K440" s="910" t="s">
        <v>1247</v>
      </c>
      <c r="L440" s="911"/>
      <c r="M440" s="911"/>
      <c r="N440" s="911"/>
      <c r="O440" s="904">
        <f t="shared" si="153"/>
        <v>0</v>
      </c>
      <c r="P440" s="911"/>
      <c r="Q440" s="911"/>
      <c r="R440" s="911"/>
      <c r="S440" s="911"/>
      <c r="T440" s="911"/>
      <c r="U440" s="911"/>
      <c r="V440" s="911" t="e">
        <f t="shared" si="154"/>
        <v>#DIV/0!</v>
      </c>
      <c r="W440" s="911">
        <f t="shared" si="149"/>
        <v>0</v>
      </c>
      <c r="X440" s="906"/>
      <c r="Y440" s="906"/>
      <c r="Z440" s="843">
        <f t="shared" si="150"/>
        <v>0</v>
      </c>
    </row>
    <row r="441" spans="1:26" ht="24" thickTop="1" thickBot="1" x14ac:dyDescent="0.3">
      <c r="A441" s="908">
        <v>1</v>
      </c>
      <c r="B441" s="909" t="s">
        <v>817</v>
      </c>
      <c r="C441" s="909" t="s">
        <v>734</v>
      </c>
      <c r="D441" s="909" t="s">
        <v>975</v>
      </c>
      <c r="E441" s="909" t="s">
        <v>738</v>
      </c>
      <c r="F441" s="909" t="s">
        <v>735</v>
      </c>
      <c r="G441" s="909" t="s">
        <v>1157</v>
      </c>
      <c r="H441" s="909"/>
      <c r="I441" s="909"/>
      <c r="J441" s="909"/>
      <c r="K441" s="910" t="s">
        <v>1248</v>
      </c>
      <c r="L441" s="911"/>
      <c r="M441" s="911"/>
      <c r="N441" s="911"/>
      <c r="O441" s="904">
        <f t="shared" si="153"/>
        <v>0</v>
      </c>
      <c r="P441" s="911"/>
      <c r="Q441" s="911"/>
      <c r="R441" s="911"/>
      <c r="S441" s="911"/>
      <c r="T441" s="911"/>
      <c r="U441" s="911"/>
      <c r="V441" s="911" t="e">
        <f t="shared" si="154"/>
        <v>#DIV/0!</v>
      </c>
      <c r="W441" s="911">
        <f t="shared" si="149"/>
        <v>0</v>
      </c>
      <c r="X441" s="906"/>
      <c r="Y441" s="906"/>
      <c r="Z441" s="843">
        <f t="shared" si="150"/>
        <v>0</v>
      </c>
    </row>
    <row r="442" spans="1:26" ht="24" thickTop="1" thickBot="1" x14ac:dyDescent="0.3">
      <c r="A442" s="908">
        <v>1</v>
      </c>
      <c r="B442" s="909" t="s">
        <v>817</v>
      </c>
      <c r="C442" s="909" t="s">
        <v>734</v>
      </c>
      <c r="D442" s="909" t="s">
        <v>975</v>
      </c>
      <c r="E442" s="909" t="s">
        <v>738</v>
      </c>
      <c r="F442" s="909" t="s">
        <v>735</v>
      </c>
      <c r="G442" s="909" t="s">
        <v>1159</v>
      </c>
      <c r="H442" s="909"/>
      <c r="I442" s="909"/>
      <c r="J442" s="909"/>
      <c r="K442" s="910" t="s">
        <v>1249</v>
      </c>
      <c r="L442" s="911"/>
      <c r="M442" s="911"/>
      <c r="N442" s="911"/>
      <c r="O442" s="904">
        <f t="shared" si="153"/>
        <v>0</v>
      </c>
      <c r="P442" s="911"/>
      <c r="Q442" s="911"/>
      <c r="R442" s="911"/>
      <c r="S442" s="911"/>
      <c r="T442" s="911"/>
      <c r="U442" s="911"/>
      <c r="V442" s="911" t="e">
        <f t="shared" si="154"/>
        <v>#DIV/0!</v>
      </c>
      <c r="W442" s="911">
        <f t="shared" si="149"/>
        <v>0</v>
      </c>
      <c r="X442" s="906"/>
      <c r="Y442" s="906"/>
      <c r="Z442" s="843">
        <f t="shared" si="150"/>
        <v>0</v>
      </c>
    </row>
    <row r="443" spans="1:26" ht="24" thickTop="1" thickBot="1" x14ac:dyDescent="0.3">
      <c r="A443" s="908">
        <v>1</v>
      </c>
      <c r="B443" s="909" t="s">
        <v>817</v>
      </c>
      <c r="C443" s="909" t="s">
        <v>734</v>
      </c>
      <c r="D443" s="909" t="s">
        <v>975</v>
      </c>
      <c r="E443" s="909" t="s">
        <v>738</v>
      </c>
      <c r="F443" s="909" t="s">
        <v>735</v>
      </c>
      <c r="G443" s="909" t="s">
        <v>1250</v>
      </c>
      <c r="H443" s="909"/>
      <c r="I443" s="909"/>
      <c r="J443" s="909"/>
      <c r="K443" s="910" t="s">
        <v>1251</v>
      </c>
      <c r="L443" s="911"/>
      <c r="M443" s="911"/>
      <c r="N443" s="911"/>
      <c r="O443" s="904">
        <f t="shared" si="153"/>
        <v>0</v>
      </c>
      <c r="P443" s="911"/>
      <c r="Q443" s="911"/>
      <c r="R443" s="911"/>
      <c r="S443" s="911"/>
      <c r="T443" s="911"/>
      <c r="U443" s="911"/>
      <c r="V443" s="911" t="e">
        <f t="shared" si="154"/>
        <v>#DIV/0!</v>
      </c>
      <c r="W443" s="911">
        <f t="shared" si="149"/>
        <v>0</v>
      </c>
      <c r="X443" s="906"/>
      <c r="Y443" s="906"/>
      <c r="Z443" s="843">
        <f t="shared" si="150"/>
        <v>0</v>
      </c>
    </row>
    <row r="444" spans="1:26" ht="24" thickTop="1" thickBot="1" x14ac:dyDescent="0.3">
      <c r="A444" s="908">
        <v>1</v>
      </c>
      <c r="B444" s="909" t="s">
        <v>817</v>
      </c>
      <c r="C444" s="909" t="s">
        <v>734</v>
      </c>
      <c r="D444" s="909" t="s">
        <v>975</v>
      </c>
      <c r="E444" s="909" t="s">
        <v>738</v>
      </c>
      <c r="F444" s="909" t="s">
        <v>735</v>
      </c>
      <c r="G444" s="909" t="s">
        <v>1252</v>
      </c>
      <c r="H444" s="909"/>
      <c r="I444" s="909"/>
      <c r="J444" s="909"/>
      <c r="K444" s="910" t="s">
        <v>1253</v>
      </c>
      <c r="L444" s="911"/>
      <c r="M444" s="911"/>
      <c r="N444" s="911"/>
      <c r="O444" s="904">
        <f t="shared" si="153"/>
        <v>0</v>
      </c>
      <c r="P444" s="911"/>
      <c r="Q444" s="911"/>
      <c r="R444" s="911"/>
      <c r="S444" s="911"/>
      <c r="T444" s="911"/>
      <c r="U444" s="911"/>
      <c r="V444" s="911" t="e">
        <f t="shared" si="154"/>
        <v>#DIV/0!</v>
      </c>
      <c r="W444" s="911">
        <f t="shared" si="149"/>
        <v>0</v>
      </c>
      <c r="X444" s="906"/>
      <c r="Y444" s="906"/>
      <c r="Z444" s="843">
        <f t="shared" si="150"/>
        <v>0</v>
      </c>
    </row>
    <row r="445" spans="1:26" ht="16.5" thickTop="1" thickBot="1" x14ac:dyDescent="0.3">
      <c r="A445" s="885">
        <v>1</v>
      </c>
      <c r="B445" s="886" t="s">
        <v>817</v>
      </c>
      <c r="C445" s="886" t="s">
        <v>734</v>
      </c>
      <c r="D445" s="886" t="s">
        <v>975</v>
      </c>
      <c r="E445" s="886" t="s">
        <v>738</v>
      </c>
      <c r="F445" s="886" t="s">
        <v>738</v>
      </c>
      <c r="G445" s="886"/>
      <c r="H445" s="886"/>
      <c r="I445" s="886"/>
      <c r="J445" s="886"/>
      <c r="K445" s="927" t="s">
        <v>1254</v>
      </c>
      <c r="L445" s="928">
        <f>SUM(L446:L476)</f>
        <v>0</v>
      </c>
      <c r="M445" s="928">
        <f t="shared" ref="M445:U445" si="155">SUM(M446:M476)</f>
        <v>0</v>
      </c>
      <c r="N445" s="928">
        <f t="shared" si="155"/>
        <v>0</v>
      </c>
      <c r="O445" s="928">
        <f t="shared" si="155"/>
        <v>0</v>
      </c>
      <c r="P445" s="928">
        <f t="shared" si="155"/>
        <v>0</v>
      </c>
      <c r="Q445" s="928">
        <f t="shared" si="155"/>
        <v>0</v>
      </c>
      <c r="R445" s="928">
        <f t="shared" si="155"/>
        <v>0</v>
      </c>
      <c r="S445" s="928">
        <f t="shared" si="155"/>
        <v>0</v>
      </c>
      <c r="T445" s="928">
        <f t="shared" si="155"/>
        <v>0</v>
      </c>
      <c r="U445" s="911">
        <f t="shared" si="155"/>
        <v>0</v>
      </c>
      <c r="V445" s="928" t="e">
        <f t="shared" si="154"/>
        <v>#DIV/0!</v>
      </c>
      <c r="W445" s="928">
        <f t="shared" si="149"/>
        <v>0</v>
      </c>
      <c r="X445" s="891"/>
      <c r="Y445" s="891"/>
      <c r="Z445" s="929">
        <f t="shared" si="150"/>
        <v>0</v>
      </c>
    </row>
    <row r="446" spans="1:26" ht="24" thickTop="1" thickBot="1" x14ac:dyDescent="0.3">
      <c r="A446" s="908">
        <v>1</v>
      </c>
      <c r="B446" s="909" t="s">
        <v>817</v>
      </c>
      <c r="C446" s="909" t="s">
        <v>734</v>
      </c>
      <c r="D446" s="909" t="s">
        <v>975</v>
      </c>
      <c r="E446" s="909" t="s">
        <v>738</v>
      </c>
      <c r="F446" s="909" t="s">
        <v>738</v>
      </c>
      <c r="G446" s="909" t="s">
        <v>735</v>
      </c>
      <c r="H446" s="909"/>
      <c r="I446" s="909"/>
      <c r="J446" s="909"/>
      <c r="K446" s="910" t="s">
        <v>1255</v>
      </c>
      <c r="L446" s="911"/>
      <c r="M446" s="911"/>
      <c r="N446" s="911"/>
      <c r="O446" s="904">
        <f t="shared" ref="O446:O476" si="156">+L446+M446-N446</f>
        <v>0</v>
      </c>
      <c r="P446" s="911"/>
      <c r="Q446" s="911"/>
      <c r="R446" s="911"/>
      <c r="S446" s="911"/>
      <c r="T446" s="911"/>
      <c r="U446" s="911"/>
      <c r="V446" s="911" t="e">
        <f t="shared" si="154"/>
        <v>#DIV/0!</v>
      </c>
      <c r="W446" s="911">
        <f t="shared" si="149"/>
        <v>0</v>
      </c>
      <c r="X446" s="906"/>
      <c r="Y446" s="906"/>
      <c r="Z446" s="843">
        <f t="shared" si="150"/>
        <v>0</v>
      </c>
    </row>
    <row r="447" spans="1:26" ht="24" thickTop="1" thickBot="1" x14ac:dyDescent="0.3">
      <c r="A447" s="908">
        <v>1</v>
      </c>
      <c r="B447" s="909" t="s">
        <v>817</v>
      </c>
      <c r="C447" s="909" t="s">
        <v>734</v>
      </c>
      <c r="D447" s="909" t="s">
        <v>975</v>
      </c>
      <c r="E447" s="909" t="s">
        <v>738</v>
      </c>
      <c r="F447" s="909" t="s">
        <v>738</v>
      </c>
      <c r="G447" s="909" t="s">
        <v>738</v>
      </c>
      <c r="H447" s="909"/>
      <c r="I447" s="909"/>
      <c r="J447" s="909"/>
      <c r="K447" s="910" t="s">
        <v>1256</v>
      </c>
      <c r="L447" s="911"/>
      <c r="M447" s="911"/>
      <c r="N447" s="911"/>
      <c r="O447" s="904">
        <f t="shared" si="156"/>
        <v>0</v>
      </c>
      <c r="P447" s="911"/>
      <c r="Q447" s="911"/>
      <c r="R447" s="911"/>
      <c r="S447" s="911"/>
      <c r="T447" s="911"/>
      <c r="U447" s="911"/>
      <c r="V447" s="911" t="e">
        <f t="shared" si="154"/>
        <v>#DIV/0!</v>
      </c>
      <c r="W447" s="911">
        <f t="shared" si="149"/>
        <v>0</v>
      </c>
      <c r="X447" s="906"/>
      <c r="Y447" s="906"/>
      <c r="Z447" s="843">
        <f t="shared" si="150"/>
        <v>0</v>
      </c>
    </row>
    <row r="448" spans="1:26" ht="24" thickTop="1" thickBot="1" x14ac:dyDescent="0.3">
      <c r="A448" s="908">
        <v>1</v>
      </c>
      <c r="B448" s="909" t="s">
        <v>817</v>
      </c>
      <c r="C448" s="909" t="s">
        <v>734</v>
      </c>
      <c r="D448" s="909" t="s">
        <v>975</v>
      </c>
      <c r="E448" s="909" t="s">
        <v>738</v>
      </c>
      <c r="F448" s="909" t="s">
        <v>738</v>
      </c>
      <c r="G448" s="909" t="s">
        <v>742</v>
      </c>
      <c r="H448" s="909"/>
      <c r="I448" s="909"/>
      <c r="J448" s="909"/>
      <c r="K448" s="910" t="s">
        <v>1257</v>
      </c>
      <c r="L448" s="911"/>
      <c r="M448" s="911"/>
      <c r="N448" s="911"/>
      <c r="O448" s="904">
        <f t="shared" si="156"/>
        <v>0</v>
      </c>
      <c r="P448" s="911"/>
      <c r="Q448" s="911"/>
      <c r="R448" s="911"/>
      <c r="S448" s="911"/>
      <c r="T448" s="911"/>
      <c r="U448" s="911"/>
      <c r="V448" s="911" t="e">
        <f t="shared" si="154"/>
        <v>#DIV/0!</v>
      </c>
      <c r="W448" s="911">
        <f t="shared" si="149"/>
        <v>0</v>
      </c>
      <c r="X448" s="906"/>
      <c r="Y448" s="906"/>
      <c r="Z448" s="843">
        <f t="shared" si="150"/>
        <v>0</v>
      </c>
    </row>
    <row r="449" spans="1:26" ht="35.25" thickTop="1" thickBot="1" x14ac:dyDescent="0.3">
      <c r="A449" s="908">
        <v>1</v>
      </c>
      <c r="B449" s="909" t="s">
        <v>817</v>
      </c>
      <c r="C449" s="909" t="s">
        <v>734</v>
      </c>
      <c r="D449" s="909" t="s">
        <v>975</v>
      </c>
      <c r="E449" s="909" t="s">
        <v>738</v>
      </c>
      <c r="F449" s="909" t="s">
        <v>738</v>
      </c>
      <c r="G449" s="909" t="s">
        <v>758</v>
      </c>
      <c r="H449" s="909"/>
      <c r="I449" s="909"/>
      <c r="J449" s="909"/>
      <c r="K449" s="910" t="s">
        <v>1258</v>
      </c>
      <c r="L449" s="911"/>
      <c r="M449" s="911"/>
      <c r="N449" s="911"/>
      <c r="O449" s="904">
        <f t="shared" si="156"/>
        <v>0</v>
      </c>
      <c r="P449" s="911"/>
      <c r="Q449" s="911"/>
      <c r="R449" s="911"/>
      <c r="S449" s="911"/>
      <c r="T449" s="911"/>
      <c r="U449" s="911"/>
      <c r="V449" s="911" t="e">
        <f t="shared" si="154"/>
        <v>#DIV/0!</v>
      </c>
      <c r="W449" s="911">
        <f t="shared" si="149"/>
        <v>0</v>
      </c>
      <c r="X449" s="906"/>
      <c r="Y449" s="906"/>
      <c r="Z449" s="843">
        <f t="shared" si="150"/>
        <v>0</v>
      </c>
    </row>
    <row r="450" spans="1:26" ht="35.25" thickTop="1" thickBot="1" x14ac:dyDescent="0.3">
      <c r="A450" s="908">
        <v>1</v>
      </c>
      <c r="B450" s="909" t="s">
        <v>817</v>
      </c>
      <c r="C450" s="909" t="s">
        <v>734</v>
      </c>
      <c r="D450" s="909" t="s">
        <v>975</v>
      </c>
      <c r="E450" s="909" t="s">
        <v>738</v>
      </c>
      <c r="F450" s="909" t="s">
        <v>738</v>
      </c>
      <c r="G450" s="909" t="s">
        <v>841</v>
      </c>
      <c r="H450" s="909"/>
      <c r="I450" s="909"/>
      <c r="J450" s="909"/>
      <c r="K450" s="910" t="s">
        <v>1259</v>
      </c>
      <c r="L450" s="911"/>
      <c r="M450" s="911"/>
      <c r="N450" s="911"/>
      <c r="O450" s="904">
        <f t="shared" si="156"/>
        <v>0</v>
      </c>
      <c r="P450" s="911"/>
      <c r="Q450" s="911"/>
      <c r="R450" s="911"/>
      <c r="S450" s="911"/>
      <c r="T450" s="911"/>
      <c r="U450" s="911"/>
      <c r="V450" s="911" t="e">
        <f t="shared" si="154"/>
        <v>#DIV/0!</v>
      </c>
      <c r="W450" s="911">
        <f t="shared" si="149"/>
        <v>0</v>
      </c>
      <c r="X450" s="906"/>
      <c r="Y450" s="906"/>
      <c r="Z450" s="843">
        <f t="shared" si="150"/>
        <v>0</v>
      </c>
    </row>
    <row r="451" spans="1:26" ht="24" thickTop="1" thickBot="1" x14ac:dyDescent="0.3">
      <c r="A451" s="908">
        <v>1</v>
      </c>
      <c r="B451" s="909" t="s">
        <v>817</v>
      </c>
      <c r="C451" s="909" t="s">
        <v>734</v>
      </c>
      <c r="D451" s="909" t="s">
        <v>975</v>
      </c>
      <c r="E451" s="909" t="s">
        <v>738</v>
      </c>
      <c r="F451" s="909" t="s">
        <v>738</v>
      </c>
      <c r="G451" s="909" t="s">
        <v>955</v>
      </c>
      <c r="H451" s="909"/>
      <c r="I451" s="909"/>
      <c r="J451" s="909"/>
      <c r="K451" s="910" t="s">
        <v>1260</v>
      </c>
      <c r="L451" s="911"/>
      <c r="M451" s="911"/>
      <c r="N451" s="911"/>
      <c r="O451" s="904">
        <f t="shared" si="156"/>
        <v>0</v>
      </c>
      <c r="P451" s="911"/>
      <c r="Q451" s="911"/>
      <c r="R451" s="911"/>
      <c r="S451" s="911"/>
      <c r="T451" s="911"/>
      <c r="U451" s="911"/>
      <c r="V451" s="911" t="e">
        <f t="shared" si="154"/>
        <v>#DIV/0!</v>
      </c>
      <c r="W451" s="911">
        <f t="shared" si="149"/>
        <v>0</v>
      </c>
      <c r="X451" s="906"/>
      <c r="Y451" s="906"/>
      <c r="Z451" s="843">
        <f t="shared" si="150"/>
        <v>0</v>
      </c>
    </row>
    <row r="452" spans="1:26" ht="24" thickTop="1" thickBot="1" x14ac:dyDescent="0.3">
      <c r="A452" s="908">
        <v>1</v>
      </c>
      <c r="B452" s="909" t="s">
        <v>817</v>
      </c>
      <c r="C452" s="909" t="s">
        <v>734</v>
      </c>
      <c r="D452" s="909" t="s">
        <v>975</v>
      </c>
      <c r="E452" s="909" t="s">
        <v>738</v>
      </c>
      <c r="F452" s="909" t="s">
        <v>738</v>
      </c>
      <c r="G452" s="909" t="s">
        <v>960</v>
      </c>
      <c r="H452" s="909"/>
      <c r="I452" s="909"/>
      <c r="J452" s="909"/>
      <c r="K452" s="910" t="s">
        <v>1261</v>
      </c>
      <c r="L452" s="911"/>
      <c r="M452" s="911"/>
      <c r="N452" s="911"/>
      <c r="O452" s="904">
        <f t="shared" si="156"/>
        <v>0</v>
      </c>
      <c r="P452" s="911"/>
      <c r="Q452" s="911"/>
      <c r="R452" s="911"/>
      <c r="S452" s="911"/>
      <c r="T452" s="911"/>
      <c r="U452" s="911"/>
      <c r="V452" s="911" t="e">
        <f t="shared" si="154"/>
        <v>#DIV/0!</v>
      </c>
      <c r="W452" s="911">
        <f t="shared" si="149"/>
        <v>0</v>
      </c>
      <c r="X452" s="906"/>
      <c r="Y452" s="906"/>
      <c r="Z452" s="843">
        <f t="shared" si="150"/>
        <v>0</v>
      </c>
    </row>
    <row r="453" spans="1:26" ht="24" thickTop="1" thickBot="1" x14ac:dyDescent="0.3">
      <c r="A453" s="908">
        <v>1</v>
      </c>
      <c r="B453" s="909" t="s">
        <v>817</v>
      </c>
      <c r="C453" s="909" t="s">
        <v>734</v>
      </c>
      <c r="D453" s="909" t="s">
        <v>975</v>
      </c>
      <c r="E453" s="909" t="s">
        <v>738</v>
      </c>
      <c r="F453" s="909" t="s">
        <v>738</v>
      </c>
      <c r="G453" s="909" t="s">
        <v>965</v>
      </c>
      <c r="H453" s="909"/>
      <c r="I453" s="909"/>
      <c r="J453" s="909"/>
      <c r="K453" s="910" t="s">
        <v>1262</v>
      </c>
      <c r="L453" s="911"/>
      <c r="M453" s="911"/>
      <c r="N453" s="911"/>
      <c r="O453" s="904">
        <f t="shared" si="156"/>
        <v>0</v>
      </c>
      <c r="P453" s="911"/>
      <c r="Q453" s="911"/>
      <c r="R453" s="911"/>
      <c r="S453" s="911"/>
      <c r="T453" s="911"/>
      <c r="U453" s="911"/>
      <c r="V453" s="911" t="e">
        <f t="shared" si="154"/>
        <v>#DIV/0!</v>
      </c>
      <c r="W453" s="911">
        <f t="shared" si="149"/>
        <v>0</v>
      </c>
      <c r="X453" s="906"/>
      <c r="Y453" s="906"/>
      <c r="Z453" s="843">
        <f t="shared" si="150"/>
        <v>0</v>
      </c>
    </row>
    <row r="454" spans="1:26" ht="24" thickTop="1" thickBot="1" x14ac:dyDescent="0.3">
      <c r="A454" s="908">
        <v>1</v>
      </c>
      <c r="B454" s="909" t="s">
        <v>817</v>
      </c>
      <c r="C454" s="909" t="s">
        <v>734</v>
      </c>
      <c r="D454" s="909" t="s">
        <v>975</v>
      </c>
      <c r="E454" s="909" t="s">
        <v>738</v>
      </c>
      <c r="F454" s="909" t="s">
        <v>738</v>
      </c>
      <c r="G454" s="909" t="s">
        <v>970</v>
      </c>
      <c r="H454" s="909"/>
      <c r="I454" s="909"/>
      <c r="J454" s="909"/>
      <c r="K454" s="910" t="s">
        <v>1263</v>
      </c>
      <c r="L454" s="911"/>
      <c r="M454" s="911"/>
      <c r="N454" s="911"/>
      <c r="O454" s="904">
        <f t="shared" si="156"/>
        <v>0</v>
      </c>
      <c r="P454" s="911"/>
      <c r="Q454" s="911"/>
      <c r="R454" s="911"/>
      <c r="S454" s="911"/>
      <c r="T454" s="911"/>
      <c r="U454" s="911"/>
      <c r="V454" s="911" t="e">
        <f t="shared" si="154"/>
        <v>#DIV/0!</v>
      </c>
      <c r="W454" s="911">
        <f t="shared" si="149"/>
        <v>0</v>
      </c>
      <c r="X454" s="906"/>
      <c r="Y454" s="906"/>
      <c r="Z454" s="843">
        <f t="shared" si="150"/>
        <v>0</v>
      </c>
    </row>
    <row r="455" spans="1:26" ht="24" thickTop="1" thickBot="1" x14ac:dyDescent="0.3">
      <c r="A455" s="908">
        <v>1</v>
      </c>
      <c r="B455" s="909" t="s">
        <v>817</v>
      </c>
      <c r="C455" s="909" t="s">
        <v>734</v>
      </c>
      <c r="D455" s="909" t="s">
        <v>975</v>
      </c>
      <c r="E455" s="909" t="s">
        <v>738</v>
      </c>
      <c r="F455" s="909" t="s">
        <v>738</v>
      </c>
      <c r="G455" s="909" t="s">
        <v>975</v>
      </c>
      <c r="H455" s="909"/>
      <c r="I455" s="909"/>
      <c r="J455" s="909"/>
      <c r="K455" s="910" t="s">
        <v>1264</v>
      </c>
      <c r="L455" s="911"/>
      <c r="M455" s="911"/>
      <c r="N455" s="911"/>
      <c r="O455" s="904">
        <f t="shared" si="156"/>
        <v>0</v>
      </c>
      <c r="P455" s="911"/>
      <c r="Q455" s="911"/>
      <c r="R455" s="911"/>
      <c r="S455" s="911"/>
      <c r="T455" s="911"/>
      <c r="U455" s="911"/>
      <c r="V455" s="911" t="e">
        <f t="shared" si="154"/>
        <v>#DIV/0!</v>
      </c>
      <c r="W455" s="911">
        <f t="shared" si="149"/>
        <v>0</v>
      </c>
      <c r="X455" s="906"/>
      <c r="Y455" s="906"/>
      <c r="Z455" s="843">
        <f t="shared" si="150"/>
        <v>0</v>
      </c>
    </row>
    <row r="456" spans="1:26" ht="24" thickTop="1" thickBot="1" x14ac:dyDescent="0.3">
      <c r="A456" s="908">
        <v>1</v>
      </c>
      <c r="B456" s="909" t="s">
        <v>817</v>
      </c>
      <c r="C456" s="909" t="s">
        <v>734</v>
      </c>
      <c r="D456" s="909" t="s">
        <v>975</v>
      </c>
      <c r="E456" s="909" t="s">
        <v>738</v>
      </c>
      <c r="F456" s="909" t="s">
        <v>738</v>
      </c>
      <c r="G456" s="909" t="s">
        <v>1124</v>
      </c>
      <c r="H456" s="909"/>
      <c r="I456" s="909"/>
      <c r="J456" s="909"/>
      <c r="K456" s="910" t="s">
        <v>1265</v>
      </c>
      <c r="L456" s="911"/>
      <c r="M456" s="911"/>
      <c r="N456" s="911"/>
      <c r="O456" s="904">
        <f t="shared" si="156"/>
        <v>0</v>
      </c>
      <c r="P456" s="911"/>
      <c r="Q456" s="911"/>
      <c r="R456" s="911"/>
      <c r="S456" s="911"/>
      <c r="T456" s="911"/>
      <c r="U456" s="911"/>
      <c r="V456" s="911" t="e">
        <f t="shared" si="154"/>
        <v>#DIV/0!</v>
      </c>
      <c r="W456" s="911">
        <f t="shared" si="149"/>
        <v>0</v>
      </c>
      <c r="X456" s="906"/>
      <c r="Y456" s="906"/>
      <c r="Z456" s="843">
        <f t="shared" si="150"/>
        <v>0</v>
      </c>
    </row>
    <row r="457" spans="1:26" ht="24" thickTop="1" thickBot="1" x14ac:dyDescent="0.3">
      <c r="A457" s="908">
        <v>1</v>
      </c>
      <c r="B457" s="909" t="s">
        <v>817</v>
      </c>
      <c r="C457" s="909" t="s">
        <v>734</v>
      </c>
      <c r="D457" s="909" t="s">
        <v>975</v>
      </c>
      <c r="E457" s="909" t="s">
        <v>738</v>
      </c>
      <c r="F457" s="909" t="s">
        <v>738</v>
      </c>
      <c r="G457" s="909" t="s">
        <v>1126</v>
      </c>
      <c r="H457" s="909"/>
      <c r="I457" s="909"/>
      <c r="J457" s="909"/>
      <c r="K457" s="910" t="s">
        <v>1266</v>
      </c>
      <c r="L457" s="911"/>
      <c r="M457" s="911"/>
      <c r="N457" s="911"/>
      <c r="O457" s="904">
        <f t="shared" si="156"/>
        <v>0</v>
      </c>
      <c r="P457" s="911"/>
      <c r="Q457" s="911"/>
      <c r="R457" s="911"/>
      <c r="S457" s="911"/>
      <c r="T457" s="911"/>
      <c r="U457" s="911"/>
      <c r="V457" s="911" t="e">
        <f t="shared" si="154"/>
        <v>#DIV/0!</v>
      </c>
      <c r="W457" s="911">
        <f t="shared" si="149"/>
        <v>0</v>
      </c>
      <c r="X457" s="906"/>
      <c r="Y457" s="906"/>
      <c r="Z457" s="843">
        <f t="shared" si="150"/>
        <v>0</v>
      </c>
    </row>
    <row r="458" spans="1:26" ht="24" thickTop="1" thickBot="1" x14ac:dyDescent="0.3">
      <c r="A458" s="908">
        <v>1</v>
      </c>
      <c r="B458" s="909" t="s">
        <v>817</v>
      </c>
      <c r="C458" s="909" t="s">
        <v>734</v>
      </c>
      <c r="D458" s="909" t="s">
        <v>975</v>
      </c>
      <c r="E458" s="909" t="s">
        <v>738</v>
      </c>
      <c r="F458" s="909" t="s">
        <v>738</v>
      </c>
      <c r="G458" s="909" t="s">
        <v>917</v>
      </c>
      <c r="H458" s="909"/>
      <c r="I458" s="909"/>
      <c r="J458" s="909"/>
      <c r="K458" s="910" t="s">
        <v>1267</v>
      </c>
      <c r="L458" s="911"/>
      <c r="M458" s="911"/>
      <c r="N458" s="911"/>
      <c r="O458" s="904">
        <f t="shared" si="156"/>
        <v>0</v>
      </c>
      <c r="P458" s="911"/>
      <c r="Q458" s="911"/>
      <c r="R458" s="911"/>
      <c r="S458" s="911"/>
      <c r="T458" s="911"/>
      <c r="U458" s="911"/>
      <c r="V458" s="911" t="e">
        <f t="shared" si="154"/>
        <v>#DIV/0!</v>
      </c>
      <c r="W458" s="911">
        <f t="shared" si="149"/>
        <v>0</v>
      </c>
      <c r="X458" s="906"/>
      <c r="Y458" s="906"/>
      <c r="Z458" s="843">
        <f t="shared" si="150"/>
        <v>0</v>
      </c>
    </row>
    <row r="459" spans="1:26" ht="35.25" thickTop="1" thickBot="1" x14ac:dyDescent="0.3">
      <c r="A459" s="908">
        <v>1</v>
      </c>
      <c r="B459" s="909" t="s">
        <v>817</v>
      </c>
      <c r="C459" s="909" t="s">
        <v>734</v>
      </c>
      <c r="D459" s="909" t="s">
        <v>975</v>
      </c>
      <c r="E459" s="909" t="s">
        <v>738</v>
      </c>
      <c r="F459" s="909" t="s">
        <v>738</v>
      </c>
      <c r="G459" s="909" t="s">
        <v>988</v>
      </c>
      <c r="H459" s="909"/>
      <c r="I459" s="909"/>
      <c r="J459" s="909"/>
      <c r="K459" s="910" t="s">
        <v>1268</v>
      </c>
      <c r="L459" s="911"/>
      <c r="M459" s="911"/>
      <c r="N459" s="911"/>
      <c r="O459" s="904">
        <f t="shared" si="156"/>
        <v>0</v>
      </c>
      <c r="P459" s="911"/>
      <c r="Q459" s="911"/>
      <c r="R459" s="911"/>
      <c r="S459" s="911"/>
      <c r="T459" s="911"/>
      <c r="U459" s="911"/>
      <c r="V459" s="911" t="e">
        <f t="shared" si="154"/>
        <v>#DIV/0!</v>
      </c>
      <c r="W459" s="911">
        <f t="shared" si="149"/>
        <v>0</v>
      </c>
      <c r="X459" s="906"/>
      <c r="Y459" s="906"/>
      <c r="Z459" s="843">
        <f t="shared" si="150"/>
        <v>0</v>
      </c>
    </row>
    <row r="460" spans="1:26" ht="24" thickTop="1" thickBot="1" x14ac:dyDescent="0.3">
      <c r="A460" s="908">
        <v>1</v>
      </c>
      <c r="B460" s="909" t="s">
        <v>817</v>
      </c>
      <c r="C460" s="909" t="s">
        <v>734</v>
      </c>
      <c r="D460" s="909" t="s">
        <v>975</v>
      </c>
      <c r="E460" s="909" t="s">
        <v>738</v>
      </c>
      <c r="F460" s="909" t="s">
        <v>738</v>
      </c>
      <c r="G460" s="909" t="s">
        <v>1130</v>
      </c>
      <c r="H460" s="909"/>
      <c r="I460" s="909"/>
      <c r="J460" s="909"/>
      <c r="K460" s="910" t="s">
        <v>1269</v>
      </c>
      <c r="L460" s="911"/>
      <c r="M460" s="911"/>
      <c r="N460" s="911"/>
      <c r="O460" s="904">
        <f t="shared" si="156"/>
        <v>0</v>
      </c>
      <c r="P460" s="911"/>
      <c r="Q460" s="911"/>
      <c r="R460" s="911"/>
      <c r="S460" s="911"/>
      <c r="T460" s="911"/>
      <c r="U460" s="911"/>
      <c r="V460" s="911" t="e">
        <f t="shared" si="154"/>
        <v>#DIV/0!</v>
      </c>
      <c r="W460" s="911">
        <f t="shared" si="149"/>
        <v>0</v>
      </c>
      <c r="X460" s="906"/>
      <c r="Y460" s="906"/>
      <c r="Z460" s="843">
        <f t="shared" si="150"/>
        <v>0</v>
      </c>
    </row>
    <row r="461" spans="1:26" ht="24" thickTop="1" thickBot="1" x14ac:dyDescent="0.3">
      <c r="A461" s="908">
        <v>1</v>
      </c>
      <c r="B461" s="909" t="s">
        <v>817</v>
      </c>
      <c r="C461" s="909" t="s">
        <v>734</v>
      </c>
      <c r="D461" s="909" t="s">
        <v>975</v>
      </c>
      <c r="E461" s="909" t="s">
        <v>738</v>
      </c>
      <c r="F461" s="909" t="s">
        <v>738</v>
      </c>
      <c r="G461" s="909" t="s">
        <v>1132</v>
      </c>
      <c r="H461" s="909"/>
      <c r="I461" s="909"/>
      <c r="J461" s="909"/>
      <c r="K461" s="910" t="s">
        <v>1270</v>
      </c>
      <c r="L461" s="911"/>
      <c r="M461" s="911"/>
      <c r="N461" s="911"/>
      <c r="O461" s="904">
        <f t="shared" si="156"/>
        <v>0</v>
      </c>
      <c r="P461" s="911"/>
      <c r="Q461" s="911"/>
      <c r="R461" s="911"/>
      <c r="S461" s="911"/>
      <c r="T461" s="911"/>
      <c r="U461" s="911"/>
      <c r="V461" s="911" t="e">
        <f t="shared" si="154"/>
        <v>#DIV/0!</v>
      </c>
      <c r="W461" s="911">
        <f t="shared" si="149"/>
        <v>0</v>
      </c>
      <c r="X461" s="906"/>
      <c r="Y461" s="906"/>
      <c r="Z461" s="843">
        <f t="shared" si="150"/>
        <v>0</v>
      </c>
    </row>
    <row r="462" spans="1:26" ht="24" thickTop="1" thickBot="1" x14ac:dyDescent="0.3">
      <c r="A462" s="908">
        <v>1</v>
      </c>
      <c r="B462" s="909" t="s">
        <v>817</v>
      </c>
      <c r="C462" s="909" t="s">
        <v>734</v>
      </c>
      <c r="D462" s="909" t="s">
        <v>975</v>
      </c>
      <c r="E462" s="909" t="s">
        <v>738</v>
      </c>
      <c r="F462" s="909" t="s">
        <v>738</v>
      </c>
      <c r="G462" s="909" t="s">
        <v>1134</v>
      </c>
      <c r="H462" s="909"/>
      <c r="I462" s="909"/>
      <c r="J462" s="909"/>
      <c r="K462" s="910" t="s">
        <v>1271</v>
      </c>
      <c r="L462" s="911"/>
      <c r="M462" s="911"/>
      <c r="N462" s="911"/>
      <c r="O462" s="904">
        <f t="shared" si="156"/>
        <v>0</v>
      </c>
      <c r="P462" s="911"/>
      <c r="Q462" s="911"/>
      <c r="R462" s="911"/>
      <c r="S462" s="911"/>
      <c r="T462" s="911"/>
      <c r="U462" s="911"/>
      <c r="V462" s="911" t="e">
        <f t="shared" si="154"/>
        <v>#DIV/0!</v>
      </c>
      <c r="W462" s="911">
        <f t="shared" si="149"/>
        <v>0</v>
      </c>
      <c r="X462" s="906"/>
      <c r="Y462" s="906"/>
      <c r="Z462" s="843">
        <f t="shared" si="150"/>
        <v>0</v>
      </c>
    </row>
    <row r="463" spans="1:26" ht="24" thickTop="1" thickBot="1" x14ac:dyDescent="0.3">
      <c r="A463" s="908">
        <v>1</v>
      </c>
      <c r="B463" s="909" t="s">
        <v>817</v>
      </c>
      <c r="C463" s="909" t="s">
        <v>734</v>
      </c>
      <c r="D463" s="909" t="s">
        <v>975</v>
      </c>
      <c r="E463" s="909" t="s">
        <v>738</v>
      </c>
      <c r="F463" s="909" t="s">
        <v>738</v>
      </c>
      <c r="G463" s="909" t="s">
        <v>1136</v>
      </c>
      <c r="H463" s="909"/>
      <c r="I463" s="909"/>
      <c r="J463" s="909"/>
      <c r="K463" s="910" t="s">
        <v>1272</v>
      </c>
      <c r="L463" s="911"/>
      <c r="M463" s="911"/>
      <c r="N463" s="911"/>
      <c r="O463" s="904">
        <f t="shared" si="156"/>
        <v>0</v>
      </c>
      <c r="P463" s="911"/>
      <c r="Q463" s="911"/>
      <c r="R463" s="911"/>
      <c r="S463" s="911"/>
      <c r="T463" s="911"/>
      <c r="U463" s="911"/>
      <c r="V463" s="911" t="e">
        <f t="shared" si="154"/>
        <v>#DIV/0!</v>
      </c>
      <c r="W463" s="911">
        <f t="shared" si="149"/>
        <v>0</v>
      </c>
      <c r="X463" s="906"/>
      <c r="Y463" s="906"/>
      <c r="Z463" s="843">
        <f t="shared" si="150"/>
        <v>0</v>
      </c>
    </row>
    <row r="464" spans="1:26" ht="35.25" thickTop="1" thickBot="1" x14ac:dyDescent="0.3">
      <c r="A464" s="908">
        <v>1</v>
      </c>
      <c r="B464" s="909" t="s">
        <v>817</v>
      </c>
      <c r="C464" s="909" t="s">
        <v>734</v>
      </c>
      <c r="D464" s="909" t="s">
        <v>975</v>
      </c>
      <c r="E464" s="909" t="s">
        <v>738</v>
      </c>
      <c r="F464" s="909" t="s">
        <v>738</v>
      </c>
      <c r="G464" s="909" t="s">
        <v>1138</v>
      </c>
      <c r="H464" s="909"/>
      <c r="I464" s="909"/>
      <c r="J464" s="909"/>
      <c r="K464" s="910" t="s">
        <v>1273</v>
      </c>
      <c r="L464" s="911"/>
      <c r="M464" s="911"/>
      <c r="N464" s="911"/>
      <c r="O464" s="904">
        <f t="shared" si="156"/>
        <v>0</v>
      </c>
      <c r="P464" s="911"/>
      <c r="Q464" s="911"/>
      <c r="R464" s="911"/>
      <c r="S464" s="911"/>
      <c r="T464" s="911"/>
      <c r="U464" s="911"/>
      <c r="V464" s="911" t="e">
        <f t="shared" si="154"/>
        <v>#DIV/0!</v>
      </c>
      <c r="W464" s="911">
        <f t="shared" si="149"/>
        <v>0</v>
      </c>
      <c r="X464" s="906"/>
      <c r="Y464" s="906"/>
      <c r="Z464" s="843">
        <f t="shared" si="150"/>
        <v>0</v>
      </c>
    </row>
    <row r="465" spans="1:26" ht="35.25" thickTop="1" thickBot="1" x14ac:dyDescent="0.3">
      <c r="A465" s="908">
        <v>1</v>
      </c>
      <c r="B465" s="909" t="s">
        <v>817</v>
      </c>
      <c r="C465" s="909" t="s">
        <v>734</v>
      </c>
      <c r="D465" s="909" t="s">
        <v>975</v>
      </c>
      <c r="E465" s="909" t="s">
        <v>738</v>
      </c>
      <c r="F465" s="909" t="s">
        <v>738</v>
      </c>
      <c r="G465" s="909" t="s">
        <v>1140</v>
      </c>
      <c r="H465" s="909"/>
      <c r="I465" s="909"/>
      <c r="J465" s="909"/>
      <c r="K465" s="910" t="s">
        <v>1274</v>
      </c>
      <c r="L465" s="911"/>
      <c r="M465" s="911"/>
      <c r="N465" s="911"/>
      <c r="O465" s="904">
        <f t="shared" si="156"/>
        <v>0</v>
      </c>
      <c r="P465" s="911"/>
      <c r="Q465" s="911"/>
      <c r="R465" s="911"/>
      <c r="S465" s="911"/>
      <c r="T465" s="911"/>
      <c r="U465" s="911"/>
      <c r="V465" s="911" t="e">
        <f t="shared" si="154"/>
        <v>#DIV/0!</v>
      </c>
      <c r="W465" s="911">
        <f t="shared" si="149"/>
        <v>0</v>
      </c>
      <c r="X465" s="906"/>
      <c r="Y465" s="906"/>
      <c r="Z465" s="843">
        <f t="shared" si="150"/>
        <v>0</v>
      </c>
    </row>
    <row r="466" spans="1:26" ht="24" thickTop="1" thickBot="1" x14ac:dyDescent="0.3">
      <c r="A466" s="908">
        <v>1</v>
      </c>
      <c r="B466" s="909" t="s">
        <v>817</v>
      </c>
      <c r="C466" s="909" t="s">
        <v>734</v>
      </c>
      <c r="D466" s="909" t="s">
        <v>975</v>
      </c>
      <c r="E466" s="909" t="s">
        <v>738</v>
      </c>
      <c r="F466" s="909" t="s">
        <v>738</v>
      </c>
      <c r="G466" s="909" t="s">
        <v>1142</v>
      </c>
      <c r="H466" s="909"/>
      <c r="I466" s="909"/>
      <c r="J466" s="909"/>
      <c r="K466" s="910" t="s">
        <v>1275</v>
      </c>
      <c r="L466" s="911"/>
      <c r="M466" s="911"/>
      <c r="N466" s="911"/>
      <c r="O466" s="904">
        <f t="shared" si="156"/>
        <v>0</v>
      </c>
      <c r="P466" s="911"/>
      <c r="Q466" s="911"/>
      <c r="R466" s="911"/>
      <c r="S466" s="911"/>
      <c r="T466" s="911"/>
      <c r="U466" s="911"/>
      <c r="V466" s="911" t="e">
        <f t="shared" si="154"/>
        <v>#DIV/0!</v>
      </c>
      <c r="W466" s="911">
        <f t="shared" si="149"/>
        <v>0</v>
      </c>
      <c r="X466" s="906"/>
      <c r="Y466" s="906"/>
      <c r="Z466" s="843">
        <f t="shared" si="150"/>
        <v>0</v>
      </c>
    </row>
    <row r="467" spans="1:26" ht="24" thickTop="1" thickBot="1" x14ac:dyDescent="0.3">
      <c r="A467" s="908">
        <v>1</v>
      </c>
      <c r="B467" s="909" t="s">
        <v>817</v>
      </c>
      <c r="C467" s="909" t="s">
        <v>734</v>
      </c>
      <c r="D467" s="909" t="s">
        <v>975</v>
      </c>
      <c r="E467" s="909" t="s">
        <v>738</v>
      </c>
      <c r="F467" s="909" t="s">
        <v>738</v>
      </c>
      <c r="G467" s="909" t="s">
        <v>922</v>
      </c>
      <c r="H467" s="909"/>
      <c r="I467" s="909"/>
      <c r="J467" s="909"/>
      <c r="K467" s="910" t="s">
        <v>1276</v>
      </c>
      <c r="L467" s="911"/>
      <c r="M467" s="911"/>
      <c r="N467" s="911"/>
      <c r="O467" s="904">
        <f t="shared" si="156"/>
        <v>0</v>
      </c>
      <c r="P467" s="911"/>
      <c r="Q467" s="911"/>
      <c r="R467" s="911"/>
      <c r="S467" s="911"/>
      <c r="T467" s="911"/>
      <c r="U467" s="911"/>
      <c r="V467" s="911" t="e">
        <f t="shared" si="154"/>
        <v>#DIV/0!</v>
      </c>
      <c r="W467" s="911">
        <f t="shared" si="149"/>
        <v>0</v>
      </c>
      <c r="X467" s="906"/>
      <c r="Y467" s="906"/>
      <c r="Z467" s="843">
        <f t="shared" si="150"/>
        <v>0</v>
      </c>
    </row>
    <row r="468" spans="1:26" ht="24" thickTop="1" thickBot="1" x14ac:dyDescent="0.3">
      <c r="A468" s="908">
        <v>1</v>
      </c>
      <c r="B468" s="909" t="s">
        <v>817</v>
      </c>
      <c r="C468" s="909" t="s">
        <v>734</v>
      </c>
      <c r="D468" s="909" t="s">
        <v>975</v>
      </c>
      <c r="E468" s="909" t="s">
        <v>738</v>
      </c>
      <c r="F468" s="909" t="s">
        <v>738</v>
      </c>
      <c r="G468" s="909" t="s">
        <v>1145</v>
      </c>
      <c r="H468" s="909"/>
      <c r="I468" s="909"/>
      <c r="J468" s="909"/>
      <c r="K468" s="910" t="s">
        <v>1277</v>
      </c>
      <c r="L468" s="911"/>
      <c r="M468" s="911"/>
      <c r="N468" s="911"/>
      <c r="O468" s="904">
        <f t="shared" si="156"/>
        <v>0</v>
      </c>
      <c r="P468" s="911"/>
      <c r="Q468" s="911"/>
      <c r="R468" s="911"/>
      <c r="S468" s="911"/>
      <c r="T468" s="911"/>
      <c r="U468" s="911"/>
      <c r="V468" s="911" t="e">
        <f t="shared" si="154"/>
        <v>#DIV/0!</v>
      </c>
      <c r="W468" s="911">
        <f t="shared" si="149"/>
        <v>0</v>
      </c>
      <c r="X468" s="906"/>
      <c r="Y468" s="906"/>
      <c r="Z468" s="843">
        <f t="shared" si="150"/>
        <v>0</v>
      </c>
    </row>
    <row r="469" spans="1:26" ht="24" thickTop="1" thickBot="1" x14ac:dyDescent="0.3">
      <c r="A469" s="908">
        <v>1</v>
      </c>
      <c r="B469" s="909" t="s">
        <v>817</v>
      </c>
      <c r="C469" s="909" t="s">
        <v>734</v>
      </c>
      <c r="D469" s="909" t="s">
        <v>975</v>
      </c>
      <c r="E469" s="909" t="s">
        <v>738</v>
      </c>
      <c r="F469" s="909" t="s">
        <v>738</v>
      </c>
      <c r="G469" s="909" t="s">
        <v>1147</v>
      </c>
      <c r="H469" s="909"/>
      <c r="I469" s="909"/>
      <c r="J469" s="909"/>
      <c r="K469" s="910" t="s">
        <v>1278</v>
      </c>
      <c r="L469" s="911"/>
      <c r="M469" s="911"/>
      <c r="N469" s="911"/>
      <c r="O469" s="904">
        <f t="shared" si="156"/>
        <v>0</v>
      </c>
      <c r="P469" s="911"/>
      <c r="Q469" s="911"/>
      <c r="R469" s="911"/>
      <c r="S469" s="911"/>
      <c r="T469" s="911"/>
      <c r="U469" s="911"/>
      <c r="V469" s="911" t="e">
        <f t="shared" si="154"/>
        <v>#DIV/0!</v>
      </c>
      <c r="W469" s="911">
        <f t="shared" si="149"/>
        <v>0</v>
      </c>
      <c r="X469" s="906"/>
      <c r="Y469" s="906"/>
      <c r="Z469" s="843">
        <f t="shared" si="150"/>
        <v>0</v>
      </c>
    </row>
    <row r="470" spans="1:26" ht="24" thickTop="1" thickBot="1" x14ac:dyDescent="0.3">
      <c r="A470" s="908">
        <v>1</v>
      </c>
      <c r="B470" s="909" t="s">
        <v>817</v>
      </c>
      <c r="C470" s="909" t="s">
        <v>734</v>
      </c>
      <c r="D470" s="909" t="s">
        <v>975</v>
      </c>
      <c r="E470" s="909" t="s">
        <v>738</v>
      </c>
      <c r="F470" s="909" t="s">
        <v>738</v>
      </c>
      <c r="G470" s="909" t="s">
        <v>1149</v>
      </c>
      <c r="H470" s="909"/>
      <c r="I470" s="909"/>
      <c r="J470" s="909"/>
      <c r="K470" s="910" t="s">
        <v>1279</v>
      </c>
      <c r="L470" s="911"/>
      <c r="M470" s="911"/>
      <c r="N470" s="911"/>
      <c r="O470" s="904">
        <f t="shared" si="156"/>
        <v>0</v>
      </c>
      <c r="P470" s="911"/>
      <c r="Q470" s="911"/>
      <c r="R470" s="911"/>
      <c r="S470" s="911"/>
      <c r="T470" s="911"/>
      <c r="U470" s="911"/>
      <c r="V470" s="911" t="e">
        <f t="shared" si="154"/>
        <v>#DIV/0!</v>
      </c>
      <c r="W470" s="911">
        <f t="shared" si="149"/>
        <v>0</v>
      </c>
      <c r="X470" s="906"/>
      <c r="Y470" s="906"/>
      <c r="Z470" s="843">
        <f t="shared" si="150"/>
        <v>0</v>
      </c>
    </row>
    <row r="471" spans="1:26" ht="24" thickTop="1" thickBot="1" x14ac:dyDescent="0.3">
      <c r="A471" s="908">
        <v>1</v>
      </c>
      <c r="B471" s="909" t="s">
        <v>817</v>
      </c>
      <c r="C471" s="909" t="s">
        <v>734</v>
      </c>
      <c r="D471" s="909" t="s">
        <v>975</v>
      </c>
      <c r="E471" s="909" t="s">
        <v>738</v>
      </c>
      <c r="F471" s="909" t="s">
        <v>738</v>
      </c>
      <c r="G471" s="909" t="s">
        <v>1151</v>
      </c>
      <c r="H471" s="909"/>
      <c r="I471" s="909"/>
      <c r="J471" s="909"/>
      <c r="K471" s="910" t="s">
        <v>1280</v>
      </c>
      <c r="L471" s="911"/>
      <c r="M471" s="911"/>
      <c r="N471" s="911"/>
      <c r="O471" s="904">
        <f t="shared" si="156"/>
        <v>0</v>
      </c>
      <c r="P471" s="911"/>
      <c r="Q471" s="911"/>
      <c r="R471" s="911"/>
      <c r="S471" s="911"/>
      <c r="T471" s="911"/>
      <c r="U471" s="911"/>
      <c r="V471" s="911" t="e">
        <f t="shared" si="154"/>
        <v>#DIV/0!</v>
      </c>
      <c r="W471" s="911">
        <f t="shared" ref="W471:W524" si="157">SUBTOTAL(9,P471:S471)</f>
        <v>0</v>
      </c>
      <c r="X471" s="906"/>
      <c r="Y471" s="906"/>
      <c r="Z471" s="843">
        <f t="shared" ref="Z471:Z524" si="158">W471-O471</f>
        <v>0</v>
      </c>
    </row>
    <row r="472" spans="1:26" ht="24" thickTop="1" thickBot="1" x14ac:dyDescent="0.3">
      <c r="A472" s="908">
        <v>1</v>
      </c>
      <c r="B472" s="909" t="s">
        <v>817</v>
      </c>
      <c r="C472" s="909" t="s">
        <v>734</v>
      </c>
      <c r="D472" s="909" t="s">
        <v>975</v>
      </c>
      <c r="E472" s="909" t="s">
        <v>738</v>
      </c>
      <c r="F472" s="909" t="s">
        <v>738</v>
      </c>
      <c r="G472" s="909" t="s">
        <v>1153</v>
      </c>
      <c r="H472" s="909"/>
      <c r="I472" s="909"/>
      <c r="J472" s="909"/>
      <c r="K472" s="910" t="s">
        <v>1281</v>
      </c>
      <c r="L472" s="911"/>
      <c r="M472" s="911"/>
      <c r="N472" s="911"/>
      <c r="O472" s="904">
        <f t="shared" si="156"/>
        <v>0</v>
      </c>
      <c r="P472" s="911"/>
      <c r="Q472" s="911"/>
      <c r="R472" s="911"/>
      <c r="S472" s="911"/>
      <c r="T472" s="911"/>
      <c r="U472" s="911"/>
      <c r="V472" s="911" t="e">
        <f t="shared" si="154"/>
        <v>#DIV/0!</v>
      </c>
      <c r="W472" s="911">
        <f t="shared" si="157"/>
        <v>0</v>
      </c>
      <c r="X472" s="906"/>
      <c r="Y472" s="906"/>
      <c r="Z472" s="843">
        <f t="shared" si="158"/>
        <v>0</v>
      </c>
    </row>
    <row r="473" spans="1:26" ht="24" thickTop="1" thickBot="1" x14ac:dyDescent="0.3">
      <c r="A473" s="908">
        <v>1</v>
      </c>
      <c r="B473" s="909" t="s">
        <v>817</v>
      </c>
      <c r="C473" s="909" t="s">
        <v>734</v>
      </c>
      <c r="D473" s="909" t="s">
        <v>975</v>
      </c>
      <c r="E473" s="909" t="s">
        <v>738</v>
      </c>
      <c r="F473" s="909" t="s">
        <v>738</v>
      </c>
      <c r="G473" s="909" t="s">
        <v>1155</v>
      </c>
      <c r="H473" s="909"/>
      <c r="I473" s="909"/>
      <c r="J473" s="909"/>
      <c r="K473" s="910" t="s">
        <v>1282</v>
      </c>
      <c r="L473" s="911"/>
      <c r="M473" s="911"/>
      <c r="N473" s="911"/>
      <c r="O473" s="904">
        <f t="shared" si="156"/>
        <v>0</v>
      </c>
      <c r="P473" s="911"/>
      <c r="Q473" s="911"/>
      <c r="R473" s="911"/>
      <c r="S473" s="911"/>
      <c r="T473" s="911"/>
      <c r="U473" s="911"/>
      <c r="V473" s="911" t="e">
        <f t="shared" si="154"/>
        <v>#DIV/0!</v>
      </c>
      <c r="W473" s="911">
        <f t="shared" si="157"/>
        <v>0</v>
      </c>
      <c r="X473" s="906"/>
      <c r="Y473" s="906"/>
      <c r="Z473" s="843">
        <f t="shared" si="158"/>
        <v>0</v>
      </c>
    </row>
    <row r="474" spans="1:26" ht="24" thickTop="1" thickBot="1" x14ac:dyDescent="0.3">
      <c r="A474" s="908">
        <v>1</v>
      </c>
      <c r="B474" s="909" t="s">
        <v>817</v>
      </c>
      <c r="C474" s="909" t="s">
        <v>734</v>
      </c>
      <c r="D474" s="909" t="s">
        <v>975</v>
      </c>
      <c r="E474" s="909" t="s">
        <v>738</v>
      </c>
      <c r="F474" s="909" t="s">
        <v>738</v>
      </c>
      <c r="G474" s="909" t="s">
        <v>1157</v>
      </c>
      <c r="H474" s="909"/>
      <c r="I474" s="909"/>
      <c r="J474" s="909"/>
      <c r="K474" s="910" t="s">
        <v>1283</v>
      </c>
      <c r="L474" s="911"/>
      <c r="M474" s="911"/>
      <c r="N474" s="911"/>
      <c r="O474" s="904">
        <f t="shared" si="156"/>
        <v>0</v>
      </c>
      <c r="P474" s="911"/>
      <c r="Q474" s="911"/>
      <c r="R474" s="911"/>
      <c r="S474" s="911"/>
      <c r="T474" s="911"/>
      <c r="U474" s="911"/>
      <c r="V474" s="911" t="e">
        <f t="shared" si="154"/>
        <v>#DIV/0!</v>
      </c>
      <c r="W474" s="911">
        <f t="shared" si="157"/>
        <v>0</v>
      </c>
      <c r="X474" s="906"/>
      <c r="Y474" s="906"/>
      <c r="Z474" s="843">
        <f t="shared" si="158"/>
        <v>0</v>
      </c>
    </row>
    <row r="475" spans="1:26" ht="24" thickTop="1" thickBot="1" x14ac:dyDescent="0.3">
      <c r="A475" s="908">
        <v>1</v>
      </c>
      <c r="B475" s="909" t="s">
        <v>817</v>
      </c>
      <c r="C475" s="909" t="s">
        <v>734</v>
      </c>
      <c r="D475" s="909" t="s">
        <v>975</v>
      </c>
      <c r="E475" s="909" t="s">
        <v>738</v>
      </c>
      <c r="F475" s="909" t="s">
        <v>738</v>
      </c>
      <c r="G475" s="909" t="s">
        <v>1159</v>
      </c>
      <c r="H475" s="909"/>
      <c r="I475" s="909"/>
      <c r="J475" s="909"/>
      <c r="K475" s="910" t="s">
        <v>1284</v>
      </c>
      <c r="L475" s="911"/>
      <c r="M475" s="911"/>
      <c r="N475" s="911"/>
      <c r="O475" s="904">
        <f t="shared" si="156"/>
        <v>0</v>
      </c>
      <c r="P475" s="911"/>
      <c r="Q475" s="911"/>
      <c r="R475" s="911"/>
      <c r="S475" s="911"/>
      <c r="T475" s="911"/>
      <c r="U475" s="911"/>
      <c r="V475" s="911" t="e">
        <f t="shared" si="154"/>
        <v>#DIV/0!</v>
      </c>
      <c r="W475" s="911">
        <f t="shared" si="157"/>
        <v>0</v>
      </c>
      <c r="X475" s="906"/>
      <c r="Y475" s="906"/>
      <c r="Z475" s="843">
        <f t="shared" si="158"/>
        <v>0</v>
      </c>
    </row>
    <row r="476" spans="1:26" ht="24" thickTop="1" thickBot="1" x14ac:dyDescent="0.3">
      <c r="A476" s="908">
        <v>1</v>
      </c>
      <c r="B476" s="909" t="s">
        <v>817</v>
      </c>
      <c r="C476" s="909" t="s">
        <v>734</v>
      </c>
      <c r="D476" s="909" t="s">
        <v>975</v>
      </c>
      <c r="E476" s="909" t="s">
        <v>738</v>
      </c>
      <c r="F476" s="909" t="s">
        <v>738</v>
      </c>
      <c r="G476" s="909" t="s">
        <v>1250</v>
      </c>
      <c r="H476" s="909"/>
      <c r="I476" s="909"/>
      <c r="J476" s="909"/>
      <c r="K476" s="910" t="s">
        <v>1285</v>
      </c>
      <c r="L476" s="911"/>
      <c r="M476" s="911"/>
      <c r="N476" s="911"/>
      <c r="O476" s="904">
        <f t="shared" si="156"/>
        <v>0</v>
      </c>
      <c r="P476" s="911"/>
      <c r="Q476" s="911"/>
      <c r="R476" s="911"/>
      <c r="S476" s="911"/>
      <c r="T476" s="911"/>
      <c r="U476" s="911"/>
      <c r="V476" s="911" t="e">
        <f t="shared" si="154"/>
        <v>#DIV/0!</v>
      </c>
      <c r="W476" s="911">
        <f t="shared" si="157"/>
        <v>0</v>
      </c>
      <c r="X476" s="906"/>
      <c r="Y476" s="906"/>
      <c r="Z476" s="843">
        <f t="shared" si="158"/>
        <v>0</v>
      </c>
    </row>
    <row r="477" spans="1:26" ht="16.5" thickTop="1" thickBot="1" x14ac:dyDescent="0.3">
      <c r="A477" s="885">
        <v>1</v>
      </c>
      <c r="B477" s="886" t="s">
        <v>817</v>
      </c>
      <c r="C477" s="886" t="s">
        <v>734</v>
      </c>
      <c r="D477" s="886" t="s">
        <v>975</v>
      </c>
      <c r="E477" s="886" t="s">
        <v>738</v>
      </c>
      <c r="F477" s="886" t="s">
        <v>742</v>
      </c>
      <c r="G477" s="886"/>
      <c r="H477" s="886"/>
      <c r="I477" s="886"/>
      <c r="J477" s="886"/>
      <c r="K477" s="927" t="s">
        <v>1286</v>
      </c>
      <c r="L477" s="928">
        <f>SUM(L478:L508)</f>
        <v>0</v>
      </c>
      <c r="M477" s="928">
        <f t="shared" ref="M477:U477" si="159">SUM(M478:M508)</f>
        <v>0</v>
      </c>
      <c r="N477" s="928">
        <f t="shared" si="159"/>
        <v>0</v>
      </c>
      <c r="O477" s="928">
        <f t="shared" si="159"/>
        <v>0</v>
      </c>
      <c r="P477" s="928">
        <f t="shared" si="159"/>
        <v>0</v>
      </c>
      <c r="Q477" s="928">
        <f t="shared" si="159"/>
        <v>0</v>
      </c>
      <c r="R477" s="928">
        <f t="shared" si="159"/>
        <v>0</v>
      </c>
      <c r="S477" s="928">
        <f t="shared" si="159"/>
        <v>0</v>
      </c>
      <c r="T477" s="928">
        <f t="shared" si="159"/>
        <v>0</v>
      </c>
      <c r="U477" s="911">
        <f t="shared" si="159"/>
        <v>0</v>
      </c>
      <c r="V477" s="928" t="e">
        <f t="shared" si="154"/>
        <v>#DIV/0!</v>
      </c>
      <c r="W477" s="928">
        <f t="shared" si="157"/>
        <v>0</v>
      </c>
      <c r="X477" s="891"/>
      <c r="Y477" s="891"/>
      <c r="Z477" s="929">
        <f t="shared" si="158"/>
        <v>0</v>
      </c>
    </row>
    <row r="478" spans="1:26" ht="24" thickTop="1" thickBot="1" x14ac:dyDescent="0.3">
      <c r="A478" s="908">
        <v>1</v>
      </c>
      <c r="B478" s="909" t="s">
        <v>817</v>
      </c>
      <c r="C478" s="909" t="s">
        <v>734</v>
      </c>
      <c r="D478" s="909" t="s">
        <v>975</v>
      </c>
      <c r="E478" s="909" t="s">
        <v>738</v>
      </c>
      <c r="F478" s="909" t="s">
        <v>742</v>
      </c>
      <c r="G478" s="909" t="s">
        <v>735</v>
      </c>
      <c r="H478" s="909"/>
      <c r="I478" s="909"/>
      <c r="J478" s="909"/>
      <c r="K478" s="910" t="s">
        <v>1287</v>
      </c>
      <c r="L478" s="911"/>
      <c r="M478" s="911"/>
      <c r="N478" s="911"/>
      <c r="O478" s="904">
        <f t="shared" ref="O478:O508" si="160">+L478+M478-N478</f>
        <v>0</v>
      </c>
      <c r="P478" s="911"/>
      <c r="Q478" s="911"/>
      <c r="R478" s="911"/>
      <c r="S478" s="911"/>
      <c r="T478" s="911"/>
      <c r="U478" s="911"/>
      <c r="V478" s="911" t="e">
        <f t="shared" si="154"/>
        <v>#DIV/0!</v>
      </c>
      <c r="W478" s="911">
        <f t="shared" si="157"/>
        <v>0</v>
      </c>
      <c r="X478" s="906"/>
      <c r="Y478" s="906"/>
      <c r="Z478" s="843">
        <f t="shared" si="158"/>
        <v>0</v>
      </c>
    </row>
    <row r="479" spans="1:26" ht="24" thickTop="1" thickBot="1" x14ac:dyDescent="0.3">
      <c r="A479" s="908">
        <v>1</v>
      </c>
      <c r="B479" s="909" t="s">
        <v>817</v>
      </c>
      <c r="C479" s="909" t="s">
        <v>734</v>
      </c>
      <c r="D479" s="909" t="s">
        <v>975</v>
      </c>
      <c r="E479" s="909" t="s">
        <v>738</v>
      </c>
      <c r="F479" s="909" t="s">
        <v>742</v>
      </c>
      <c r="G479" s="909" t="s">
        <v>738</v>
      </c>
      <c r="H479" s="909"/>
      <c r="I479" s="909"/>
      <c r="J479" s="909"/>
      <c r="K479" s="910" t="s">
        <v>1288</v>
      </c>
      <c r="L479" s="911"/>
      <c r="M479" s="911"/>
      <c r="N479" s="911"/>
      <c r="O479" s="904">
        <f t="shared" si="160"/>
        <v>0</v>
      </c>
      <c r="P479" s="911"/>
      <c r="Q479" s="911"/>
      <c r="R479" s="911"/>
      <c r="S479" s="911"/>
      <c r="T479" s="911"/>
      <c r="U479" s="911"/>
      <c r="V479" s="911" t="e">
        <f t="shared" si="154"/>
        <v>#DIV/0!</v>
      </c>
      <c r="W479" s="911">
        <f t="shared" si="157"/>
        <v>0</v>
      </c>
      <c r="X479" s="906"/>
      <c r="Y479" s="906"/>
      <c r="Z479" s="843">
        <f t="shared" si="158"/>
        <v>0</v>
      </c>
    </row>
    <row r="480" spans="1:26" ht="24" thickTop="1" thickBot="1" x14ac:dyDescent="0.3">
      <c r="A480" s="908">
        <v>1</v>
      </c>
      <c r="B480" s="909" t="s">
        <v>817</v>
      </c>
      <c r="C480" s="909" t="s">
        <v>734</v>
      </c>
      <c r="D480" s="909" t="s">
        <v>975</v>
      </c>
      <c r="E480" s="909" t="s">
        <v>738</v>
      </c>
      <c r="F480" s="909" t="s">
        <v>742</v>
      </c>
      <c r="G480" s="909" t="s">
        <v>742</v>
      </c>
      <c r="H480" s="909"/>
      <c r="I480" s="909"/>
      <c r="J480" s="909"/>
      <c r="K480" s="910" t="s">
        <v>1289</v>
      </c>
      <c r="L480" s="911"/>
      <c r="M480" s="911"/>
      <c r="N480" s="911"/>
      <c r="O480" s="904">
        <f t="shared" si="160"/>
        <v>0</v>
      </c>
      <c r="P480" s="911"/>
      <c r="Q480" s="911"/>
      <c r="R480" s="911"/>
      <c r="S480" s="911"/>
      <c r="T480" s="911"/>
      <c r="U480" s="911"/>
      <c r="V480" s="911" t="e">
        <f t="shared" si="154"/>
        <v>#DIV/0!</v>
      </c>
      <c r="W480" s="911">
        <f t="shared" si="157"/>
        <v>0</v>
      </c>
      <c r="X480" s="906"/>
      <c r="Y480" s="906"/>
      <c r="Z480" s="843">
        <f t="shared" si="158"/>
        <v>0</v>
      </c>
    </row>
    <row r="481" spans="1:26" ht="35.25" thickTop="1" thickBot="1" x14ac:dyDescent="0.3">
      <c r="A481" s="908">
        <v>1</v>
      </c>
      <c r="B481" s="909" t="s">
        <v>817</v>
      </c>
      <c r="C481" s="909" t="s">
        <v>734</v>
      </c>
      <c r="D481" s="909" t="s">
        <v>975</v>
      </c>
      <c r="E481" s="909" t="s">
        <v>738</v>
      </c>
      <c r="F481" s="909" t="s">
        <v>742</v>
      </c>
      <c r="G481" s="909" t="s">
        <v>758</v>
      </c>
      <c r="H481" s="909"/>
      <c r="I481" s="909"/>
      <c r="J481" s="909"/>
      <c r="K481" s="910" t="s">
        <v>1290</v>
      </c>
      <c r="L481" s="911"/>
      <c r="M481" s="911"/>
      <c r="N481" s="911"/>
      <c r="O481" s="904">
        <f t="shared" si="160"/>
        <v>0</v>
      </c>
      <c r="P481" s="911"/>
      <c r="Q481" s="911"/>
      <c r="R481" s="911"/>
      <c r="S481" s="911"/>
      <c r="T481" s="911"/>
      <c r="U481" s="911"/>
      <c r="V481" s="911" t="e">
        <f t="shared" si="154"/>
        <v>#DIV/0!</v>
      </c>
      <c r="W481" s="911">
        <f t="shared" si="157"/>
        <v>0</v>
      </c>
      <c r="X481" s="906"/>
      <c r="Y481" s="906"/>
      <c r="Z481" s="843">
        <f t="shared" si="158"/>
        <v>0</v>
      </c>
    </row>
    <row r="482" spans="1:26" ht="35.25" thickTop="1" thickBot="1" x14ac:dyDescent="0.3">
      <c r="A482" s="908">
        <v>1</v>
      </c>
      <c r="B482" s="909" t="s">
        <v>817</v>
      </c>
      <c r="C482" s="909" t="s">
        <v>734</v>
      </c>
      <c r="D482" s="909" t="s">
        <v>975</v>
      </c>
      <c r="E482" s="909" t="s">
        <v>738</v>
      </c>
      <c r="F482" s="909" t="s">
        <v>742</v>
      </c>
      <c r="G482" s="909" t="s">
        <v>841</v>
      </c>
      <c r="H482" s="909"/>
      <c r="I482" s="909"/>
      <c r="J482" s="909"/>
      <c r="K482" s="910" t="s">
        <v>1291</v>
      </c>
      <c r="L482" s="911"/>
      <c r="M482" s="911"/>
      <c r="N482" s="911"/>
      <c r="O482" s="904">
        <f t="shared" si="160"/>
        <v>0</v>
      </c>
      <c r="P482" s="911"/>
      <c r="Q482" s="911"/>
      <c r="R482" s="911"/>
      <c r="S482" s="911"/>
      <c r="T482" s="911"/>
      <c r="U482" s="911"/>
      <c r="V482" s="911" t="e">
        <f t="shared" si="154"/>
        <v>#DIV/0!</v>
      </c>
      <c r="W482" s="911">
        <f t="shared" si="157"/>
        <v>0</v>
      </c>
      <c r="X482" s="906"/>
      <c r="Y482" s="906"/>
      <c r="Z482" s="843">
        <f t="shared" si="158"/>
        <v>0</v>
      </c>
    </row>
    <row r="483" spans="1:26" ht="24" thickTop="1" thickBot="1" x14ac:dyDescent="0.3">
      <c r="A483" s="908">
        <v>1</v>
      </c>
      <c r="B483" s="909" t="s">
        <v>817</v>
      </c>
      <c r="C483" s="909" t="s">
        <v>734</v>
      </c>
      <c r="D483" s="909" t="s">
        <v>975</v>
      </c>
      <c r="E483" s="909" t="s">
        <v>738</v>
      </c>
      <c r="F483" s="909" t="s">
        <v>742</v>
      </c>
      <c r="G483" s="909" t="s">
        <v>955</v>
      </c>
      <c r="H483" s="909"/>
      <c r="I483" s="909"/>
      <c r="J483" s="909"/>
      <c r="K483" s="910" t="s">
        <v>1292</v>
      </c>
      <c r="L483" s="911"/>
      <c r="M483" s="911"/>
      <c r="N483" s="911"/>
      <c r="O483" s="904">
        <f t="shared" si="160"/>
        <v>0</v>
      </c>
      <c r="P483" s="911"/>
      <c r="Q483" s="911"/>
      <c r="R483" s="911"/>
      <c r="S483" s="911"/>
      <c r="T483" s="911"/>
      <c r="U483" s="911"/>
      <c r="V483" s="911" t="e">
        <f t="shared" si="154"/>
        <v>#DIV/0!</v>
      </c>
      <c r="W483" s="911">
        <f t="shared" si="157"/>
        <v>0</v>
      </c>
      <c r="X483" s="906"/>
      <c r="Y483" s="906"/>
      <c r="Z483" s="843">
        <f t="shared" si="158"/>
        <v>0</v>
      </c>
    </row>
    <row r="484" spans="1:26" ht="24" thickTop="1" thickBot="1" x14ac:dyDescent="0.3">
      <c r="A484" s="908">
        <v>1</v>
      </c>
      <c r="B484" s="909" t="s">
        <v>817</v>
      </c>
      <c r="C484" s="909" t="s">
        <v>734</v>
      </c>
      <c r="D484" s="909" t="s">
        <v>975</v>
      </c>
      <c r="E484" s="909" t="s">
        <v>738</v>
      </c>
      <c r="F484" s="909" t="s">
        <v>742</v>
      </c>
      <c r="G484" s="909" t="s">
        <v>960</v>
      </c>
      <c r="H484" s="909"/>
      <c r="I484" s="909"/>
      <c r="J484" s="909"/>
      <c r="K484" s="910" t="s">
        <v>1293</v>
      </c>
      <c r="L484" s="911"/>
      <c r="M484" s="911"/>
      <c r="N484" s="911"/>
      <c r="O484" s="904">
        <f t="shared" si="160"/>
        <v>0</v>
      </c>
      <c r="P484" s="911"/>
      <c r="Q484" s="911"/>
      <c r="R484" s="911"/>
      <c r="S484" s="911"/>
      <c r="T484" s="911"/>
      <c r="U484" s="911"/>
      <c r="V484" s="911" t="e">
        <f t="shared" si="154"/>
        <v>#DIV/0!</v>
      </c>
      <c r="W484" s="911">
        <f t="shared" si="157"/>
        <v>0</v>
      </c>
      <c r="X484" s="906"/>
      <c r="Y484" s="906"/>
      <c r="Z484" s="843">
        <f t="shared" si="158"/>
        <v>0</v>
      </c>
    </row>
    <row r="485" spans="1:26" ht="24" thickTop="1" thickBot="1" x14ac:dyDescent="0.3">
      <c r="A485" s="908">
        <v>1</v>
      </c>
      <c r="B485" s="909" t="s">
        <v>817</v>
      </c>
      <c r="C485" s="909" t="s">
        <v>734</v>
      </c>
      <c r="D485" s="909" t="s">
        <v>975</v>
      </c>
      <c r="E485" s="909" t="s">
        <v>738</v>
      </c>
      <c r="F485" s="909" t="s">
        <v>742</v>
      </c>
      <c r="G485" s="909" t="s">
        <v>965</v>
      </c>
      <c r="H485" s="909"/>
      <c r="I485" s="909"/>
      <c r="J485" s="909"/>
      <c r="K485" s="910" t="s">
        <v>1294</v>
      </c>
      <c r="L485" s="911"/>
      <c r="M485" s="911"/>
      <c r="N485" s="911"/>
      <c r="O485" s="904">
        <f t="shared" si="160"/>
        <v>0</v>
      </c>
      <c r="P485" s="911"/>
      <c r="Q485" s="911"/>
      <c r="R485" s="911"/>
      <c r="S485" s="911"/>
      <c r="T485" s="911"/>
      <c r="U485" s="911"/>
      <c r="V485" s="911" t="e">
        <f t="shared" si="154"/>
        <v>#DIV/0!</v>
      </c>
      <c r="W485" s="911">
        <f t="shared" si="157"/>
        <v>0</v>
      </c>
      <c r="X485" s="906"/>
      <c r="Y485" s="906"/>
      <c r="Z485" s="843">
        <f t="shared" si="158"/>
        <v>0</v>
      </c>
    </row>
    <row r="486" spans="1:26" ht="24" thickTop="1" thickBot="1" x14ac:dyDescent="0.3">
      <c r="A486" s="908">
        <v>1</v>
      </c>
      <c r="B486" s="909" t="s">
        <v>817</v>
      </c>
      <c r="C486" s="909" t="s">
        <v>734</v>
      </c>
      <c r="D486" s="909" t="s">
        <v>975</v>
      </c>
      <c r="E486" s="909" t="s">
        <v>738</v>
      </c>
      <c r="F486" s="909" t="s">
        <v>742</v>
      </c>
      <c r="G486" s="909" t="s">
        <v>970</v>
      </c>
      <c r="H486" s="909"/>
      <c r="I486" s="909"/>
      <c r="J486" s="909"/>
      <c r="K486" s="910" t="s">
        <v>1295</v>
      </c>
      <c r="L486" s="911"/>
      <c r="M486" s="911"/>
      <c r="N486" s="911"/>
      <c r="O486" s="904">
        <f t="shared" si="160"/>
        <v>0</v>
      </c>
      <c r="P486" s="911"/>
      <c r="Q486" s="911"/>
      <c r="R486" s="911"/>
      <c r="S486" s="911"/>
      <c r="T486" s="911"/>
      <c r="U486" s="911"/>
      <c r="V486" s="911" t="e">
        <f t="shared" si="154"/>
        <v>#DIV/0!</v>
      </c>
      <c r="W486" s="911">
        <f t="shared" si="157"/>
        <v>0</v>
      </c>
      <c r="X486" s="906"/>
      <c r="Y486" s="906"/>
      <c r="Z486" s="843">
        <f t="shared" si="158"/>
        <v>0</v>
      </c>
    </row>
    <row r="487" spans="1:26" ht="24" thickTop="1" thickBot="1" x14ac:dyDescent="0.3">
      <c r="A487" s="908">
        <v>1</v>
      </c>
      <c r="B487" s="909" t="s">
        <v>817</v>
      </c>
      <c r="C487" s="909" t="s">
        <v>734</v>
      </c>
      <c r="D487" s="909" t="s">
        <v>975</v>
      </c>
      <c r="E487" s="909" t="s">
        <v>738</v>
      </c>
      <c r="F487" s="909" t="s">
        <v>742</v>
      </c>
      <c r="G487" s="909" t="s">
        <v>975</v>
      </c>
      <c r="H487" s="909"/>
      <c r="I487" s="909"/>
      <c r="J487" s="909"/>
      <c r="K487" s="910" t="s">
        <v>1296</v>
      </c>
      <c r="L487" s="911"/>
      <c r="M487" s="911"/>
      <c r="N487" s="911"/>
      <c r="O487" s="904">
        <f t="shared" si="160"/>
        <v>0</v>
      </c>
      <c r="P487" s="911"/>
      <c r="Q487" s="911"/>
      <c r="R487" s="911"/>
      <c r="S487" s="911"/>
      <c r="T487" s="911"/>
      <c r="U487" s="911"/>
      <c r="V487" s="911" t="e">
        <f t="shared" si="154"/>
        <v>#DIV/0!</v>
      </c>
      <c r="W487" s="911">
        <f t="shared" si="157"/>
        <v>0</v>
      </c>
      <c r="X487" s="906"/>
      <c r="Y487" s="906"/>
      <c r="Z487" s="843">
        <f t="shared" si="158"/>
        <v>0</v>
      </c>
    </row>
    <row r="488" spans="1:26" ht="24" thickTop="1" thickBot="1" x14ac:dyDescent="0.3">
      <c r="A488" s="908">
        <v>1</v>
      </c>
      <c r="B488" s="909" t="s">
        <v>817</v>
      </c>
      <c r="C488" s="909" t="s">
        <v>734</v>
      </c>
      <c r="D488" s="909" t="s">
        <v>975</v>
      </c>
      <c r="E488" s="909" t="s">
        <v>738</v>
      </c>
      <c r="F488" s="909" t="s">
        <v>742</v>
      </c>
      <c r="G488" s="909" t="s">
        <v>1124</v>
      </c>
      <c r="H488" s="909"/>
      <c r="I488" s="909"/>
      <c r="J488" s="909"/>
      <c r="K488" s="910" t="s">
        <v>1297</v>
      </c>
      <c r="L488" s="911"/>
      <c r="M488" s="911"/>
      <c r="N488" s="911"/>
      <c r="O488" s="904">
        <f t="shared" si="160"/>
        <v>0</v>
      </c>
      <c r="P488" s="911"/>
      <c r="Q488" s="911"/>
      <c r="R488" s="911"/>
      <c r="S488" s="911"/>
      <c r="T488" s="911"/>
      <c r="U488" s="911"/>
      <c r="V488" s="911" t="e">
        <f t="shared" si="154"/>
        <v>#DIV/0!</v>
      </c>
      <c r="W488" s="911">
        <f t="shared" si="157"/>
        <v>0</v>
      </c>
      <c r="X488" s="906"/>
      <c r="Y488" s="906"/>
      <c r="Z488" s="843">
        <f t="shared" si="158"/>
        <v>0</v>
      </c>
    </row>
    <row r="489" spans="1:26" ht="24" thickTop="1" thickBot="1" x14ac:dyDescent="0.3">
      <c r="A489" s="908">
        <v>1</v>
      </c>
      <c r="B489" s="909" t="s">
        <v>817</v>
      </c>
      <c r="C489" s="909" t="s">
        <v>734</v>
      </c>
      <c r="D489" s="909" t="s">
        <v>975</v>
      </c>
      <c r="E489" s="909" t="s">
        <v>738</v>
      </c>
      <c r="F489" s="909" t="s">
        <v>742</v>
      </c>
      <c r="G489" s="909" t="s">
        <v>1126</v>
      </c>
      <c r="H489" s="909"/>
      <c r="I489" s="909"/>
      <c r="J489" s="909"/>
      <c r="K489" s="910" t="s">
        <v>1298</v>
      </c>
      <c r="L489" s="911"/>
      <c r="M489" s="911"/>
      <c r="N489" s="911"/>
      <c r="O489" s="904">
        <f t="shared" si="160"/>
        <v>0</v>
      </c>
      <c r="P489" s="911"/>
      <c r="Q489" s="911"/>
      <c r="R489" s="911"/>
      <c r="S489" s="911"/>
      <c r="T489" s="911"/>
      <c r="U489" s="911"/>
      <c r="V489" s="911" t="e">
        <f t="shared" si="154"/>
        <v>#DIV/0!</v>
      </c>
      <c r="W489" s="911">
        <f t="shared" si="157"/>
        <v>0</v>
      </c>
      <c r="X489" s="906"/>
      <c r="Y489" s="906"/>
      <c r="Z489" s="843">
        <f t="shared" si="158"/>
        <v>0</v>
      </c>
    </row>
    <row r="490" spans="1:26" ht="24" thickTop="1" thickBot="1" x14ac:dyDescent="0.3">
      <c r="A490" s="908">
        <v>1</v>
      </c>
      <c r="B490" s="909" t="s">
        <v>817</v>
      </c>
      <c r="C490" s="909" t="s">
        <v>734</v>
      </c>
      <c r="D490" s="909" t="s">
        <v>975</v>
      </c>
      <c r="E490" s="909" t="s">
        <v>738</v>
      </c>
      <c r="F490" s="909" t="s">
        <v>742</v>
      </c>
      <c r="G490" s="909" t="s">
        <v>917</v>
      </c>
      <c r="H490" s="909"/>
      <c r="I490" s="909"/>
      <c r="J490" s="909"/>
      <c r="K490" s="910" t="s">
        <v>1299</v>
      </c>
      <c r="L490" s="911"/>
      <c r="M490" s="911"/>
      <c r="N490" s="911"/>
      <c r="O490" s="904">
        <f t="shared" si="160"/>
        <v>0</v>
      </c>
      <c r="P490" s="911"/>
      <c r="Q490" s="911"/>
      <c r="R490" s="911"/>
      <c r="S490" s="911"/>
      <c r="T490" s="911"/>
      <c r="U490" s="911"/>
      <c r="V490" s="911" t="e">
        <f t="shared" ref="V490:V526" si="161">U490/T490</f>
        <v>#DIV/0!</v>
      </c>
      <c r="W490" s="911">
        <f t="shared" si="157"/>
        <v>0</v>
      </c>
      <c r="X490" s="906"/>
      <c r="Y490" s="906"/>
      <c r="Z490" s="843">
        <f t="shared" si="158"/>
        <v>0</v>
      </c>
    </row>
    <row r="491" spans="1:26" ht="35.25" thickTop="1" thickBot="1" x14ac:dyDescent="0.3">
      <c r="A491" s="908">
        <v>1</v>
      </c>
      <c r="B491" s="909" t="s">
        <v>817</v>
      </c>
      <c r="C491" s="909" t="s">
        <v>734</v>
      </c>
      <c r="D491" s="909" t="s">
        <v>975</v>
      </c>
      <c r="E491" s="909" t="s">
        <v>738</v>
      </c>
      <c r="F491" s="909" t="s">
        <v>742</v>
      </c>
      <c r="G491" s="909" t="s">
        <v>988</v>
      </c>
      <c r="H491" s="909"/>
      <c r="I491" s="909"/>
      <c r="J491" s="909"/>
      <c r="K491" s="910" t="s">
        <v>1300</v>
      </c>
      <c r="L491" s="911"/>
      <c r="M491" s="911"/>
      <c r="N491" s="911"/>
      <c r="O491" s="904">
        <f t="shared" si="160"/>
        <v>0</v>
      </c>
      <c r="P491" s="911"/>
      <c r="Q491" s="911"/>
      <c r="R491" s="911"/>
      <c r="S491" s="911"/>
      <c r="T491" s="911"/>
      <c r="U491" s="911"/>
      <c r="V491" s="911" t="e">
        <f t="shared" si="161"/>
        <v>#DIV/0!</v>
      </c>
      <c r="W491" s="911">
        <f t="shared" si="157"/>
        <v>0</v>
      </c>
      <c r="X491" s="906"/>
      <c r="Y491" s="906"/>
      <c r="Z491" s="843">
        <f t="shared" si="158"/>
        <v>0</v>
      </c>
    </row>
    <row r="492" spans="1:26" ht="24" thickTop="1" thickBot="1" x14ac:dyDescent="0.3">
      <c r="A492" s="908">
        <v>1</v>
      </c>
      <c r="B492" s="909" t="s">
        <v>817</v>
      </c>
      <c r="C492" s="909" t="s">
        <v>734</v>
      </c>
      <c r="D492" s="909" t="s">
        <v>975</v>
      </c>
      <c r="E492" s="909" t="s">
        <v>738</v>
      </c>
      <c r="F492" s="909" t="s">
        <v>742</v>
      </c>
      <c r="G492" s="909" t="s">
        <v>1130</v>
      </c>
      <c r="H492" s="909"/>
      <c r="I492" s="909"/>
      <c r="J492" s="909"/>
      <c r="K492" s="910" t="s">
        <v>1301</v>
      </c>
      <c r="L492" s="911"/>
      <c r="M492" s="911"/>
      <c r="N492" s="911"/>
      <c r="O492" s="904">
        <f t="shared" si="160"/>
        <v>0</v>
      </c>
      <c r="P492" s="911"/>
      <c r="Q492" s="911"/>
      <c r="R492" s="911"/>
      <c r="S492" s="911"/>
      <c r="T492" s="911"/>
      <c r="U492" s="911"/>
      <c r="V492" s="911" t="e">
        <f t="shared" si="161"/>
        <v>#DIV/0!</v>
      </c>
      <c r="W492" s="911">
        <f t="shared" si="157"/>
        <v>0</v>
      </c>
      <c r="X492" s="906"/>
      <c r="Y492" s="906"/>
      <c r="Z492" s="843">
        <f t="shared" si="158"/>
        <v>0</v>
      </c>
    </row>
    <row r="493" spans="1:26" ht="24" thickTop="1" thickBot="1" x14ac:dyDescent="0.3">
      <c r="A493" s="908">
        <v>1</v>
      </c>
      <c r="B493" s="909" t="s">
        <v>817</v>
      </c>
      <c r="C493" s="909" t="s">
        <v>734</v>
      </c>
      <c r="D493" s="909" t="s">
        <v>975</v>
      </c>
      <c r="E493" s="909" t="s">
        <v>738</v>
      </c>
      <c r="F493" s="909" t="s">
        <v>742</v>
      </c>
      <c r="G493" s="909" t="s">
        <v>1132</v>
      </c>
      <c r="H493" s="909"/>
      <c r="I493" s="909"/>
      <c r="J493" s="909"/>
      <c r="K493" s="910" t="s">
        <v>1302</v>
      </c>
      <c r="L493" s="911"/>
      <c r="M493" s="911"/>
      <c r="N493" s="911"/>
      <c r="O493" s="904">
        <f t="shared" si="160"/>
        <v>0</v>
      </c>
      <c r="P493" s="911"/>
      <c r="Q493" s="911"/>
      <c r="R493" s="911"/>
      <c r="S493" s="911"/>
      <c r="T493" s="911"/>
      <c r="U493" s="911"/>
      <c r="V493" s="911" t="e">
        <f t="shared" si="161"/>
        <v>#DIV/0!</v>
      </c>
      <c r="W493" s="911">
        <f t="shared" si="157"/>
        <v>0</v>
      </c>
      <c r="X493" s="906"/>
      <c r="Y493" s="906"/>
      <c r="Z493" s="843">
        <f t="shared" si="158"/>
        <v>0</v>
      </c>
    </row>
    <row r="494" spans="1:26" ht="24" thickTop="1" thickBot="1" x14ac:dyDescent="0.3">
      <c r="A494" s="908">
        <v>1</v>
      </c>
      <c r="B494" s="909" t="s">
        <v>817</v>
      </c>
      <c r="C494" s="909" t="s">
        <v>734</v>
      </c>
      <c r="D494" s="909" t="s">
        <v>975</v>
      </c>
      <c r="E494" s="909" t="s">
        <v>738</v>
      </c>
      <c r="F494" s="909" t="s">
        <v>742</v>
      </c>
      <c r="G494" s="909" t="s">
        <v>1134</v>
      </c>
      <c r="H494" s="909"/>
      <c r="I494" s="909"/>
      <c r="J494" s="909"/>
      <c r="K494" s="910" t="s">
        <v>1303</v>
      </c>
      <c r="L494" s="911"/>
      <c r="M494" s="911"/>
      <c r="N494" s="911"/>
      <c r="O494" s="904">
        <f t="shared" si="160"/>
        <v>0</v>
      </c>
      <c r="P494" s="911"/>
      <c r="Q494" s="911"/>
      <c r="R494" s="911"/>
      <c r="S494" s="911"/>
      <c r="T494" s="911"/>
      <c r="U494" s="911"/>
      <c r="V494" s="911" t="e">
        <f t="shared" si="161"/>
        <v>#DIV/0!</v>
      </c>
      <c r="W494" s="911">
        <f t="shared" si="157"/>
        <v>0</v>
      </c>
      <c r="X494" s="906"/>
      <c r="Y494" s="906"/>
      <c r="Z494" s="843">
        <f t="shared" si="158"/>
        <v>0</v>
      </c>
    </row>
    <row r="495" spans="1:26" ht="24" thickTop="1" thickBot="1" x14ac:dyDescent="0.3">
      <c r="A495" s="908">
        <v>1</v>
      </c>
      <c r="B495" s="909" t="s">
        <v>817</v>
      </c>
      <c r="C495" s="909" t="s">
        <v>734</v>
      </c>
      <c r="D495" s="909" t="s">
        <v>975</v>
      </c>
      <c r="E495" s="909" t="s">
        <v>738</v>
      </c>
      <c r="F495" s="909" t="s">
        <v>742</v>
      </c>
      <c r="G495" s="909" t="s">
        <v>1136</v>
      </c>
      <c r="H495" s="909"/>
      <c r="I495" s="909"/>
      <c r="J495" s="909"/>
      <c r="K495" s="910" t="s">
        <v>1304</v>
      </c>
      <c r="L495" s="911"/>
      <c r="M495" s="911"/>
      <c r="N495" s="911"/>
      <c r="O495" s="904">
        <f t="shared" si="160"/>
        <v>0</v>
      </c>
      <c r="P495" s="911"/>
      <c r="Q495" s="911"/>
      <c r="R495" s="911"/>
      <c r="S495" s="911"/>
      <c r="T495" s="911"/>
      <c r="U495" s="911"/>
      <c r="V495" s="911" t="e">
        <f t="shared" si="161"/>
        <v>#DIV/0!</v>
      </c>
      <c r="W495" s="911">
        <f t="shared" si="157"/>
        <v>0</v>
      </c>
      <c r="X495" s="906"/>
      <c r="Y495" s="906"/>
      <c r="Z495" s="843">
        <f t="shared" si="158"/>
        <v>0</v>
      </c>
    </row>
    <row r="496" spans="1:26" ht="35.25" thickTop="1" thickBot="1" x14ac:dyDescent="0.3">
      <c r="A496" s="908">
        <v>1</v>
      </c>
      <c r="B496" s="909" t="s">
        <v>817</v>
      </c>
      <c r="C496" s="909" t="s">
        <v>734</v>
      </c>
      <c r="D496" s="909" t="s">
        <v>975</v>
      </c>
      <c r="E496" s="909" t="s">
        <v>738</v>
      </c>
      <c r="F496" s="909" t="s">
        <v>742</v>
      </c>
      <c r="G496" s="909" t="s">
        <v>1138</v>
      </c>
      <c r="H496" s="909"/>
      <c r="I496" s="909"/>
      <c r="J496" s="909"/>
      <c r="K496" s="910" t="s">
        <v>1305</v>
      </c>
      <c r="L496" s="911"/>
      <c r="M496" s="911"/>
      <c r="N496" s="911"/>
      <c r="O496" s="904">
        <f t="shared" si="160"/>
        <v>0</v>
      </c>
      <c r="P496" s="911"/>
      <c r="Q496" s="911"/>
      <c r="R496" s="911"/>
      <c r="S496" s="911"/>
      <c r="T496" s="911"/>
      <c r="U496" s="911"/>
      <c r="V496" s="911" t="e">
        <f t="shared" si="161"/>
        <v>#DIV/0!</v>
      </c>
      <c r="W496" s="911">
        <f t="shared" si="157"/>
        <v>0</v>
      </c>
      <c r="X496" s="906"/>
      <c r="Y496" s="906"/>
      <c r="Z496" s="843">
        <f t="shared" si="158"/>
        <v>0</v>
      </c>
    </row>
    <row r="497" spans="1:26" ht="35.25" thickTop="1" thickBot="1" x14ac:dyDescent="0.3">
      <c r="A497" s="908">
        <v>1</v>
      </c>
      <c r="B497" s="909" t="s">
        <v>817</v>
      </c>
      <c r="C497" s="909" t="s">
        <v>734</v>
      </c>
      <c r="D497" s="909" t="s">
        <v>975</v>
      </c>
      <c r="E497" s="909" t="s">
        <v>738</v>
      </c>
      <c r="F497" s="909" t="s">
        <v>742</v>
      </c>
      <c r="G497" s="909" t="s">
        <v>1140</v>
      </c>
      <c r="H497" s="909"/>
      <c r="I497" s="909"/>
      <c r="J497" s="909"/>
      <c r="K497" s="910" t="s">
        <v>1306</v>
      </c>
      <c r="L497" s="911"/>
      <c r="M497" s="911"/>
      <c r="N497" s="911"/>
      <c r="O497" s="904">
        <f t="shared" si="160"/>
        <v>0</v>
      </c>
      <c r="P497" s="911"/>
      <c r="Q497" s="911"/>
      <c r="R497" s="911"/>
      <c r="S497" s="911"/>
      <c r="T497" s="911"/>
      <c r="U497" s="911"/>
      <c r="V497" s="911" t="e">
        <f t="shared" si="161"/>
        <v>#DIV/0!</v>
      </c>
      <c r="W497" s="911">
        <f t="shared" si="157"/>
        <v>0</v>
      </c>
      <c r="X497" s="906"/>
      <c r="Y497" s="906"/>
      <c r="Z497" s="843">
        <f t="shared" si="158"/>
        <v>0</v>
      </c>
    </row>
    <row r="498" spans="1:26" ht="24" thickTop="1" thickBot="1" x14ac:dyDescent="0.3">
      <c r="A498" s="908">
        <v>1</v>
      </c>
      <c r="B498" s="909" t="s">
        <v>817</v>
      </c>
      <c r="C498" s="909" t="s">
        <v>734</v>
      </c>
      <c r="D498" s="909" t="s">
        <v>975</v>
      </c>
      <c r="E498" s="909" t="s">
        <v>738</v>
      </c>
      <c r="F498" s="909" t="s">
        <v>742</v>
      </c>
      <c r="G498" s="909" t="s">
        <v>1142</v>
      </c>
      <c r="H498" s="909"/>
      <c r="I498" s="909"/>
      <c r="J498" s="909"/>
      <c r="K498" s="910" t="s">
        <v>1307</v>
      </c>
      <c r="L498" s="911"/>
      <c r="M498" s="911"/>
      <c r="N498" s="911"/>
      <c r="O498" s="904">
        <f t="shared" si="160"/>
        <v>0</v>
      </c>
      <c r="P498" s="911"/>
      <c r="Q498" s="911"/>
      <c r="R498" s="911"/>
      <c r="S498" s="911"/>
      <c r="T498" s="911"/>
      <c r="U498" s="911"/>
      <c r="V498" s="911" t="e">
        <f t="shared" si="161"/>
        <v>#DIV/0!</v>
      </c>
      <c r="W498" s="911">
        <f t="shared" si="157"/>
        <v>0</v>
      </c>
      <c r="X498" s="906"/>
      <c r="Y498" s="906"/>
      <c r="Z498" s="843">
        <f t="shared" si="158"/>
        <v>0</v>
      </c>
    </row>
    <row r="499" spans="1:26" ht="24" thickTop="1" thickBot="1" x14ac:dyDescent="0.3">
      <c r="A499" s="908">
        <v>1</v>
      </c>
      <c r="B499" s="909" t="s">
        <v>817</v>
      </c>
      <c r="C499" s="909" t="s">
        <v>734</v>
      </c>
      <c r="D499" s="909" t="s">
        <v>975</v>
      </c>
      <c r="E499" s="909" t="s">
        <v>738</v>
      </c>
      <c r="F499" s="909" t="s">
        <v>742</v>
      </c>
      <c r="G499" s="909" t="s">
        <v>922</v>
      </c>
      <c r="H499" s="909"/>
      <c r="I499" s="909"/>
      <c r="J499" s="909"/>
      <c r="K499" s="910" t="s">
        <v>1308</v>
      </c>
      <c r="L499" s="911"/>
      <c r="M499" s="911"/>
      <c r="N499" s="911"/>
      <c r="O499" s="904">
        <f t="shared" si="160"/>
        <v>0</v>
      </c>
      <c r="P499" s="911"/>
      <c r="Q499" s="911"/>
      <c r="R499" s="911"/>
      <c r="S499" s="911"/>
      <c r="T499" s="911"/>
      <c r="U499" s="911"/>
      <c r="V499" s="911" t="e">
        <f t="shared" si="161"/>
        <v>#DIV/0!</v>
      </c>
      <c r="W499" s="911">
        <f t="shared" si="157"/>
        <v>0</v>
      </c>
      <c r="X499" s="906"/>
      <c r="Y499" s="906"/>
      <c r="Z499" s="843">
        <f t="shared" si="158"/>
        <v>0</v>
      </c>
    </row>
    <row r="500" spans="1:26" ht="24" thickTop="1" thickBot="1" x14ac:dyDescent="0.3">
      <c r="A500" s="908">
        <v>1</v>
      </c>
      <c r="B500" s="909" t="s">
        <v>817</v>
      </c>
      <c r="C500" s="909" t="s">
        <v>734</v>
      </c>
      <c r="D500" s="909" t="s">
        <v>975</v>
      </c>
      <c r="E500" s="909" t="s">
        <v>738</v>
      </c>
      <c r="F500" s="909" t="s">
        <v>742</v>
      </c>
      <c r="G500" s="909" t="s">
        <v>1145</v>
      </c>
      <c r="H500" s="909"/>
      <c r="I500" s="909"/>
      <c r="J500" s="909"/>
      <c r="K500" s="910" t="s">
        <v>1309</v>
      </c>
      <c r="L500" s="911"/>
      <c r="M500" s="911"/>
      <c r="N500" s="911"/>
      <c r="O500" s="904">
        <f t="shared" si="160"/>
        <v>0</v>
      </c>
      <c r="P500" s="911"/>
      <c r="Q500" s="911"/>
      <c r="R500" s="911"/>
      <c r="S500" s="911"/>
      <c r="T500" s="911"/>
      <c r="U500" s="911"/>
      <c r="V500" s="911" t="e">
        <f t="shared" si="161"/>
        <v>#DIV/0!</v>
      </c>
      <c r="W500" s="911">
        <f t="shared" si="157"/>
        <v>0</v>
      </c>
      <c r="X500" s="906"/>
      <c r="Y500" s="906"/>
      <c r="Z500" s="843">
        <f t="shared" si="158"/>
        <v>0</v>
      </c>
    </row>
    <row r="501" spans="1:26" ht="24" thickTop="1" thickBot="1" x14ac:dyDescent="0.3">
      <c r="A501" s="908">
        <v>1</v>
      </c>
      <c r="B501" s="909" t="s">
        <v>817</v>
      </c>
      <c r="C501" s="909" t="s">
        <v>734</v>
      </c>
      <c r="D501" s="909" t="s">
        <v>975</v>
      </c>
      <c r="E501" s="909" t="s">
        <v>738</v>
      </c>
      <c r="F501" s="909" t="s">
        <v>742</v>
      </c>
      <c r="G501" s="909" t="s">
        <v>1147</v>
      </c>
      <c r="H501" s="909"/>
      <c r="I501" s="909"/>
      <c r="J501" s="909"/>
      <c r="K501" s="910" t="s">
        <v>1310</v>
      </c>
      <c r="L501" s="911"/>
      <c r="M501" s="911"/>
      <c r="N501" s="911"/>
      <c r="O501" s="904">
        <f t="shared" si="160"/>
        <v>0</v>
      </c>
      <c r="P501" s="911"/>
      <c r="Q501" s="911"/>
      <c r="R501" s="911"/>
      <c r="S501" s="911"/>
      <c r="T501" s="911"/>
      <c r="U501" s="911"/>
      <c r="V501" s="911" t="e">
        <f t="shared" si="161"/>
        <v>#DIV/0!</v>
      </c>
      <c r="W501" s="911">
        <f t="shared" si="157"/>
        <v>0</v>
      </c>
      <c r="X501" s="906"/>
      <c r="Y501" s="906"/>
      <c r="Z501" s="843">
        <f t="shared" si="158"/>
        <v>0</v>
      </c>
    </row>
    <row r="502" spans="1:26" ht="24" thickTop="1" thickBot="1" x14ac:dyDescent="0.3">
      <c r="A502" s="908">
        <v>1</v>
      </c>
      <c r="B502" s="909" t="s">
        <v>817</v>
      </c>
      <c r="C502" s="909" t="s">
        <v>734</v>
      </c>
      <c r="D502" s="909" t="s">
        <v>975</v>
      </c>
      <c r="E502" s="909" t="s">
        <v>738</v>
      </c>
      <c r="F502" s="909" t="s">
        <v>742</v>
      </c>
      <c r="G502" s="909" t="s">
        <v>1149</v>
      </c>
      <c r="H502" s="909"/>
      <c r="I502" s="909"/>
      <c r="J502" s="909"/>
      <c r="K502" s="910" t="s">
        <v>1311</v>
      </c>
      <c r="L502" s="911"/>
      <c r="M502" s="911"/>
      <c r="N502" s="911"/>
      <c r="O502" s="904">
        <f t="shared" si="160"/>
        <v>0</v>
      </c>
      <c r="P502" s="911"/>
      <c r="Q502" s="911"/>
      <c r="R502" s="911"/>
      <c r="S502" s="911"/>
      <c r="T502" s="911"/>
      <c r="U502" s="911"/>
      <c r="V502" s="911" t="e">
        <f t="shared" si="161"/>
        <v>#DIV/0!</v>
      </c>
      <c r="W502" s="911">
        <f t="shared" si="157"/>
        <v>0</v>
      </c>
      <c r="X502" s="906"/>
      <c r="Y502" s="906"/>
      <c r="Z502" s="843">
        <f t="shared" si="158"/>
        <v>0</v>
      </c>
    </row>
    <row r="503" spans="1:26" ht="24" thickTop="1" thickBot="1" x14ac:dyDescent="0.3">
      <c r="A503" s="908">
        <v>1</v>
      </c>
      <c r="B503" s="909" t="s">
        <v>817</v>
      </c>
      <c r="C503" s="909" t="s">
        <v>734</v>
      </c>
      <c r="D503" s="909" t="s">
        <v>975</v>
      </c>
      <c r="E503" s="909" t="s">
        <v>738</v>
      </c>
      <c r="F503" s="909" t="s">
        <v>742</v>
      </c>
      <c r="G503" s="909" t="s">
        <v>1151</v>
      </c>
      <c r="H503" s="909"/>
      <c r="I503" s="909"/>
      <c r="J503" s="909"/>
      <c r="K503" s="910" t="s">
        <v>1312</v>
      </c>
      <c r="L503" s="911"/>
      <c r="M503" s="911"/>
      <c r="N503" s="911"/>
      <c r="O503" s="904">
        <f t="shared" si="160"/>
        <v>0</v>
      </c>
      <c r="P503" s="911"/>
      <c r="Q503" s="911"/>
      <c r="R503" s="911"/>
      <c r="S503" s="911"/>
      <c r="T503" s="911"/>
      <c r="U503" s="911"/>
      <c r="V503" s="911" t="e">
        <f t="shared" si="161"/>
        <v>#DIV/0!</v>
      </c>
      <c r="W503" s="911">
        <f t="shared" si="157"/>
        <v>0</v>
      </c>
      <c r="X503" s="906"/>
      <c r="Y503" s="906"/>
      <c r="Z503" s="843">
        <f t="shared" si="158"/>
        <v>0</v>
      </c>
    </row>
    <row r="504" spans="1:26" ht="24" thickTop="1" thickBot="1" x14ac:dyDescent="0.3">
      <c r="A504" s="908">
        <v>1</v>
      </c>
      <c r="B504" s="909" t="s">
        <v>817</v>
      </c>
      <c r="C504" s="909" t="s">
        <v>734</v>
      </c>
      <c r="D504" s="909" t="s">
        <v>975</v>
      </c>
      <c r="E504" s="909" t="s">
        <v>738</v>
      </c>
      <c r="F504" s="909" t="s">
        <v>742</v>
      </c>
      <c r="G504" s="909" t="s">
        <v>1153</v>
      </c>
      <c r="H504" s="909"/>
      <c r="I504" s="909"/>
      <c r="J504" s="909"/>
      <c r="K504" s="910" t="s">
        <v>1313</v>
      </c>
      <c r="L504" s="911"/>
      <c r="M504" s="911"/>
      <c r="N504" s="911"/>
      <c r="O504" s="904">
        <f t="shared" si="160"/>
        <v>0</v>
      </c>
      <c r="P504" s="911"/>
      <c r="Q504" s="911"/>
      <c r="R504" s="911"/>
      <c r="S504" s="911"/>
      <c r="T504" s="911"/>
      <c r="U504" s="911"/>
      <c r="V504" s="911" t="e">
        <f t="shared" si="161"/>
        <v>#DIV/0!</v>
      </c>
      <c r="W504" s="911">
        <f t="shared" si="157"/>
        <v>0</v>
      </c>
      <c r="X504" s="906"/>
      <c r="Y504" s="906"/>
      <c r="Z504" s="843">
        <f t="shared" si="158"/>
        <v>0</v>
      </c>
    </row>
    <row r="505" spans="1:26" ht="24" thickTop="1" thickBot="1" x14ac:dyDescent="0.3">
      <c r="A505" s="908">
        <v>1</v>
      </c>
      <c r="B505" s="909" t="s">
        <v>817</v>
      </c>
      <c r="C505" s="909" t="s">
        <v>734</v>
      </c>
      <c r="D505" s="909" t="s">
        <v>975</v>
      </c>
      <c r="E505" s="909" t="s">
        <v>738</v>
      </c>
      <c r="F505" s="909" t="s">
        <v>742</v>
      </c>
      <c r="G505" s="909" t="s">
        <v>1155</v>
      </c>
      <c r="H505" s="909"/>
      <c r="I505" s="909"/>
      <c r="J505" s="909"/>
      <c r="K505" s="910" t="s">
        <v>1314</v>
      </c>
      <c r="L505" s="911"/>
      <c r="M505" s="911"/>
      <c r="N505" s="911"/>
      <c r="O505" s="904">
        <f t="shared" si="160"/>
        <v>0</v>
      </c>
      <c r="P505" s="911"/>
      <c r="Q505" s="911"/>
      <c r="R505" s="911"/>
      <c r="S505" s="911"/>
      <c r="T505" s="911"/>
      <c r="U505" s="911"/>
      <c r="V505" s="911" t="e">
        <f t="shared" si="161"/>
        <v>#DIV/0!</v>
      </c>
      <c r="W505" s="911">
        <f t="shared" si="157"/>
        <v>0</v>
      </c>
      <c r="X505" s="906"/>
      <c r="Y505" s="906"/>
      <c r="Z505" s="843">
        <f t="shared" si="158"/>
        <v>0</v>
      </c>
    </row>
    <row r="506" spans="1:26" ht="24" thickTop="1" thickBot="1" x14ac:dyDescent="0.3">
      <c r="A506" s="908">
        <v>1</v>
      </c>
      <c r="B506" s="909" t="s">
        <v>817</v>
      </c>
      <c r="C506" s="909" t="s">
        <v>734</v>
      </c>
      <c r="D506" s="909" t="s">
        <v>975</v>
      </c>
      <c r="E506" s="909" t="s">
        <v>738</v>
      </c>
      <c r="F506" s="909" t="s">
        <v>742</v>
      </c>
      <c r="G506" s="909" t="s">
        <v>1157</v>
      </c>
      <c r="H506" s="909"/>
      <c r="I506" s="909"/>
      <c r="J506" s="909"/>
      <c r="K506" s="910" t="s">
        <v>1315</v>
      </c>
      <c r="L506" s="911"/>
      <c r="M506" s="911"/>
      <c r="N506" s="911"/>
      <c r="O506" s="904">
        <f t="shared" si="160"/>
        <v>0</v>
      </c>
      <c r="P506" s="911"/>
      <c r="Q506" s="911"/>
      <c r="R506" s="911"/>
      <c r="S506" s="911"/>
      <c r="T506" s="911"/>
      <c r="U506" s="911"/>
      <c r="V506" s="911" t="e">
        <f t="shared" si="161"/>
        <v>#DIV/0!</v>
      </c>
      <c r="W506" s="911">
        <f t="shared" si="157"/>
        <v>0</v>
      </c>
      <c r="X506" s="906"/>
      <c r="Y506" s="906"/>
      <c r="Z506" s="843">
        <f t="shared" si="158"/>
        <v>0</v>
      </c>
    </row>
    <row r="507" spans="1:26" ht="24" thickTop="1" thickBot="1" x14ac:dyDescent="0.3">
      <c r="A507" s="908">
        <v>1</v>
      </c>
      <c r="B507" s="909" t="s">
        <v>817</v>
      </c>
      <c r="C507" s="909" t="s">
        <v>734</v>
      </c>
      <c r="D507" s="909" t="s">
        <v>975</v>
      </c>
      <c r="E507" s="909" t="s">
        <v>738</v>
      </c>
      <c r="F507" s="909" t="s">
        <v>742</v>
      </c>
      <c r="G507" s="909" t="s">
        <v>1159</v>
      </c>
      <c r="H507" s="909"/>
      <c r="I507" s="909"/>
      <c r="J507" s="909"/>
      <c r="K507" s="910" t="s">
        <v>1316</v>
      </c>
      <c r="L507" s="911"/>
      <c r="M507" s="911"/>
      <c r="N507" s="911"/>
      <c r="O507" s="904">
        <f t="shared" si="160"/>
        <v>0</v>
      </c>
      <c r="P507" s="911"/>
      <c r="Q507" s="911"/>
      <c r="R507" s="911"/>
      <c r="S507" s="911"/>
      <c r="T507" s="911"/>
      <c r="U507" s="911"/>
      <c r="V507" s="911" t="e">
        <f t="shared" si="161"/>
        <v>#DIV/0!</v>
      </c>
      <c r="W507" s="911">
        <f t="shared" si="157"/>
        <v>0</v>
      </c>
      <c r="X507" s="906"/>
      <c r="Y507" s="906"/>
      <c r="Z507" s="843">
        <f t="shared" si="158"/>
        <v>0</v>
      </c>
    </row>
    <row r="508" spans="1:26" ht="24" thickTop="1" thickBot="1" x14ac:dyDescent="0.3">
      <c r="A508" s="908">
        <v>1</v>
      </c>
      <c r="B508" s="909" t="s">
        <v>817</v>
      </c>
      <c r="C508" s="909" t="s">
        <v>734</v>
      </c>
      <c r="D508" s="909" t="s">
        <v>975</v>
      </c>
      <c r="E508" s="909" t="s">
        <v>738</v>
      </c>
      <c r="F508" s="909" t="s">
        <v>742</v>
      </c>
      <c r="G508" s="909" t="s">
        <v>1250</v>
      </c>
      <c r="H508" s="909"/>
      <c r="I508" s="909"/>
      <c r="J508" s="909"/>
      <c r="K508" s="910" t="s">
        <v>1317</v>
      </c>
      <c r="L508" s="911"/>
      <c r="M508" s="911"/>
      <c r="N508" s="911"/>
      <c r="O508" s="904">
        <f t="shared" si="160"/>
        <v>0</v>
      </c>
      <c r="P508" s="911"/>
      <c r="Q508" s="911"/>
      <c r="R508" s="911"/>
      <c r="S508" s="911"/>
      <c r="T508" s="911"/>
      <c r="U508" s="911"/>
      <c r="V508" s="911" t="e">
        <f t="shared" si="161"/>
        <v>#DIV/0!</v>
      </c>
      <c r="W508" s="911">
        <f t="shared" si="157"/>
        <v>0</v>
      </c>
      <c r="X508" s="906"/>
      <c r="Y508" s="906"/>
      <c r="Z508" s="843">
        <f t="shared" si="158"/>
        <v>0</v>
      </c>
    </row>
    <row r="509" spans="1:26" ht="16.5" thickTop="1" thickBot="1" x14ac:dyDescent="0.3">
      <c r="A509" s="869">
        <v>1</v>
      </c>
      <c r="B509" s="870" t="s">
        <v>817</v>
      </c>
      <c r="C509" s="870" t="s">
        <v>734</v>
      </c>
      <c r="D509" s="870" t="s">
        <v>917</v>
      </c>
      <c r="E509" s="870"/>
      <c r="F509" s="870"/>
      <c r="G509" s="870"/>
      <c r="H509" s="871"/>
      <c r="I509" s="871"/>
      <c r="J509" s="871"/>
      <c r="K509" s="872" t="s">
        <v>1318</v>
      </c>
      <c r="L509" s="904">
        <f>+L510+L511</f>
        <v>0</v>
      </c>
      <c r="M509" s="904">
        <f t="shared" ref="M509:U509" si="162">+M510+M511</f>
        <v>0</v>
      </c>
      <c r="N509" s="904">
        <f t="shared" si="162"/>
        <v>0</v>
      </c>
      <c r="O509" s="904">
        <f t="shared" si="162"/>
        <v>0</v>
      </c>
      <c r="P509" s="904">
        <f t="shared" si="162"/>
        <v>0</v>
      </c>
      <c r="Q509" s="904">
        <f t="shared" si="162"/>
        <v>0</v>
      </c>
      <c r="R509" s="904">
        <f t="shared" si="162"/>
        <v>0</v>
      </c>
      <c r="S509" s="904">
        <f t="shared" si="162"/>
        <v>0</v>
      </c>
      <c r="T509" s="904">
        <f>+T510+T511</f>
        <v>0</v>
      </c>
      <c r="U509" s="904">
        <f t="shared" si="162"/>
        <v>0</v>
      </c>
      <c r="V509" s="905" t="e">
        <f t="shared" si="161"/>
        <v>#DIV/0!</v>
      </c>
      <c r="W509" s="904"/>
      <c r="X509" s="875"/>
      <c r="Y509" s="875"/>
      <c r="Z509" s="876"/>
    </row>
    <row r="510" spans="1:26" ht="16.5" thickTop="1" thickBot="1" x14ac:dyDescent="0.3">
      <c r="A510" s="908">
        <v>1</v>
      </c>
      <c r="B510" s="909" t="s">
        <v>817</v>
      </c>
      <c r="C510" s="909" t="s">
        <v>734</v>
      </c>
      <c r="D510" s="909" t="s">
        <v>917</v>
      </c>
      <c r="E510" s="909" t="s">
        <v>735</v>
      </c>
      <c r="F510" s="909"/>
      <c r="G510" s="909"/>
      <c r="H510" s="909"/>
      <c r="I510" s="909"/>
      <c r="J510" s="909"/>
      <c r="K510" s="910" t="s">
        <v>1319</v>
      </c>
      <c r="L510" s="911"/>
      <c r="M510" s="911"/>
      <c r="N510" s="911"/>
      <c r="O510" s="904">
        <f>+L510+M510-N510</f>
        <v>0</v>
      </c>
      <c r="P510" s="911"/>
      <c r="Q510" s="911"/>
      <c r="R510" s="911"/>
      <c r="S510" s="911"/>
      <c r="T510" s="911"/>
      <c r="U510" s="911"/>
      <c r="V510" s="905" t="e">
        <f t="shared" si="161"/>
        <v>#DIV/0!</v>
      </c>
      <c r="W510" s="911"/>
      <c r="X510" s="906"/>
      <c r="Y510" s="906"/>
      <c r="Z510" s="843"/>
    </row>
    <row r="511" spans="1:26" ht="16.5" thickTop="1" thickBot="1" x14ac:dyDescent="0.3">
      <c r="A511" s="908">
        <v>1</v>
      </c>
      <c r="B511" s="909" t="s">
        <v>817</v>
      </c>
      <c r="C511" s="909" t="s">
        <v>734</v>
      </c>
      <c r="D511" s="909" t="s">
        <v>917</v>
      </c>
      <c r="E511" s="909" t="s">
        <v>738</v>
      </c>
      <c r="F511" s="909"/>
      <c r="G511" s="909"/>
      <c r="H511" s="909"/>
      <c r="I511" s="909"/>
      <c r="J511" s="909"/>
      <c r="K511" s="910" t="s">
        <v>1320</v>
      </c>
      <c r="L511" s="911"/>
      <c r="M511" s="911">
        <v>0</v>
      </c>
      <c r="N511" s="911"/>
      <c r="O511" s="904">
        <f>+L511+M511-N511</f>
        <v>0</v>
      </c>
      <c r="P511" s="911">
        <v>0</v>
      </c>
      <c r="Q511" s="911">
        <f>O511</f>
        <v>0</v>
      </c>
      <c r="R511" s="911">
        <v>0</v>
      </c>
      <c r="S511" s="911">
        <v>0</v>
      </c>
      <c r="T511" s="911"/>
      <c r="U511" s="911"/>
      <c r="V511" s="905" t="e">
        <f t="shared" si="161"/>
        <v>#DIV/0!</v>
      </c>
      <c r="W511" s="911"/>
      <c r="X511" s="906"/>
      <c r="Y511" s="906"/>
      <c r="Z511" s="843"/>
    </row>
    <row r="512" spans="1:26" ht="16.5" thickTop="1" thickBot="1" x14ac:dyDescent="0.3">
      <c r="A512" s="861">
        <v>1</v>
      </c>
      <c r="B512" s="861">
        <v>2</v>
      </c>
      <c r="C512" s="861"/>
      <c r="D512" s="861"/>
      <c r="E512" s="861"/>
      <c r="F512" s="861"/>
      <c r="G512" s="861"/>
      <c r="H512" s="862"/>
      <c r="I512" s="863"/>
      <c r="J512" s="863"/>
      <c r="K512" s="864" t="s">
        <v>1321</v>
      </c>
      <c r="L512" s="904">
        <f>+L513+L518+L517</f>
        <v>3064751000</v>
      </c>
      <c r="M512" s="904">
        <f t="shared" ref="M512:Y512" si="163">+M513+M518+M517</f>
        <v>0</v>
      </c>
      <c r="N512" s="904">
        <f t="shared" si="163"/>
        <v>0</v>
      </c>
      <c r="O512" s="904">
        <f>L512+M512</f>
        <v>3064751000</v>
      </c>
      <c r="P512" s="904">
        <f>+P513+P518+P517</f>
        <v>3064751000</v>
      </c>
      <c r="Q512" s="904">
        <f t="shared" si="163"/>
        <v>0</v>
      </c>
      <c r="R512" s="904">
        <f t="shared" si="163"/>
        <v>0</v>
      </c>
      <c r="S512" s="904">
        <f t="shared" si="163"/>
        <v>0</v>
      </c>
      <c r="T512" s="904"/>
      <c r="U512" s="904">
        <f t="shared" si="163"/>
        <v>1715000000</v>
      </c>
      <c r="V512" s="905" t="e">
        <f t="shared" si="161"/>
        <v>#DIV/0!</v>
      </c>
      <c r="W512" s="904"/>
      <c r="X512" s="867">
        <f t="shared" si="163"/>
        <v>0</v>
      </c>
      <c r="Y512" s="867">
        <f t="shared" si="163"/>
        <v>0</v>
      </c>
      <c r="Z512" s="868"/>
    </row>
    <row r="513" spans="1:26" ht="24" thickTop="1" thickBot="1" x14ac:dyDescent="0.3">
      <c r="A513" s="869">
        <v>1</v>
      </c>
      <c r="B513" s="870">
        <v>2</v>
      </c>
      <c r="C513" s="870" t="s">
        <v>817</v>
      </c>
      <c r="D513" s="870"/>
      <c r="E513" s="870"/>
      <c r="F513" s="870"/>
      <c r="G513" s="870"/>
      <c r="H513" s="871"/>
      <c r="I513" s="871"/>
      <c r="J513" s="871"/>
      <c r="K513" s="872" t="s">
        <v>1322</v>
      </c>
      <c r="L513" s="904">
        <f>SUM(L514:L516)</f>
        <v>3064751000</v>
      </c>
      <c r="M513" s="904">
        <f t="shared" ref="M513:S513" si="164">SUM(M514:M516)</f>
        <v>0</v>
      </c>
      <c r="N513" s="904">
        <f t="shared" si="164"/>
        <v>0</v>
      </c>
      <c r="O513" s="904">
        <f t="shared" si="164"/>
        <v>3064751000</v>
      </c>
      <c r="P513" s="904">
        <f t="shared" si="164"/>
        <v>3064751000</v>
      </c>
      <c r="Q513" s="904">
        <f t="shared" si="164"/>
        <v>0</v>
      </c>
      <c r="R513" s="904">
        <f t="shared" si="164"/>
        <v>0</v>
      </c>
      <c r="S513" s="904">
        <f t="shared" si="164"/>
        <v>0</v>
      </c>
      <c r="T513" s="904">
        <f>SUM(T514:T516)</f>
        <v>1715000000</v>
      </c>
      <c r="U513" s="904">
        <f>SUM(U514:U516)</f>
        <v>1715000000</v>
      </c>
      <c r="V513" s="905">
        <f t="shared" si="161"/>
        <v>1</v>
      </c>
      <c r="W513" s="904"/>
      <c r="X513" s="875"/>
      <c r="Y513" s="875"/>
      <c r="Z513" s="876"/>
    </row>
    <row r="514" spans="1:26" ht="16.5" thickTop="1" thickBot="1" x14ac:dyDescent="0.3">
      <c r="A514" s="908">
        <v>1</v>
      </c>
      <c r="B514" s="908">
        <v>2</v>
      </c>
      <c r="C514" s="909" t="s">
        <v>817</v>
      </c>
      <c r="D514" s="909" t="s">
        <v>735</v>
      </c>
      <c r="E514" s="909"/>
      <c r="F514" s="909"/>
      <c r="G514" s="909"/>
      <c r="H514" s="909"/>
      <c r="I514" s="909"/>
      <c r="J514" s="909"/>
      <c r="K514" s="910" t="s">
        <v>1323</v>
      </c>
      <c r="L514" s="911">
        <v>3007451000</v>
      </c>
      <c r="M514" s="911">
        <v>0</v>
      </c>
      <c r="N514" s="911"/>
      <c r="O514" s="911">
        <f>+L514+M514-N514</f>
        <v>3007451000</v>
      </c>
      <c r="P514" s="911">
        <f>O514</f>
        <v>3007451000</v>
      </c>
      <c r="Q514" s="911">
        <v>0</v>
      </c>
      <c r="R514" s="911">
        <v>0</v>
      </c>
      <c r="S514" s="911">
        <v>0</v>
      </c>
      <c r="T514" s="911">
        <v>1690000000</v>
      </c>
      <c r="U514" s="911">
        <v>1690000000</v>
      </c>
      <c r="V514" s="905">
        <f t="shared" si="161"/>
        <v>1</v>
      </c>
      <c r="W514" s="911"/>
      <c r="X514" s="906"/>
      <c r="Y514" s="906"/>
      <c r="Z514" s="843"/>
    </row>
    <row r="515" spans="1:26" ht="16.5" thickTop="1" thickBot="1" x14ac:dyDescent="0.3">
      <c r="A515" s="908">
        <v>1</v>
      </c>
      <c r="B515" s="908">
        <v>2</v>
      </c>
      <c r="C515" s="909" t="s">
        <v>817</v>
      </c>
      <c r="D515" s="909" t="s">
        <v>738</v>
      </c>
      <c r="E515" s="909"/>
      <c r="F515" s="909"/>
      <c r="G515" s="909"/>
      <c r="H515" s="909"/>
      <c r="I515" s="909"/>
      <c r="J515" s="909"/>
      <c r="K515" s="910" t="s">
        <v>1324</v>
      </c>
      <c r="L515" s="911">
        <v>50000000</v>
      </c>
      <c r="M515" s="911">
        <v>0</v>
      </c>
      <c r="N515" s="911"/>
      <c r="O515" s="911">
        <f>+L515+M515-N515</f>
        <v>50000000</v>
      </c>
      <c r="P515" s="911">
        <f>O515</f>
        <v>50000000</v>
      </c>
      <c r="Q515" s="911">
        <v>0</v>
      </c>
      <c r="R515" s="911">
        <v>0</v>
      </c>
      <c r="S515" s="911">
        <v>0</v>
      </c>
      <c r="T515" s="911">
        <v>25000000</v>
      </c>
      <c r="U515" s="911">
        <v>25000000</v>
      </c>
      <c r="V515" s="905">
        <f t="shared" si="161"/>
        <v>1</v>
      </c>
      <c r="W515" s="911"/>
      <c r="X515" s="906"/>
      <c r="Y515" s="906"/>
      <c r="Z515" s="843"/>
    </row>
    <row r="516" spans="1:26" ht="16.5" thickTop="1" thickBot="1" x14ac:dyDescent="0.3">
      <c r="A516" s="908">
        <v>1</v>
      </c>
      <c r="B516" s="908">
        <v>2</v>
      </c>
      <c r="C516" s="909" t="s">
        <v>817</v>
      </c>
      <c r="D516" s="909" t="s">
        <v>742</v>
      </c>
      <c r="E516" s="909"/>
      <c r="F516" s="909"/>
      <c r="G516" s="909"/>
      <c r="H516" s="909"/>
      <c r="I516" s="909"/>
      <c r="J516" s="909"/>
      <c r="K516" s="910" t="s">
        <v>1325</v>
      </c>
      <c r="L516" s="911">
        <v>7300000</v>
      </c>
      <c r="M516" s="911">
        <v>0</v>
      </c>
      <c r="N516" s="911"/>
      <c r="O516" s="911">
        <f>+L516+M516-N516</f>
        <v>7300000</v>
      </c>
      <c r="P516" s="911">
        <f>O516</f>
        <v>7300000</v>
      </c>
      <c r="Q516" s="911">
        <v>0</v>
      </c>
      <c r="R516" s="911">
        <v>0</v>
      </c>
      <c r="S516" s="911">
        <v>0</v>
      </c>
      <c r="T516" s="911">
        <v>0</v>
      </c>
      <c r="U516" s="911">
        <v>0</v>
      </c>
      <c r="V516" s="905" t="e">
        <f t="shared" si="161"/>
        <v>#DIV/0!</v>
      </c>
      <c r="W516" s="911"/>
      <c r="X516" s="906"/>
      <c r="Y516" s="906"/>
      <c r="Z516" s="843"/>
    </row>
    <row r="517" spans="1:26" ht="16.5" thickTop="1" thickBot="1" x14ac:dyDescent="0.3">
      <c r="A517" s="908"/>
      <c r="B517" s="908"/>
      <c r="C517" s="909"/>
      <c r="D517" s="909"/>
      <c r="E517" s="909"/>
      <c r="F517" s="909"/>
      <c r="G517" s="909"/>
      <c r="H517" s="909"/>
      <c r="I517" s="909"/>
      <c r="J517" s="909"/>
      <c r="K517" s="910" t="s">
        <v>1326</v>
      </c>
      <c r="L517" s="911">
        <v>0</v>
      </c>
      <c r="M517" s="911"/>
      <c r="N517" s="911"/>
      <c r="O517" s="911">
        <f>L517+M517</f>
        <v>0</v>
      </c>
      <c r="P517" s="911">
        <v>0</v>
      </c>
      <c r="Q517" s="911"/>
      <c r="R517" s="911"/>
      <c r="S517" s="911">
        <f>O517</f>
        <v>0</v>
      </c>
      <c r="T517" s="911">
        <v>0</v>
      </c>
      <c r="U517" s="911">
        <v>0</v>
      </c>
      <c r="V517" s="905" t="e">
        <f t="shared" si="161"/>
        <v>#DIV/0!</v>
      </c>
      <c r="W517" s="911"/>
      <c r="X517" s="906"/>
      <c r="Y517" s="906"/>
      <c r="Z517" s="843"/>
    </row>
    <row r="518" spans="1:26" ht="16.5" thickTop="1" thickBot="1" x14ac:dyDescent="0.3">
      <c r="A518" s="869">
        <v>1</v>
      </c>
      <c r="B518" s="870">
        <v>2</v>
      </c>
      <c r="C518" s="870" t="s">
        <v>734</v>
      </c>
      <c r="D518" s="870"/>
      <c r="E518" s="870"/>
      <c r="F518" s="870"/>
      <c r="G518" s="870"/>
      <c r="H518" s="871"/>
      <c r="I518" s="871"/>
      <c r="J518" s="871"/>
      <c r="K518" s="872" t="s">
        <v>1327</v>
      </c>
      <c r="L518" s="904">
        <v>0</v>
      </c>
      <c r="M518" s="904"/>
      <c r="N518" s="904"/>
      <c r="O518" s="904">
        <f>+L518+M518-N518</f>
        <v>0</v>
      </c>
      <c r="P518" s="904"/>
      <c r="Q518" s="904">
        <v>0</v>
      </c>
      <c r="R518" s="904"/>
      <c r="S518" s="904"/>
      <c r="T518" s="904">
        <v>0</v>
      </c>
      <c r="U518" s="904">
        <v>0</v>
      </c>
      <c r="V518" s="905" t="e">
        <f t="shared" si="161"/>
        <v>#DIV/0!</v>
      </c>
      <c r="W518" s="904"/>
      <c r="X518" s="875"/>
      <c r="Y518" s="875"/>
      <c r="Z518" s="876"/>
    </row>
    <row r="519" spans="1:26" ht="16.5" thickTop="1" thickBot="1" x14ac:dyDescent="0.3">
      <c r="A519" s="861">
        <v>1</v>
      </c>
      <c r="B519" s="861">
        <v>3</v>
      </c>
      <c r="C519" s="861"/>
      <c r="D519" s="861"/>
      <c r="E519" s="861"/>
      <c r="F519" s="861"/>
      <c r="G519" s="861"/>
      <c r="H519" s="862"/>
      <c r="I519" s="863"/>
      <c r="J519" s="863"/>
      <c r="K519" s="864" t="s">
        <v>1328</v>
      </c>
      <c r="L519" s="904">
        <f>+L520+L524</f>
        <v>0</v>
      </c>
      <c r="M519" s="904">
        <f t="shared" ref="M519:T519" si="165">+M520+M524</f>
        <v>0</v>
      </c>
      <c r="N519" s="904">
        <f t="shared" si="165"/>
        <v>0</v>
      </c>
      <c r="O519" s="904">
        <f t="shared" si="165"/>
        <v>0</v>
      </c>
      <c r="P519" s="904">
        <f t="shared" si="165"/>
        <v>0</v>
      </c>
      <c r="Q519" s="904">
        <f t="shared" si="165"/>
        <v>0</v>
      </c>
      <c r="R519" s="904">
        <f t="shared" si="165"/>
        <v>0</v>
      </c>
      <c r="S519" s="904">
        <f t="shared" si="165"/>
        <v>0</v>
      </c>
      <c r="T519" s="904">
        <f t="shared" si="165"/>
        <v>0</v>
      </c>
      <c r="U519" s="904">
        <f>+U520+U524</f>
        <v>0</v>
      </c>
      <c r="V519" s="905" t="e">
        <f t="shared" si="161"/>
        <v>#DIV/0!</v>
      </c>
      <c r="W519" s="904"/>
      <c r="X519" s="867"/>
      <c r="Y519" s="867"/>
      <c r="Z519" s="868"/>
    </row>
    <row r="520" spans="1:26" ht="24" thickTop="1" thickBot="1" x14ac:dyDescent="0.3">
      <c r="A520" s="869">
        <v>1</v>
      </c>
      <c r="B520" s="870">
        <v>3</v>
      </c>
      <c r="C520" s="870" t="s">
        <v>817</v>
      </c>
      <c r="D520" s="870"/>
      <c r="E520" s="870"/>
      <c r="F520" s="870"/>
      <c r="G520" s="870"/>
      <c r="H520" s="871"/>
      <c r="I520" s="871"/>
      <c r="J520" s="871"/>
      <c r="K520" s="872" t="s">
        <v>1329</v>
      </c>
      <c r="L520" s="904">
        <f>SUM(L521:L523)</f>
        <v>0</v>
      </c>
      <c r="M520" s="904">
        <f t="shared" ref="M520:U520" si="166">SUM(M521:M523)</f>
        <v>0</v>
      </c>
      <c r="N520" s="904">
        <f t="shared" si="166"/>
        <v>0</v>
      </c>
      <c r="O520" s="904">
        <f t="shared" si="166"/>
        <v>0</v>
      </c>
      <c r="P520" s="904">
        <f t="shared" si="166"/>
        <v>0</v>
      </c>
      <c r="Q520" s="904">
        <f t="shared" si="166"/>
        <v>0</v>
      </c>
      <c r="R520" s="904">
        <f t="shared" si="166"/>
        <v>0</v>
      </c>
      <c r="S520" s="904">
        <f t="shared" si="166"/>
        <v>0</v>
      </c>
      <c r="T520" s="904">
        <f t="shared" si="166"/>
        <v>0</v>
      </c>
      <c r="U520" s="904">
        <f t="shared" si="166"/>
        <v>0</v>
      </c>
      <c r="V520" s="905" t="e">
        <f t="shared" si="161"/>
        <v>#DIV/0!</v>
      </c>
      <c r="W520" s="904"/>
      <c r="X520" s="875"/>
      <c r="Y520" s="875"/>
      <c r="Z520" s="876"/>
    </row>
    <row r="521" spans="1:26" ht="16.5" thickTop="1" thickBot="1" x14ac:dyDescent="0.3">
      <c r="A521" s="908">
        <v>1</v>
      </c>
      <c r="B521" s="908">
        <v>3</v>
      </c>
      <c r="C521" s="909" t="s">
        <v>817</v>
      </c>
      <c r="D521" s="909" t="s">
        <v>735</v>
      </c>
      <c r="E521" s="909"/>
      <c r="F521" s="909"/>
      <c r="G521" s="909"/>
      <c r="H521" s="909"/>
      <c r="I521" s="909"/>
      <c r="J521" s="909"/>
      <c r="K521" s="910" t="s">
        <v>1330</v>
      </c>
      <c r="L521" s="911">
        <v>0</v>
      </c>
      <c r="M521" s="911">
        <v>0</v>
      </c>
      <c r="N521" s="911"/>
      <c r="O521" s="911">
        <f t="shared" ref="O521:O526" si="167">+L521+M521-N521</f>
        <v>0</v>
      </c>
      <c r="P521" s="911">
        <f>O521</f>
        <v>0</v>
      </c>
      <c r="Q521" s="911">
        <v>0</v>
      </c>
      <c r="R521" s="911">
        <v>0</v>
      </c>
      <c r="S521" s="911">
        <v>0</v>
      </c>
      <c r="T521" s="911">
        <v>0</v>
      </c>
      <c r="U521" s="911">
        <v>0</v>
      </c>
      <c r="V521" s="930" t="e">
        <f t="shared" si="161"/>
        <v>#DIV/0!</v>
      </c>
      <c r="W521" s="911"/>
      <c r="X521" s="906"/>
      <c r="Y521" s="906"/>
      <c r="Z521" s="843"/>
    </row>
    <row r="522" spans="1:26" ht="16.5" thickTop="1" thickBot="1" x14ac:dyDescent="0.3">
      <c r="A522" s="908">
        <v>1</v>
      </c>
      <c r="B522" s="908">
        <v>3</v>
      </c>
      <c r="C522" s="909" t="s">
        <v>817</v>
      </c>
      <c r="D522" s="909" t="s">
        <v>738</v>
      </c>
      <c r="E522" s="909"/>
      <c r="F522" s="909"/>
      <c r="G522" s="909"/>
      <c r="H522" s="909"/>
      <c r="I522" s="909"/>
      <c r="J522" s="909"/>
      <c r="K522" s="910" t="s">
        <v>1331</v>
      </c>
      <c r="L522" s="911"/>
      <c r="M522" s="911">
        <v>0</v>
      </c>
      <c r="N522" s="911"/>
      <c r="O522" s="911">
        <f>+L522+M522-N522</f>
        <v>0</v>
      </c>
      <c r="P522" s="911">
        <f t="shared" ref="P522:P523" si="168">O522</f>
        <v>0</v>
      </c>
      <c r="Q522" s="911">
        <v>0</v>
      </c>
      <c r="R522" s="911">
        <v>0</v>
      </c>
      <c r="S522" s="911">
        <v>0</v>
      </c>
      <c r="T522" s="911">
        <v>0</v>
      </c>
      <c r="U522" s="911">
        <v>0</v>
      </c>
      <c r="V522" s="930" t="e">
        <f t="shared" si="161"/>
        <v>#DIV/0!</v>
      </c>
      <c r="W522" s="911"/>
      <c r="X522" s="906"/>
      <c r="Y522" s="906"/>
      <c r="Z522" s="843"/>
    </row>
    <row r="523" spans="1:26" ht="16.5" thickTop="1" thickBot="1" x14ac:dyDescent="0.3">
      <c r="A523" s="908">
        <v>1</v>
      </c>
      <c r="B523" s="908">
        <v>3</v>
      </c>
      <c r="C523" s="909" t="s">
        <v>817</v>
      </c>
      <c r="D523" s="909" t="s">
        <v>742</v>
      </c>
      <c r="E523" s="909"/>
      <c r="F523" s="909"/>
      <c r="G523" s="909"/>
      <c r="H523" s="909"/>
      <c r="I523" s="909"/>
      <c r="J523" s="909"/>
      <c r="K523" s="910" t="s">
        <v>1332</v>
      </c>
      <c r="L523" s="911"/>
      <c r="M523" s="911">
        <v>0</v>
      </c>
      <c r="N523" s="911"/>
      <c r="O523" s="911">
        <f>+L523+M523-N523</f>
        <v>0</v>
      </c>
      <c r="P523" s="911">
        <f t="shared" si="168"/>
        <v>0</v>
      </c>
      <c r="Q523" s="911">
        <v>0</v>
      </c>
      <c r="R523" s="911">
        <v>0</v>
      </c>
      <c r="S523" s="911">
        <v>0</v>
      </c>
      <c r="T523" s="911">
        <v>0</v>
      </c>
      <c r="U523" s="911">
        <v>0</v>
      </c>
      <c r="V523" s="930" t="e">
        <f t="shared" si="161"/>
        <v>#DIV/0!</v>
      </c>
      <c r="W523" s="911"/>
      <c r="X523" s="906"/>
      <c r="Y523" s="906"/>
      <c r="Z523" s="843"/>
    </row>
    <row r="524" spans="1:26" ht="24" thickTop="1" thickBot="1" x14ac:dyDescent="0.3">
      <c r="A524" s="869">
        <v>1</v>
      </c>
      <c r="B524" s="870">
        <v>3</v>
      </c>
      <c r="C524" s="870" t="s">
        <v>734</v>
      </c>
      <c r="D524" s="870"/>
      <c r="E524" s="870"/>
      <c r="F524" s="870"/>
      <c r="G524" s="870"/>
      <c r="H524" s="871"/>
      <c r="I524" s="871"/>
      <c r="J524" s="871"/>
      <c r="K524" s="872" t="s">
        <v>1333</v>
      </c>
      <c r="L524" s="873">
        <v>0</v>
      </c>
      <c r="M524" s="873">
        <v>0</v>
      </c>
      <c r="N524" s="873"/>
      <c r="O524" s="873">
        <f t="shared" si="167"/>
        <v>0</v>
      </c>
      <c r="P524" s="873">
        <v>0</v>
      </c>
      <c r="Q524" s="873">
        <f>O524</f>
        <v>0</v>
      </c>
      <c r="R524" s="873">
        <v>0</v>
      </c>
      <c r="S524" s="873">
        <v>0</v>
      </c>
      <c r="T524" s="873">
        <v>0</v>
      </c>
      <c r="U524" s="873">
        <v>0</v>
      </c>
      <c r="V524" s="874" t="e">
        <f t="shared" si="161"/>
        <v>#DIV/0!</v>
      </c>
      <c r="W524" s="873">
        <f t="shared" si="157"/>
        <v>0</v>
      </c>
      <c r="X524" s="875"/>
      <c r="Y524" s="875"/>
      <c r="Z524" s="876">
        <f t="shared" si="158"/>
        <v>0</v>
      </c>
    </row>
    <row r="525" spans="1:26" ht="16.5" thickTop="1" thickBot="1" x14ac:dyDescent="0.3">
      <c r="A525" s="861">
        <v>1</v>
      </c>
      <c r="B525" s="861">
        <v>4</v>
      </c>
      <c r="C525" s="861"/>
      <c r="D525" s="861"/>
      <c r="E525" s="861"/>
      <c r="F525" s="861"/>
      <c r="G525" s="861"/>
      <c r="H525" s="862"/>
      <c r="I525" s="863"/>
      <c r="J525" s="863"/>
      <c r="K525" s="864" t="s">
        <v>1334</v>
      </c>
      <c r="L525" s="904">
        <v>0</v>
      </c>
      <c r="M525" s="904">
        <v>0</v>
      </c>
      <c r="N525" s="904"/>
      <c r="O525" s="904">
        <f t="shared" si="167"/>
        <v>0</v>
      </c>
      <c r="P525" s="904">
        <v>0</v>
      </c>
      <c r="Q525" s="904">
        <f>O525</f>
        <v>0</v>
      </c>
      <c r="R525" s="904">
        <v>0</v>
      </c>
      <c r="S525" s="904">
        <v>0</v>
      </c>
      <c r="T525" s="904">
        <v>0</v>
      </c>
      <c r="U525" s="904">
        <v>0</v>
      </c>
      <c r="V525" s="905" t="e">
        <f t="shared" si="161"/>
        <v>#DIV/0!</v>
      </c>
      <c r="W525" s="904"/>
      <c r="X525" s="867"/>
      <c r="Y525" s="867"/>
      <c r="Z525" s="868"/>
    </row>
    <row r="526" spans="1:26" ht="24" thickTop="1" thickBot="1" x14ac:dyDescent="0.3">
      <c r="A526" s="861">
        <v>1</v>
      </c>
      <c r="B526" s="861" t="s">
        <v>1335</v>
      </c>
      <c r="C526" s="861"/>
      <c r="D526" s="861"/>
      <c r="E526" s="861"/>
      <c r="F526" s="861"/>
      <c r="G526" s="861"/>
      <c r="H526" s="862"/>
      <c r="I526" s="863"/>
      <c r="J526" s="863"/>
      <c r="K526" s="864" t="s">
        <v>1336</v>
      </c>
      <c r="L526" s="904">
        <v>11652501110.25</v>
      </c>
      <c r="M526" s="904">
        <v>16888425542</v>
      </c>
      <c r="N526" s="904">
        <f>+N527+N531+N532</f>
        <v>0</v>
      </c>
      <c r="O526" s="904">
        <f t="shared" si="167"/>
        <v>28540926652.25</v>
      </c>
      <c r="P526" s="904">
        <f t="shared" ref="P526:S526" si="169">+P527+P531+P532</f>
        <v>0</v>
      </c>
      <c r="Q526" s="904">
        <f>O526</f>
        <v>28540926652.25</v>
      </c>
      <c r="R526" s="904">
        <f t="shared" si="169"/>
        <v>0</v>
      </c>
      <c r="S526" s="904">
        <f t="shared" si="169"/>
        <v>0</v>
      </c>
      <c r="T526" s="904">
        <v>0</v>
      </c>
      <c r="U526" s="904">
        <v>0</v>
      </c>
      <c r="V526" s="905" t="e">
        <f t="shared" si="161"/>
        <v>#DIV/0!</v>
      </c>
      <c r="W526" s="904"/>
      <c r="X526" s="867"/>
      <c r="Y526" s="867"/>
      <c r="Z526" s="868"/>
    </row>
    <row r="527" spans="1:26" ht="16.5" thickTop="1" thickBot="1" x14ac:dyDescent="0.3">
      <c r="A527" s="869">
        <v>1</v>
      </c>
      <c r="B527" s="870" t="s">
        <v>1335</v>
      </c>
      <c r="C527" s="870" t="s">
        <v>817</v>
      </c>
      <c r="D527" s="870"/>
      <c r="E527" s="870"/>
      <c r="F527" s="870"/>
      <c r="G527" s="870"/>
      <c r="H527" s="871"/>
      <c r="I527" s="871"/>
      <c r="J527" s="871"/>
      <c r="K527" s="872" t="s">
        <v>1337</v>
      </c>
      <c r="L527" s="873">
        <f>SUM(L528:L530)</f>
        <v>0</v>
      </c>
      <c r="M527" s="873">
        <f t="shared" ref="M527:V527" si="170">SUM(M528:M530)</f>
        <v>0</v>
      </c>
      <c r="N527" s="873">
        <f t="shared" si="170"/>
        <v>0</v>
      </c>
      <c r="O527" s="873">
        <f t="shared" si="170"/>
        <v>0</v>
      </c>
      <c r="P527" s="873">
        <f t="shared" si="170"/>
        <v>0</v>
      </c>
      <c r="Q527" s="873">
        <f t="shared" si="170"/>
        <v>0</v>
      </c>
      <c r="R527" s="873">
        <f t="shared" si="170"/>
        <v>0</v>
      </c>
      <c r="S527" s="873">
        <f t="shared" si="170"/>
        <v>0</v>
      </c>
      <c r="T527" s="873">
        <f t="shared" si="170"/>
        <v>0</v>
      </c>
      <c r="U527" s="873">
        <f t="shared" si="170"/>
        <v>0</v>
      </c>
      <c r="V527" s="874">
        <f t="shared" si="170"/>
        <v>0</v>
      </c>
      <c r="W527" s="873"/>
      <c r="X527" s="875"/>
      <c r="Y527" s="875"/>
      <c r="Z527" s="876"/>
    </row>
    <row r="528" spans="1:26" ht="16.5" thickTop="1" thickBot="1" x14ac:dyDescent="0.3">
      <c r="A528" s="908">
        <v>1</v>
      </c>
      <c r="B528" s="909" t="s">
        <v>1335</v>
      </c>
      <c r="C528" s="909" t="s">
        <v>817</v>
      </c>
      <c r="D528" s="909" t="s">
        <v>735</v>
      </c>
      <c r="E528" s="909"/>
      <c r="F528" s="909"/>
      <c r="G528" s="909"/>
      <c r="H528" s="909"/>
      <c r="I528" s="909"/>
      <c r="J528" s="909"/>
      <c r="K528" s="910" t="s">
        <v>1338</v>
      </c>
      <c r="L528" s="911"/>
      <c r="M528" s="911"/>
      <c r="N528" s="911"/>
      <c r="O528" s="904">
        <f>+L528+M528-N528</f>
        <v>0</v>
      </c>
      <c r="P528" s="911"/>
      <c r="Q528" s="911"/>
      <c r="R528" s="911"/>
      <c r="S528" s="911"/>
      <c r="T528" s="911"/>
      <c r="U528" s="911"/>
      <c r="V528" s="911"/>
      <c r="W528" s="911"/>
      <c r="X528" s="906"/>
      <c r="Y528" s="906"/>
      <c r="Z528" s="843"/>
    </row>
    <row r="529" spans="1:26" ht="16.5" thickTop="1" thickBot="1" x14ac:dyDescent="0.3">
      <c r="A529" s="908">
        <v>1</v>
      </c>
      <c r="B529" s="909" t="s">
        <v>1335</v>
      </c>
      <c r="C529" s="909" t="s">
        <v>817</v>
      </c>
      <c r="D529" s="909" t="s">
        <v>738</v>
      </c>
      <c r="E529" s="909"/>
      <c r="F529" s="909"/>
      <c r="G529" s="909"/>
      <c r="H529" s="909"/>
      <c r="I529" s="909"/>
      <c r="J529" s="909"/>
      <c r="K529" s="910" t="s">
        <v>1339</v>
      </c>
      <c r="L529" s="911"/>
      <c r="M529" s="911"/>
      <c r="N529" s="911"/>
      <c r="O529" s="904">
        <f>+L529+M529-N529</f>
        <v>0</v>
      </c>
      <c r="P529" s="911"/>
      <c r="Q529" s="911"/>
      <c r="R529" s="911"/>
      <c r="S529" s="911"/>
      <c r="T529" s="911"/>
      <c r="U529" s="911"/>
      <c r="V529" s="911"/>
      <c r="W529" s="911"/>
      <c r="X529" s="906"/>
      <c r="Y529" s="906"/>
      <c r="Z529" s="843"/>
    </row>
    <row r="530" spans="1:26" ht="16.5" thickTop="1" thickBot="1" x14ac:dyDescent="0.3">
      <c r="A530" s="908">
        <v>1</v>
      </c>
      <c r="B530" s="909" t="s">
        <v>1335</v>
      </c>
      <c r="C530" s="909" t="s">
        <v>817</v>
      </c>
      <c r="D530" s="909" t="s">
        <v>742</v>
      </c>
      <c r="E530" s="909"/>
      <c r="F530" s="909"/>
      <c r="G530" s="909"/>
      <c r="H530" s="909"/>
      <c r="I530" s="909"/>
      <c r="J530" s="909"/>
      <c r="K530" s="910" t="s">
        <v>1340</v>
      </c>
      <c r="L530" s="911"/>
      <c r="M530" s="911"/>
      <c r="N530" s="911"/>
      <c r="O530" s="904">
        <f>+L530+M530-N530</f>
        <v>0</v>
      </c>
      <c r="P530" s="911"/>
      <c r="Q530" s="911"/>
      <c r="R530" s="911"/>
      <c r="S530" s="911"/>
      <c r="T530" s="911"/>
      <c r="U530" s="911"/>
      <c r="V530" s="911"/>
      <c r="W530" s="911"/>
      <c r="X530" s="906"/>
      <c r="Y530" s="906"/>
      <c r="Z530" s="843"/>
    </row>
    <row r="531" spans="1:26" ht="16.5" thickTop="1" thickBot="1" x14ac:dyDescent="0.3">
      <c r="A531" s="869">
        <v>1</v>
      </c>
      <c r="B531" s="870" t="s">
        <v>1335</v>
      </c>
      <c r="C531" s="870" t="s">
        <v>734</v>
      </c>
      <c r="D531" s="870"/>
      <c r="E531" s="870"/>
      <c r="F531" s="870"/>
      <c r="G531" s="870"/>
      <c r="H531" s="871"/>
      <c r="I531" s="871"/>
      <c r="J531" s="871"/>
      <c r="K531" s="872" t="s">
        <v>1341</v>
      </c>
      <c r="L531" s="873"/>
      <c r="M531" s="873"/>
      <c r="N531" s="873"/>
      <c r="O531" s="873">
        <f>+L531+M531-N531</f>
        <v>0</v>
      </c>
      <c r="P531" s="873"/>
      <c r="Q531" s="873"/>
      <c r="R531" s="873"/>
      <c r="S531" s="873"/>
      <c r="T531" s="873"/>
      <c r="U531" s="873"/>
      <c r="V531" s="874"/>
      <c r="W531" s="873"/>
      <c r="X531" s="875"/>
      <c r="Y531" s="875"/>
      <c r="Z531" s="876"/>
    </row>
    <row r="532" spans="1:26" ht="16.5" thickTop="1" thickBot="1" x14ac:dyDescent="0.3">
      <c r="A532" s="869">
        <v>1</v>
      </c>
      <c r="B532" s="870" t="s">
        <v>1335</v>
      </c>
      <c r="C532" s="870" t="s">
        <v>828</v>
      </c>
      <c r="D532" s="870"/>
      <c r="E532" s="870"/>
      <c r="F532" s="870"/>
      <c r="G532" s="870"/>
      <c r="H532" s="871"/>
      <c r="I532" s="871"/>
      <c r="J532" s="871"/>
      <c r="K532" s="872" t="s">
        <v>1342</v>
      </c>
      <c r="L532" s="873"/>
      <c r="M532" s="873"/>
      <c r="N532" s="873"/>
      <c r="O532" s="873">
        <f>+L532+M532-N532</f>
        <v>0</v>
      </c>
      <c r="P532" s="873"/>
      <c r="Q532" s="873"/>
      <c r="R532" s="873"/>
      <c r="S532" s="873"/>
      <c r="T532" s="873"/>
      <c r="U532" s="873"/>
      <c r="V532" s="874"/>
      <c r="W532" s="873"/>
      <c r="X532" s="875"/>
      <c r="Y532" s="875"/>
      <c r="Z532" s="876"/>
    </row>
    <row r="533" spans="1:26" ht="15.75" thickTop="1" x14ac:dyDescent="0.25"/>
  </sheetData>
  <mergeCells count="15">
    <mergeCell ref="X4:X5"/>
    <mergeCell ref="Y4:Y5"/>
    <mergeCell ref="A1:W1"/>
    <mergeCell ref="A2:W2"/>
    <mergeCell ref="A3:W3"/>
    <mergeCell ref="A4:I4"/>
    <mergeCell ref="K4:K5"/>
    <mergeCell ref="L4:L5"/>
    <mergeCell ref="M4:N4"/>
    <mergeCell ref="O4:O5"/>
    <mergeCell ref="P4:S4"/>
    <mergeCell ref="T4:T5"/>
    <mergeCell ref="U4:U5"/>
    <mergeCell ref="V4:V5"/>
    <mergeCell ref="W4:W5"/>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1027"/>
  <sheetViews>
    <sheetView topLeftCell="A205" workbookViewId="0">
      <selection activeCell="B211" sqref="B211"/>
    </sheetView>
  </sheetViews>
  <sheetFormatPr baseColWidth="10" defaultColWidth="8.85546875" defaultRowHeight="16.5" x14ac:dyDescent="0.25"/>
  <cols>
    <col min="1" max="1" width="69.42578125" style="975" customWidth="1"/>
    <col min="2" max="2" width="31" style="975" customWidth="1"/>
    <col min="3" max="6" width="28.140625" style="975" customWidth="1"/>
    <col min="7" max="10" width="26.28515625" style="975" customWidth="1"/>
    <col min="11" max="14" width="28.28515625" style="975" customWidth="1"/>
    <col min="15" max="15" width="23.85546875" style="975" customWidth="1"/>
    <col min="16" max="17" width="30.5703125" style="975" customWidth="1"/>
    <col min="18" max="18" width="25.7109375" style="975" customWidth="1"/>
    <col min="19" max="22" width="29.28515625" style="975" customWidth="1"/>
    <col min="23" max="30" width="27.140625" style="975" customWidth="1"/>
    <col min="31" max="42" width="24.85546875" style="975" customWidth="1"/>
    <col min="43" max="46" width="23.42578125" style="975" customWidth="1"/>
    <col min="47" max="50" width="26.5703125" style="975" customWidth="1"/>
    <col min="51" max="54" width="24.28515625" style="975" customWidth="1"/>
    <col min="55" max="58" width="28.28515625" style="975" customWidth="1"/>
    <col min="59" max="62" width="24" style="975" customWidth="1"/>
    <col min="63" max="63" width="33" style="975" customWidth="1"/>
    <col min="64" max="66" width="24" style="975" customWidth="1"/>
    <col min="67" max="67" width="34" style="975" customWidth="1"/>
    <col min="68" max="68" width="28" style="975" customWidth="1"/>
    <col min="69" max="78" width="24" style="975" customWidth="1"/>
    <col min="79" max="79" width="27.7109375" style="975" customWidth="1"/>
    <col min="80" max="80" width="25.7109375" style="975" customWidth="1"/>
    <col min="81" max="81" width="25.28515625" style="975" customWidth="1"/>
    <col min="82" max="82" width="23.7109375" style="975" customWidth="1"/>
    <col min="83" max="83" width="26.42578125" style="1079" customWidth="1"/>
    <col min="84" max="85" width="26.42578125" style="975" customWidth="1"/>
    <col min="86" max="86" width="23.140625" style="975" customWidth="1"/>
    <col min="87" max="87" width="20" style="975" customWidth="1"/>
    <col min="88" max="88" width="8.85546875" style="976"/>
    <col min="89" max="89" width="57.5703125" style="976" customWidth="1"/>
    <col min="90" max="90" width="24.7109375" style="638" customWidth="1"/>
    <col min="91" max="91" width="29.5703125" style="638" customWidth="1"/>
    <col min="92" max="92" width="24.7109375" style="975" customWidth="1"/>
    <col min="93" max="304" width="8.85546875" style="975"/>
    <col min="305" max="305" width="69.42578125" style="975" customWidth="1"/>
    <col min="306" max="306" width="29.140625" style="975" customWidth="1"/>
    <col min="307" max="307" width="28.140625" style="975" customWidth="1"/>
    <col min="308" max="308" width="31.42578125" style="975" customWidth="1"/>
    <col min="309" max="309" width="26.42578125" style="975" customWidth="1"/>
    <col min="310" max="310" width="28.85546875" style="975" customWidth="1"/>
    <col min="311" max="311" width="23.5703125" style="975" customWidth="1"/>
    <col min="312" max="312" width="27.140625" style="975" bestFit="1" customWidth="1"/>
    <col min="313" max="313" width="24.85546875" style="975" bestFit="1" customWidth="1"/>
    <col min="314" max="314" width="23.42578125" style="975" bestFit="1" customWidth="1"/>
    <col min="315" max="315" width="26.5703125" style="975" customWidth="1"/>
    <col min="316" max="316" width="24.28515625" style="975" customWidth="1"/>
    <col min="317" max="317" width="28.28515625" style="975" bestFit="1" customWidth="1"/>
    <col min="318" max="318" width="8.85546875" style="975"/>
    <col min="319" max="319" width="16" style="975" customWidth="1"/>
    <col min="320" max="560" width="8.85546875" style="975"/>
    <col min="561" max="561" width="69.42578125" style="975" customWidth="1"/>
    <col min="562" max="562" width="29.140625" style="975" customWidth="1"/>
    <col min="563" max="563" width="28.140625" style="975" customWidth="1"/>
    <col min="564" max="564" width="31.42578125" style="975" customWidth="1"/>
    <col min="565" max="565" width="26.42578125" style="975" customWidth="1"/>
    <col min="566" max="566" width="28.85546875" style="975" customWidth="1"/>
    <col min="567" max="567" width="23.5703125" style="975" customWidth="1"/>
    <col min="568" max="568" width="27.140625" style="975" bestFit="1" customWidth="1"/>
    <col min="569" max="569" width="24.85546875" style="975" bestFit="1" customWidth="1"/>
    <col min="570" max="570" width="23.42578125" style="975" bestFit="1" customWidth="1"/>
    <col min="571" max="571" width="26.5703125" style="975" customWidth="1"/>
    <col min="572" max="572" width="24.28515625" style="975" customWidth="1"/>
    <col min="573" max="573" width="28.28515625" style="975" bestFit="1" customWidth="1"/>
    <col min="574" max="574" width="8.85546875" style="975"/>
    <col min="575" max="575" width="16" style="975" customWidth="1"/>
    <col min="576" max="816" width="8.85546875" style="975"/>
    <col min="817" max="817" width="69.42578125" style="975" customWidth="1"/>
    <col min="818" max="818" width="29.140625" style="975" customWidth="1"/>
    <col min="819" max="819" width="28.140625" style="975" customWidth="1"/>
    <col min="820" max="820" width="31.42578125" style="975" customWidth="1"/>
    <col min="821" max="821" width="26.42578125" style="975" customWidth="1"/>
    <col min="822" max="822" width="28.85546875" style="975" customWidth="1"/>
    <col min="823" max="823" width="23.5703125" style="975" customWidth="1"/>
    <col min="824" max="824" width="27.140625" style="975" bestFit="1" customWidth="1"/>
    <col min="825" max="825" width="24.85546875" style="975" bestFit="1" customWidth="1"/>
    <col min="826" max="826" width="23.42578125" style="975" bestFit="1" customWidth="1"/>
    <col min="827" max="827" width="26.5703125" style="975" customWidth="1"/>
    <col min="828" max="828" width="24.28515625" style="975" customWidth="1"/>
    <col min="829" max="829" width="28.28515625" style="975" bestFit="1" customWidth="1"/>
    <col min="830" max="830" width="8.85546875" style="975"/>
    <col min="831" max="831" width="16" style="975" customWidth="1"/>
    <col min="832" max="1072" width="8.85546875" style="975"/>
    <col min="1073" max="1073" width="69.42578125" style="975" customWidth="1"/>
    <col min="1074" max="1074" width="29.140625" style="975" customWidth="1"/>
    <col min="1075" max="1075" width="28.140625" style="975" customWidth="1"/>
    <col min="1076" max="1076" width="31.42578125" style="975" customWidth="1"/>
    <col min="1077" max="1077" width="26.42578125" style="975" customWidth="1"/>
    <col min="1078" max="1078" width="28.85546875" style="975" customWidth="1"/>
    <col min="1079" max="1079" width="23.5703125" style="975" customWidth="1"/>
    <col min="1080" max="1080" width="27.140625" style="975" bestFit="1" customWidth="1"/>
    <col min="1081" max="1081" width="24.85546875" style="975" bestFit="1" customWidth="1"/>
    <col min="1082" max="1082" width="23.42578125" style="975" bestFit="1" customWidth="1"/>
    <col min="1083" max="1083" width="26.5703125" style="975" customWidth="1"/>
    <col min="1084" max="1084" width="24.28515625" style="975" customWidth="1"/>
    <col min="1085" max="1085" width="28.28515625" style="975" bestFit="1" customWidth="1"/>
    <col min="1086" max="1086" width="8.85546875" style="975"/>
    <col min="1087" max="1087" width="16" style="975" customWidth="1"/>
    <col min="1088" max="1328" width="8.85546875" style="975"/>
    <col min="1329" max="1329" width="69.42578125" style="975" customWidth="1"/>
    <col min="1330" max="1330" width="29.140625" style="975" customWidth="1"/>
    <col min="1331" max="1331" width="28.140625" style="975" customWidth="1"/>
    <col min="1332" max="1332" width="31.42578125" style="975" customWidth="1"/>
    <col min="1333" max="1333" width="26.42578125" style="975" customWidth="1"/>
    <col min="1334" max="1334" width="28.85546875" style="975" customWidth="1"/>
    <col min="1335" max="1335" width="23.5703125" style="975" customWidth="1"/>
    <col min="1336" max="1336" width="27.140625" style="975" bestFit="1" customWidth="1"/>
    <col min="1337" max="1337" width="24.85546875" style="975" bestFit="1" customWidth="1"/>
    <col min="1338" max="1338" width="23.42578125" style="975" bestFit="1" customWidth="1"/>
    <col min="1339" max="1339" width="26.5703125" style="975" customWidth="1"/>
    <col min="1340" max="1340" width="24.28515625" style="975" customWidth="1"/>
    <col min="1341" max="1341" width="28.28515625" style="975" bestFit="1" customWidth="1"/>
    <col min="1342" max="1342" width="8.85546875" style="975"/>
    <col min="1343" max="1343" width="16" style="975" customWidth="1"/>
    <col min="1344" max="1584" width="8.85546875" style="975"/>
    <col min="1585" max="1585" width="69.42578125" style="975" customWidth="1"/>
    <col min="1586" max="1586" width="29.140625" style="975" customWidth="1"/>
    <col min="1587" max="1587" width="28.140625" style="975" customWidth="1"/>
    <col min="1588" max="1588" width="31.42578125" style="975" customWidth="1"/>
    <col min="1589" max="1589" width="26.42578125" style="975" customWidth="1"/>
    <col min="1590" max="1590" width="28.85546875" style="975" customWidth="1"/>
    <col min="1591" max="1591" width="23.5703125" style="975" customWidth="1"/>
    <col min="1592" max="1592" width="27.140625" style="975" bestFit="1" customWidth="1"/>
    <col min="1593" max="1593" width="24.85546875" style="975" bestFit="1" customWidth="1"/>
    <col min="1594" max="1594" width="23.42578125" style="975" bestFit="1" customWidth="1"/>
    <col min="1595" max="1595" width="26.5703125" style="975" customWidth="1"/>
    <col min="1596" max="1596" width="24.28515625" style="975" customWidth="1"/>
    <col min="1597" max="1597" width="28.28515625" style="975" bestFit="1" customWidth="1"/>
    <col min="1598" max="1598" width="8.85546875" style="975"/>
    <col min="1599" max="1599" width="16" style="975" customWidth="1"/>
    <col min="1600" max="1840" width="8.85546875" style="975"/>
    <col min="1841" max="1841" width="69.42578125" style="975" customWidth="1"/>
    <col min="1842" max="1842" width="29.140625" style="975" customWidth="1"/>
    <col min="1843" max="1843" width="28.140625" style="975" customWidth="1"/>
    <col min="1844" max="1844" width="31.42578125" style="975" customWidth="1"/>
    <col min="1845" max="1845" width="26.42578125" style="975" customWidth="1"/>
    <col min="1846" max="1846" width="28.85546875" style="975" customWidth="1"/>
    <col min="1847" max="1847" width="23.5703125" style="975" customWidth="1"/>
    <col min="1848" max="1848" width="27.140625" style="975" bestFit="1" customWidth="1"/>
    <col min="1849" max="1849" width="24.85546875" style="975" bestFit="1" customWidth="1"/>
    <col min="1850" max="1850" width="23.42578125" style="975" bestFit="1" customWidth="1"/>
    <col min="1851" max="1851" width="26.5703125" style="975" customWidth="1"/>
    <col min="1852" max="1852" width="24.28515625" style="975" customWidth="1"/>
    <col min="1853" max="1853" width="28.28515625" style="975" bestFit="1" customWidth="1"/>
    <col min="1854" max="1854" width="8.85546875" style="975"/>
    <col min="1855" max="1855" width="16" style="975" customWidth="1"/>
    <col min="1856" max="2096" width="8.85546875" style="975"/>
    <col min="2097" max="2097" width="69.42578125" style="975" customWidth="1"/>
    <col min="2098" max="2098" width="29.140625" style="975" customWidth="1"/>
    <col min="2099" max="2099" width="28.140625" style="975" customWidth="1"/>
    <col min="2100" max="2100" width="31.42578125" style="975" customWidth="1"/>
    <col min="2101" max="2101" width="26.42578125" style="975" customWidth="1"/>
    <col min="2102" max="2102" width="28.85546875" style="975" customWidth="1"/>
    <col min="2103" max="2103" width="23.5703125" style="975" customWidth="1"/>
    <col min="2104" max="2104" width="27.140625" style="975" bestFit="1" customWidth="1"/>
    <col min="2105" max="2105" width="24.85546875" style="975" bestFit="1" customWidth="1"/>
    <col min="2106" max="2106" width="23.42578125" style="975" bestFit="1" customWidth="1"/>
    <col min="2107" max="2107" width="26.5703125" style="975" customWidth="1"/>
    <col min="2108" max="2108" width="24.28515625" style="975" customWidth="1"/>
    <col min="2109" max="2109" width="28.28515625" style="975" bestFit="1" customWidth="1"/>
    <col min="2110" max="2110" width="8.85546875" style="975"/>
    <col min="2111" max="2111" width="16" style="975" customWidth="1"/>
    <col min="2112" max="2352" width="8.85546875" style="975"/>
    <col min="2353" max="2353" width="69.42578125" style="975" customWidth="1"/>
    <col min="2354" max="2354" width="29.140625" style="975" customWidth="1"/>
    <col min="2355" max="2355" width="28.140625" style="975" customWidth="1"/>
    <col min="2356" max="2356" width="31.42578125" style="975" customWidth="1"/>
    <col min="2357" max="2357" width="26.42578125" style="975" customWidth="1"/>
    <col min="2358" max="2358" width="28.85546875" style="975" customWidth="1"/>
    <col min="2359" max="2359" width="23.5703125" style="975" customWidth="1"/>
    <col min="2360" max="2360" width="27.140625" style="975" bestFit="1" customWidth="1"/>
    <col min="2361" max="2361" width="24.85546875" style="975" bestFit="1" customWidth="1"/>
    <col min="2362" max="2362" width="23.42578125" style="975" bestFit="1" customWidth="1"/>
    <col min="2363" max="2363" width="26.5703125" style="975" customWidth="1"/>
    <col min="2364" max="2364" width="24.28515625" style="975" customWidth="1"/>
    <col min="2365" max="2365" width="28.28515625" style="975" bestFit="1" customWidth="1"/>
    <col min="2366" max="2366" width="8.85546875" style="975"/>
    <col min="2367" max="2367" width="16" style="975" customWidth="1"/>
    <col min="2368" max="2608" width="8.85546875" style="975"/>
    <col min="2609" max="2609" width="69.42578125" style="975" customWidth="1"/>
    <col min="2610" max="2610" width="29.140625" style="975" customWidth="1"/>
    <col min="2611" max="2611" width="28.140625" style="975" customWidth="1"/>
    <col min="2612" max="2612" width="31.42578125" style="975" customWidth="1"/>
    <col min="2613" max="2613" width="26.42578125" style="975" customWidth="1"/>
    <col min="2614" max="2614" width="28.85546875" style="975" customWidth="1"/>
    <col min="2615" max="2615" width="23.5703125" style="975" customWidth="1"/>
    <col min="2616" max="2616" width="27.140625" style="975" bestFit="1" customWidth="1"/>
    <col min="2617" max="2617" width="24.85546875" style="975" bestFit="1" customWidth="1"/>
    <col min="2618" max="2618" width="23.42578125" style="975" bestFit="1" customWidth="1"/>
    <col min="2619" max="2619" width="26.5703125" style="975" customWidth="1"/>
    <col min="2620" max="2620" width="24.28515625" style="975" customWidth="1"/>
    <col min="2621" max="2621" width="28.28515625" style="975" bestFit="1" customWidth="1"/>
    <col min="2622" max="2622" width="8.85546875" style="975"/>
    <col min="2623" max="2623" width="16" style="975" customWidth="1"/>
    <col min="2624" max="2864" width="8.85546875" style="975"/>
    <col min="2865" max="2865" width="69.42578125" style="975" customWidth="1"/>
    <col min="2866" max="2866" width="29.140625" style="975" customWidth="1"/>
    <col min="2867" max="2867" width="28.140625" style="975" customWidth="1"/>
    <col min="2868" max="2868" width="31.42578125" style="975" customWidth="1"/>
    <col min="2869" max="2869" width="26.42578125" style="975" customWidth="1"/>
    <col min="2870" max="2870" width="28.85546875" style="975" customWidth="1"/>
    <col min="2871" max="2871" width="23.5703125" style="975" customWidth="1"/>
    <col min="2872" max="2872" width="27.140625" style="975" bestFit="1" customWidth="1"/>
    <col min="2873" max="2873" width="24.85546875" style="975" bestFit="1" customWidth="1"/>
    <col min="2874" max="2874" width="23.42578125" style="975" bestFit="1" customWidth="1"/>
    <col min="2875" max="2875" width="26.5703125" style="975" customWidth="1"/>
    <col min="2876" max="2876" width="24.28515625" style="975" customWidth="1"/>
    <col min="2877" max="2877" width="28.28515625" style="975" bestFit="1" customWidth="1"/>
    <col min="2878" max="2878" width="8.85546875" style="975"/>
    <col min="2879" max="2879" width="16" style="975" customWidth="1"/>
    <col min="2880" max="3120" width="8.85546875" style="975"/>
    <col min="3121" max="3121" width="69.42578125" style="975" customWidth="1"/>
    <col min="3122" max="3122" width="29.140625" style="975" customWidth="1"/>
    <col min="3123" max="3123" width="28.140625" style="975" customWidth="1"/>
    <col min="3124" max="3124" width="31.42578125" style="975" customWidth="1"/>
    <col min="3125" max="3125" width="26.42578125" style="975" customWidth="1"/>
    <col min="3126" max="3126" width="28.85546875" style="975" customWidth="1"/>
    <col min="3127" max="3127" width="23.5703125" style="975" customWidth="1"/>
    <col min="3128" max="3128" width="27.140625" style="975" bestFit="1" customWidth="1"/>
    <col min="3129" max="3129" width="24.85546875" style="975" bestFit="1" customWidth="1"/>
    <col min="3130" max="3130" width="23.42578125" style="975" bestFit="1" customWidth="1"/>
    <col min="3131" max="3131" width="26.5703125" style="975" customWidth="1"/>
    <col min="3132" max="3132" width="24.28515625" style="975" customWidth="1"/>
    <col min="3133" max="3133" width="28.28515625" style="975" bestFit="1" customWidth="1"/>
    <col min="3134" max="3134" width="8.85546875" style="975"/>
    <col min="3135" max="3135" width="16" style="975" customWidth="1"/>
    <col min="3136" max="3376" width="8.85546875" style="975"/>
    <col min="3377" max="3377" width="69.42578125" style="975" customWidth="1"/>
    <col min="3378" max="3378" width="29.140625" style="975" customWidth="1"/>
    <col min="3379" max="3379" width="28.140625" style="975" customWidth="1"/>
    <col min="3380" max="3380" width="31.42578125" style="975" customWidth="1"/>
    <col min="3381" max="3381" width="26.42578125" style="975" customWidth="1"/>
    <col min="3382" max="3382" width="28.85546875" style="975" customWidth="1"/>
    <col min="3383" max="3383" width="23.5703125" style="975" customWidth="1"/>
    <col min="3384" max="3384" width="27.140625" style="975" bestFit="1" customWidth="1"/>
    <col min="3385" max="3385" width="24.85546875" style="975" bestFit="1" customWidth="1"/>
    <col min="3386" max="3386" width="23.42578125" style="975" bestFit="1" customWidth="1"/>
    <col min="3387" max="3387" width="26.5703125" style="975" customWidth="1"/>
    <col min="3388" max="3388" width="24.28515625" style="975" customWidth="1"/>
    <col min="3389" max="3389" width="28.28515625" style="975" bestFit="1" customWidth="1"/>
    <col min="3390" max="3390" width="8.85546875" style="975"/>
    <col min="3391" max="3391" width="16" style="975" customWidth="1"/>
    <col min="3392" max="3632" width="8.85546875" style="975"/>
    <col min="3633" max="3633" width="69.42578125" style="975" customWidth="1"/>
    <col min="3634" max="3634" width="29.140625" style="975" customWidth="1"/>
    <col min="3635" max="3635" width="28.140625" style="975" customWidth="1"/>
    <col min="3636" max="3636" width="31.42578125" style="975" customWidth="1"/>
    <col min="3637" max="3637" width="26.42578125" style="975" customWidth="1"/>
    <col min="3638" max="3638" width="28.85546875" style="975" customWidth="1"/>
    <col min="3639" max="3639" width="23.5703125" style="975" customWidth="1"/>
    <col min="3640" max="3640" width="27.140625" style="975" bestFit="1" customWidth="1"/>
    <col min="3641" max="3641" width="24.85546875" style="975" bestFit="1" customWidth="1"/>
    <col min="3642" max="3642" width="23.42578125" style="975" bestFit="1" customWidth="1"/>
    <col min="3643" max="3643" width="26.5703125" style="975" customWidth="1"/>
    <col min="3644" max="3644" width="24.28515625" style="975" customWidth="1"/>
    <col min="3645" max="3645" width="28.28515625" style="975" bestFit="1" customWidth="1"/>
    <col min="3646" max="3646" width="8.85546875" style="975"/>
    <col min="3647" max="3647" width="16" style="975" customWidth="1"/>
    <col min="3648" max="3888" width="8.85546875" style="975"/>
    <col min="3889" max="3889" width="69.42578125" style="975" customWidth="1"/>
    <col min="3890" max="3890" width="29.140625" style="975" customWidth="1"/>
    <col min="3891" max="3891" width="28.140625" style="975" customWidth="1"/>
    <col min="3892" max="3892" width="31.42578125" style="975" customWidth="1"/>
    <col min="3893" max="3893" width="26.42578125" style="975" customWidth="1"/>
    <col min="3894" max="3894" width="28.85546875" style="975" customWidth="1"/>
    <col min="3895" max="3895" width="23.5703125" style="975" customWidth="1"/>
    <col min="3896" max="3896" width="27.140625" style="975" bestFit="1" customWidth="1"/>
    <col min="3897" max="3897" width="24.85546875" style="975" bestFit="1" customWidth="1"/>
    <col min="3898" max="3898" width="23.42578125" style="975" bestFit="1" customWidth="1"/>
    <col min="3899" max="3899" width="26.5703125" style="975" customWidth="1"/>
    <col min="3900" max="3900" width="24.28515625" style="975" customWidth="1"/>
    <col min="3901" max="3901" width="28.28515625" style="975" bestFit="1" customWidth="1"/>
    <col min="3902" max="3902" width="8.85546875" style="975"/>
    <col min="3903" max="3903" width="16" style="975" customWidth="1"/>
    <col min="3904" max="4144" width="8.85546875" style="975"/>
    <col min="4145" max="4145" width="69.42578125" style="975" customWidth="1"/>
    <col min="4146" max="4146" width="29.140625" style="975" customWidth="1"/>
    <col min="4147" max="4147" width="28.140625" style="975" customWidth="1"/>
    <col min="4148" max="4148" width="31.42578125" style="975" customWidth="1"/>
    <col min="4149" max="4149" width="26.42578125" style="975" customWidth="1"/>
    <col min="4150" max="4150" width="28.85546875" style="975" customWidth="1"/>
    <col min="4151" max="4151" width="23.5703125" style="975" customWidth="1"/>
    <col min="4152" max="4152" width="27.140625" style="975" bestFit="1" customWidth="1"/>
    <col min="4153" max="4153" width="24.85546875" style="975" bestFit="1" customWidth="1"/>
    <col min="4154" max="4154" width="23.42578125" style="975" bestFit="1" customWidth="1"/>
    <col min="4155" max="4155" width="26.5703125" style="975" customWidth="1"/>
    <col min="4156" max="4156" width="24.28515625" style="975" customWidth="1"/>
    <col min="4157" max="4157" width="28.28515625" style="975" bestFit="1" customWidth="1"/>
    <col min="4158" max="4158" width="8.85546875" style="975"/>
    <col min="4159" max="4159" width="16" style="975" customWidth="1"/>
    <col min="4160" max="4400" width="8.85546875" style="975"/>
    <col min="4401" max="4401" width="69.42578125" style="975" customWidth="1"/>
    <col min="4402" max="4402" width="29.140625" style="975" customWidth="1"/>
    <col min="4403" max="4403" width="28.140625" style="975" customWidth="1"/>
    <col min="4404" max="4404" width="31.42578125" style="975" customWidth="1"/>
    <col min="4405" max="4405" width="26.42578125" style="975" customWidth="1"/>
    <col min="4406" max="4406" width="28.85546875" style="975" customWidth="1"/>
    <col min="4407" max="4407" width="23.5703125" style="975" customWidth="1"/>
    <col min="4408" max="4408" width="27.140625" style="975" bestFit="1" customWidth="1"/>
    <col min="4409" max="4409" width="24.85546875" style="975" bestFit="1" customWidth="1"/>
    <col min="4410" max="4410" width="23.42578125" style="975" bestFit="1" customWidth="1"/>
    <col min="4411" max="4411" width="26.5703125" style="975" customWidth="1"/>
    <col min="4412" max="4412" width="24.28515625" style="975" customWidth="1"/>
    <col min="4413" max="4413" width="28.28515625" style="975" bestFit="1" customWidth="1"/>
    <col min="4414" max="4414" width="8.85546875" style="975"/>
    <col min="4415" max="4415" width="16" style="975" customWidth="1"/>
    <col min="4416" max="4656" width="8.85546875" style="975"/>
    <col min="4657" max="4657" width="69.42578125" style="975" customWidth="1"/>
    <col min="4658" max="4658" width="29.140625" style="975" customWidth="1"/>
    <col min="4659" max="4659" width="28.140625" style="975" customWidth="1"/>
    <col min="4660" max="4660" width="31.42578125" style="975" customWidth="1"/>
    <col min="4661" max="4661" width="26.42578125" style="975" customWidth="1"/>
    <col min="4662" max="4662" width="28.85546875" style="975" customWidth="1"/>
    <col min="4663" max="4663" width="23.5703125" style="975" customWidth="1"/>
    <col min="4664" max="4664" width="27.140625" style="975" bestFit="1" customWidth="1"/>
    <col min="4665" max="4665" width="24.85546875" style="975" bestFit="1" customWidth="1"/>
    <col min="4666" max="4666" width="23.42578125" style="975" bestFit="1" customWidth="1"/>
    <col min="4667" max="4667" width="26.5703125" style="975" customWidth="1"/>
    <col min="4668" max="4668" width="24.28515625" style="975" customWidth="1"/>
    <col min="4669" max="4669" width="28.28515625" style="975" bestFit="1" customWidth="1"/>
    <col min="4670" max="4670" width="8.85546875" style="975"/>
    <col min="4671" max="4671" width="16" style="975" customWidth="1"/>
    <col min="4672" max="4912" width="8.85546875" style="975"/>
    <col min="4913" max="4913" width="69.42578125" style="975" customWidth="1"/>
    <col min="4914" max="4914" width="29.140625" style="975" customWidth="1"/>
    <col min="4915" max="4915" width="28.140625" style="975" customWidth="1"/>
    <col min="4916" max="4916" width="31.42578125" style="975" customWidth="1"/>
    <col min="4917" max="4917" width="26.42578125" style="975" customWidth="1"/>
    <col min="4918" max="4918" width="28.85546875" style="975" customWidth="1"/>
    <col min="4919" max="4919" width="23.5703125" style="975" customWidth="1"/>
    <col min="4920" max="4920" width="27.140625" style="975" bestFit="1" customWidth="1"/>
    <col min="4921" max="4921" width="24.85546875" style="975" bestFit="1" customWidth="1"/>
    <col min="4922" max="4922" width="23.42578125" style="975" bestFit="1" customWidth="1"/>
    <col min="4923" max="4923" width="26.5703125" style="975" customWidth="1"/>
    <col min="4924" max="4924" width="24.28515625" style="975" customWidth="1"/>
    <col min="4925" max="4925" width="28.28515625" style="975" bestFit="1" customWidth="1"/>
    <col min="4926" max="4926" width="8.85546875" style="975"/>
    <col min="4927" max="4927" width="16" style="975" customWidth="1"/>
    <col min="4928" max="5168" width="8.85546875" style="975"/>
    <col min="5169" max="5169" width="69.42578125" style="975" customWidth="1"/>
    <col min="5170" max="5170" width="29.140625" style="975" customWidth="1"/>
    <col min="5171" max="5171" width="28.140625" style="975" customWidth="1"/>
    <col min="5172" max="5172" width="31.42578125" style="975" customWidth="1"/>
    <col min="5173" max="5173" width="26.42578125" style="975" customWidth="1"/>
    <col min="5174" max="5174" width="28.85546875" style="975" customWidth="1"/>
    <col min="5175" max="5175" width="23.5703125" style="975" customWidth="1"/>
    <col min="5176" max="5176" width="27.140625" style="975" bestFit="1" customWidth="1"/>
    <col min="5177" max="5177" width="24.85546875" style="975" bestFit="1" customWidth="1"/>
    <col min="5178" max="5178" width="23.42578125" style="975" bestFit="1" customWidth="1"/>
    <col min="5179" max="5179" width="26.5703125" style="975" customWidth="1"/>
    <col min="5180" max="5180" width="24.28515625" style="975" customWidth="1"/>
    <col min="5181" max="5181" width="28.28515625" style="975" bestFit="1" customWidth="1"/>
    <col min="5182" max="5182" width="8.85546875" style="975"/>
    <col min="5183" max="5183" width="16" style="975" customWidth="1"/>
    <col min="5184" max="5424" width="8.85546875" style="975"/>
    <col min="5425" max="5425" width="69.42578125" style="975" customWidth="1"/>
    <col min="5426" max="5426" width="29.140625" style="975" customWidth="1"/>
    <col min="5427" max="5427" width="28.140625" style="975" customWidth="1"/>
    <col min="5428" max="5428" width="31.42578125" style="975" customWidth="1"/>
    <col min="5429" max="5429" width="26.42578125" style="975" customWidth="1"/>
    <col min="5430" max="5430" width="28.85546875" style="975" customWidth="1"/>
    <col min="5431" max="5431" width="23.5703125" style="975" customWidth="1"/>
    <col min="5432" max="5432" width="27.140625" style="975" bestFit="1" customWidth="1"/>
    <col min="5433" max="5433" width="24.85546875" style="975" bestFit="1" customWidth="1"/>
    <col min="5434" max="5434" width="23.42578125" style="975" bestFit="1" customWidth="1"/>
    <col min="5435" max="5435" width="26.5703125" style="975" customWidth="1"/>
    <col min="5436" max="5436" width="24.28515625" style="975" customWidth="1"/>
    <col min="5437" max="5437" width="28.28515625" style="975" bestFit="1" customWidth="1"/>
    <col min="5438" max="5438" width="8.85546875" style="975"/>
    <col min="5439" max="5439" width="16" style="975" customWidth="1"/>
    <col min="5440" max="5680" width="8.85546875" style="975"/>
    <col min="5681" max="5681" width="69.42578125" style="975" customWidth="1"/>
    <col min="5682" max="5682" width="29.140625" style="975" customWidth="1"/>
    <col min="5683" max="5683" width="28.140625" style="975" customWidth="1"/>
    <col min="5684" max="5684" width="31.42578125" style="975" customWidth="1"/>
    <col min="5685" max="5685" width="26.42578125" style="975" customWidth="1"/>
    <col min="5686" max="5686" width="28.85546875" style="975" customWidth="1"/>
    <col min="5687" max="5687" width="23.5703125" style="975" customWidth="1"/>
    <col min="5688" max="5688" width="27.140625" style="975" bestFit="1" customWidth="1"/>
    <col min="5689" max="5689" width="24.85546875" style="975" bestFit="1" customWidth="1"/>
    <col min="5690" max="5690" width="23.42578125" style="975" bestFit="1" customWidth="1"/>
    <col min="5691" max="5691" width="26.5703125" style="975" customWidth="1"/>
    <col min="5692" max="5692" width="24.28515625" style="975" customWidth="1"/>
    <col min="5693" max="5693" width="28.28515625" style="975" bestFit="1" customWidth="1"/>
    <col min="5694" max="5694" width="8.85546875" style="975"/>
    <col min="5695" max="5695" width="16" style="975" customWidth="1"/>
    <col min="5696" max="5936" width="8.85546875" style="975"/>
    <col min="5937" max="5937" width="69.42578125" style="975" customWidth="1"/>
    <col min="5938" max="5938" width="29.140625" style="975" customWidth="1"/>
    <col min="5939" max="5939" width="28.140625" style="975" customWidth="1"/>
    <col min="5940" max="5940" width="31.42578125" style="975" customWidth="1"/>
    <col min="5941" max="5941" width="26.42578125" style="975" customWidth="1"/>
    <col min="5942" max="5942" width="28.85546875" style="975" customWidth="1"/>
    <col min="5943" max="5943" width="23.5703125" style="975" customWidth="1"/>
    <col min="5944" max="5944" width="27.140625" style="975" bestFit="1" customWidth="1"/>
    <col min="5945" max="5945" width="24.85546875" style="975" bestFit="1" customWidth="1"/>
    <col min="5946" max="5946" width="23.42578125" style="975" bestFit="1" customWidth="1"/>
    <col min="5947" max="5947" width="26.5703125" style="975" customWidth="1"/>
    <col min="5948" max="5948" width="24.28515625" style="975" customWidth="1"/>
    <col min="5949" max="5949" width="28.28515625" style="975" bestFit="1" customWidth="1"/>
    <col min="5950" max="5950" width="8.85546875" style="975"/>
    <col min="5951" max="5951" width="16" style="975" customWidth="1"/>
    <col min="5952" max="6192" width="8.85546875" style="975"/>
    <col min="6193" max="6193" width="69.42578125" style="975" customWidth="1"/>
    <col min="6194" max="6194" width="29.140625" style="975" customWidth="1"/>
    <col min="6195" max="6195" width="28.140625" style="975" customWidth="1"/>
    <col min="6196" max="6196" width="31.42578125" style="975" customWidth="1"/>
    <col min="6197" max="6197" width="26.42578125" style="975" customWidth="1"/>
    <col min="6198" max="6198" width="28.85546875" style="975" customWidth="1"/>
    <col min="6199" max="6199" width="23.5703125" style="975" customWidth="1"/>
    <col min="6200" max="6200" width="27.140625" style="975" bestFit="1" customWidth="1"/>
    <col min="6201" max="6201" width="24.85546875" style="975" bestFit="1" customWidth="1"/>
    <col min="6202" max="6202" width="23.42578125" style="975" bestFit="1" customWidth="1"/>
    <col min="6203" max="6203" width="26.5703125" style="975" customWidth="1"/>
    <col min="6204" max="6204" width="24.28515625" style="975" customWidth="1"/>
    <col min="6205" max="6205" width="28.28515625" style="975" bestFit="1" customWidth="1"/>
    <col min="6206" max="6206" width="8.85546875" style="975"/>
    <col min="6207" max="6207" width="16" style="975" customWidth="1"/>
    <col min="6208" max="6448" width="8.85546875" style="975"/>
    <col min="6449" max="6449" width="69.42578125" style="975" customWidth="1"/>
    <col min="6450" max="6450" width="29.140625" style="975" customWidth="1"/>
    <col min="6451" max="6451" width="28.140625" style="975" customWidth="1"/>
    <col min="6452" max="6452" width="31.42578125" style="975" customWidth="1"/>
    <col min="6453" max="6453" width="26.42578125" style="975" customWidth="1"/>
    <col min="6454" max="6454" width="28.85546875" style="975" customWidth="1"/>
    <col min="6455" max="6455" width="23.5703125" style="975" customWidth="1"/>
    <col min="6456" max="6456" width="27.140625" style="975" bestFit="1" customWidth="1"/>
    <col min="6457" max="6457" width="24.85546875" style="975" bestFit="1" customWidth="1"/>
    <col min="6458" max="6458" width="23.42578125" style="975" bestFit="1" customWidth="1"/>
    <col min="6459" max="6459" width="26.5703125" style="975" customWidth="1"/>
    <col min="6460" max="6460" width="24.28515625" style="975" customWidth="1"/>
    <col min="6461" max="6461" width="28.28515625" style="975" bestFit="1" customWidth="1"/>
    <col min="6462" max="6462" width="8.85546875" style="975"/>
    <col min="6463" max="6463" width="16" style="975" customWidth="1"/>
    <col min="6464" max="6704" width="8.85546875" style="975"/>
    <col min="6705" max="6705" width="69.42578125" style="975" customWidth="1"/>
    <col min="6706" max="6706" width="29.140625" style="975" customWidth="1"/>
    <col min="6707" max="6707" width="28.140625" style="975" customWidth="1"/>
    <col min="6708" max="6708" width="31.42578125" style="975" customWidth="1"/>
    <col min="6709" max="6709" width="26.42578125" style="975" customWidth="1"/>
    <col min="6710" max="6710" width="28.85546875" style="975" customWidth="1"/>
    <col min="6711" max="6711" width="23.5703125" style="975" customWidth="1"/>
    <col min="6712" max="6712" width="27.140625" style="975" bestFit="1" customWidth="1"/>
    <col min="6713" max="6713" width="24.85546875" style="975" bestFit="1" customWidth="1"/>
    <col min="6714" max="6714" width="23.42578125" style="975" bestFit="1" customWidth="1"/>
    <col min="6715" max="6715" width="26.5703125" style="975" customWidth="1"/>
    <col min="6716" max="6716" width="24.28515625" style="975" customWidth="1"/>
    <col min="6717" max="6717" width="28.28515625" style="975" bestFit="1" customWidth="1"/>
    <col min="6718" max="6718" width="8.85546875" style="975"/>
    <col min="6719" max="6719" width="16" style="975" customWidth="1"/>
    <col min="6720" max="6960" width="8.85546875" style="975"/>
    <col min="6961" max="6961" width="69.42578125" style="975" customWidth="1"/>
    <col min="6962" max="6962" width="29.140625" style="975" customWidth="1"/>
    <col min="6963" max="6963" width="28.140625" style="975" customWidth="1"/>
    <col min="6964" max="6964" width="31.42578125" style="975" customWidth="1"/>
    <col min="6965" max="6965" width="26.42578125" style="975" customWidth="1"/>
    <col min="6966" max="6966" width="28.85546875" style="975" customWidth="1"/>
    <col min="6967" max="6967" width="23.5703125" style="975" customWidth="1"/>
    <col min="6968" max="6968" width="27.140625" style="975" bestFit="1" customWidth="1"/>
    <col min="6969" max="6969" width="24.85546875" style="975" bestFit="1" customWidth="1"/>
    <col min="6970" max="6970" width="23.42578125" style="975" bestFit="1" customWidth="1"/>
    <col min="6971" max="6971" width="26.5703125" style="975" customWidth="1"/>
    <col min="6972" max="6972" width="24.28515625" style="975" customWidth="1"/>
    <col min="6973" max="6973" width="28.28515625" style="975" bestFit="1" customWidth="1"/>
    <col min="6974" max="6974" width="8.85546875" style="975"/>
    <col min="6975" max="6975" width="16" style="975" customWidth="1"/>
    <col min="6976" max="7216" width="8.85546875" style="975"/>
    <col min="7217" max="7217" width="69.42578125" style="975" customWidth="1"/>
    <col min="7218" max="7218" width="29.140625" style="975" customWidth="1"/>
    <col min="7219" max="7219" width="28.140625" style="975" customWidth="1"/>
    <col min="7220" max="7220" width="31.42578125" style="975" customWidth="1"/>
    <col min="7221" max="7221" width="26.42578125" style="975" customWidth="1"/>
    <col min="7222" max="7222" width="28.85546875" style="975" customWidth="1"/>
    <col min="7223" max="7223" width="23.5703125" style="975" customWidth="1"/>
    <col min="7224" max="7224" width="27.140625" style="975" bestFit="1" customWidth="1"/>
    <col min="7225" max="7225" width="24.85546875" style="975" bestFit="1" customWidth="1"/>
    <col min="7226" max="7226" width="23.42578125" style="975" bestFit="1" customWidth="1"/>
    <col min="7227" max="7227" width="26.5703125" style="975" customWidth="1"/>
    <col min="7228" max="7228" width="24.28515625" style="975" customWidth="1"/>
    <col min="7229" max="7229" width="28.28515625" style="975" bestFit="1" customWidth="1"/>
    <col min="7230" max="7230" width="8.85546875" style="975"/>
    <col min="7231" max="7231" width="16" style="975" customWidth="1"/>
    <col min="7232" max="7472" width="8.85546875" style="975"/>
    <col min="7473" max="7473" width="69.42578125" style="975" customWidth="1"/>
    <col min="7474" max="7474" width="29.140625" style="975" customWidth="1"/>
    <col min="7475" max="7475" width="28.140625" style="975" customWidth="1"/>
    <col min="7476" max="7476" width="31.42578125" style="975" customWidth="1"/>
    <col min="7477" max="7477" width="26.42578125" style="975" customWidth="1"/>
    <col min="7478" max="7478" width="28.85546875" style="975" customWidth="1"/>
    <col min="7479" max="7479" width="23.5703125" style="975" customWidth="1"/>
    <col min="7480" max="7480" width="27.140625" style="975" bestFit="1" customWidth="1"/>
    <col min="7481" max="7481" width="24.85546875" style="975" bestFit="1" customWidth="1"/>
    <col min="7482" max="7482" width="23.42578125" style="975" bestFit="1" customWidth="1"/>
    <col min="7483" max="7483" width="26.5703125" style="975" customWidth="1"/>
    <col min="7484" max="7484" width="24.28515625" style="975" customWidth="1"/>
    <col min="7485" max="7485" width="28.28515625" style="975" bestFit="1" customWidth="1"/>
    <col min="7486" max="7486" width="8.85546875" style="975"/>
    <col min="7487" max="7487" width="16" style="975" customWidth="1"/>
    <col min="7488" max="7728" width="8.85546875" style="975"/>
    <col min="7729" max="7729" width="69.42578125" style="975" customWidth="1"/>
    <col min="7730" max="7730" width="29.140625" style="975" customWidth="1"/>
    <col min="7731" max="7731" width="28.140625" style="975" customWidth="1"/>
    <col min="7732" max="7732" width="31.42578125" style="975" customWidth="1"/>
    <col min="7733" max="7733" width="26.42578125" style="975" customWidth="1"/>
    <col min="7734" max="7734" width="28.85546875" style="975" customWidth="1"/>
    <col min="7735" max="7735" width="23.5703125" style="975" customWidth="1"/>
    <col min="7736" max="7736" width="27.140625" style="975" bestFit="1" customWidth="1"/>
    <col min="7737" max="7737" width="24.85546875" style="975" bestFit="1" customWidth="1"/>
    <col min="7738" max="7738" width="23.42578125" style="975" bestFit="1" customWidth="1"/>
    <col min="7739" max="7739" width="26.5703125" style="975" customWidth="1"/>
    <col min="7740" max="7740" width="24.28515625" style="975" customWidth="1"/>
    <col min="7741" max="7741" width="28.28515625" style="975" bestFit="1" customWidth="1"/>
    <col min="7742" max="7742" width="8.85546875" style="975"/>
    <col min="7743" max="7743" width="16" style="975" customWidth="1"/>
    <col min="7744" max="7984" width="8.85546875" style="975"/>
    <col min="7985" max="7985" width="69.42578125" style="975" customWidth="1"/>
    <col min="7986" max="7986" width="29.140625" style="975" customWidth="1"/>
    <col min="7987" max="7987" width="28.140625" style="975" customWidth="1"/>
    <col min="7988" max="7988" width="31.42578125" style="975" customWidth="1"/>
    <col min="7989" max="7989" width="26.42578125" style="975" customWidth="1"/>
    <col min="7990" max="7990" width="28.85546875" style="975" customWidth="1"/>
    <col min="7991" max="7991" width="23.5703125" style="975" customWidth="1"/>
    <col min="7992" max="7992" width="27.140625" style="975" bestFit="1" customWidth="1"/>
    <col min="7993" max="7993" width="24.85546875" style="975" bestFit="1" customWidth="1"/>
    <col min="7994" max="7994" width="23.42578125" style="975" bestFit="1" customWidth="1"/>
    <col min="7995" max="7995" width="26.5703125" style="975" customWidth="1"/>
    <col min="7996" max="7996" width="24.28515625" style="975" customWidth="1"/>
    <col min="7997" max="7997" width="28.28515625" style="975" bestFit="1" customWidth="1"/>
    <col min="7998" max="7998" width="8.85546875" style="975"/>
    <col min="7999" max="7999" width="16" style="975" customWidth="1"/>
    <col min="8000" max="8240" width="8.85546875" style="975"/>
    <col min="8241" max="8241" width="69.42578125" style="975" customWidth="1"/>
    <col min="8242" max="8242" width="29.140625" style="975" customWidth="1"/>
    <col min="8243" max="8243" width="28.140625" style="975" customWidth="1"/>
    <col min="8244" max="8244" width="31.42578125" style="975" customWidth="1"/>
    <col min="8245" max="8245" width="26.42578125" style="975" customWidth="1"/>
    <col min="8246" max="8246" width="28.85546875" style="975" customWidth="1"/>
    <col min="8247" max="8247" width="23.5703125" style="975" customWidth="1"/>
    <col min="8248" max="8248" width="27.140625" style="975" bestFit="1" customWidth="1"/>
    <col min="8249" max="8249" width="24.85546875" style="975" bestFit="1" customWidth="1"/>
    <col min="8250" max="8250" width="23.42578125" style="975" bestFit="1" customWidth="1"/>
    <col min="8251" max="8251" width="26.5703125" style="975" customWidth="1"/>
    <col min="8252" max="8252" width="24.28515625" style="975" customWidth="1"/>
    <col min="8253" max="8253" width="28.28515625" style="975" bestFit="1" customWidth="1"/>
    <col min="8254" max="8254" width="8.85546875" style="975"/>
    <col min="8255" max="8255" width="16" style="975" customWidth="1"/>
    <col min="8256" max="8496" width="8.85546875" style="975"/>
    <col min="8497" max="8497" width="69.42578125" style="975" customWidth="1"/>
    <col min="8498" max="8498" width="29.140625" style="975" customWidth="1"/>
    <col min="8499" max="8499" width="28.140625" style="975" customWidth="1"/>
    <col min="8500" max="8500" width="31.42578125" style="975" customWidth="1"/>
    <col min="8501" max="8501" width="26.42578125" style="975" customWidth="1"/>
    <col min="8502" max="8502" width="28.85546875" style="975" customWidth="1"/>
    <col min="8503" max="8503" width="23.5703125" style="975" customWidth="1"/>
    <col min="8504" max="8504" width="27.140625" style="975" bestFit="1" customWidth="1"/>
    <col min="8505" max="8505" width="24.85546875" style="975" bestFit="1" customWidth="1"/>
    <col min="8506" max="8506" width="23.42578125" style="975" bestFit="1" customWidth="1"/>
    <col min="8507" max="8507" width="26.5703125" style="975" customWidth="1"/>
    <col min="8508" max="8508" width="24.28515625" style="975" customWidth="1"/>
    <col min="8509" max="8509" width="28.28515625" style="975" bestFit="1" customWidth="1"/>
    <col min="8510" max="8510" width="8.85546875" style="975"/>
    <col min="8511" max="8511" width="16" style="975" customWidth="1"/>
    <col min="8512" max="8752" width="8.85546875" style="975"/>
    <col min="8753" max="8753" width="69.42578125" style="975" customWidth="1"/>
    <col min="8754" max="8754" width="29.140625" style="975" customWidth="1"/>
    <col min="8755" max="8755" width="28.140625" style="975" customWidth="1"/>
    <col min="8756" max="8756" width="31.42578125" style="975" customWidth="1"/>
    <col min="8757" max="8757" width="26.42578125" style="975" customWidth="1"/>
    <col min="8758" max="8758" width="28.85546875" style="975" customWidth="1"/>
    <col min="8759" max="8759" width="23.5703125" style="975" customWidth="1"/>
    <col min="8760" max="8760" width="27.140625" style="975" bestFit="1" customWidth="1"/>
    <col min="8761" max="8761" width="24.85546875" style="975" bestFit="1" customWidth="1"/>
    <col min="8762" max="8762" width="23.42578125" style="975" bestFit="1" customWidth="1"/>
    <col min="8763" max="8763" width="26.5703125" style="975" customWidth="1"/>
    <col min="8764" max="8764" width="24.28515625" style="975" customWidth="1"/>
    <col min="8765" max="8765" width="28.28515625" style="975" bestFit="1" customWidth="1"/>
    <col min="8766" max="8766" width="8.85546875" style="975"/>
    <col min="8767" max="8767" width="16" style="975" customWidth="1"/>
    <col min="8768" max="9008" width="8.85546875" style="975"/>
    <col min="9009" max="9009" width="69.42578125" style="975" customWidth="1"/>
    <col min="9010" max="9010" width="29.140625" style="975" customWidth="1"/>
    <col min="9011" max="9011" width="28.140625" style="975" customWidth="1"/>
    <col min="9012" max="9012" width="31.42578125" style="975" customWidth="1"/>
    <col min="9013" max="9013" width="26.42578125" style="975" customWidth="1"/>
    <col min="9014" max="9014" width="28.85546875" style="975" customWidth="1"/>
    <col min="9015" max="9015" width="23.5703125" style="975" customWidth="1"/>
    <col min="9016" max="9016" width="27.140625" style="975" bestFit="1" customWidth="1"/>
    <col min="9017" max="9017" width="24.85546875" style="975" bestFit="1" customWidth="1"/>
    <col min="9018" max="9018" width="23.42578125" style="975" bestFit="1" customWidth="1"/>
    <col min="9019" max="9019" width="26.5703125" style="975" customWidth="1"/>
    <col min="9020" max="9020" width="24.28515625" style="975" customWidth="1"/>
    <col min="9021" max="9021" width="28.28515625" style="975" bestFit="1" customWidth="1"/>
    <col min="9022" max="9022" width="8.85546875" style="975"/>
    <col min="9023" max="9023" width="16" style="975" customWidth="1"/>
    <col min="9024" max="9264" width="8.85546875" style="975"/>
    <col min="9265" max="9265" width="69.42578125" style="975" customWidth="1"/>
    <col min="9266" max="9266" width="29.140625" style="975" customWidth="1"/>
    <col min="9267" max="9267" width="28.140625" style="975" customWidth="1"/>
    <col min="9268" max="9268" width="31.42578125" style="975" customWidth="1"/>
    <col min="9269" max="9269" width="26.42578125" style="975" customWidth="1"/>
    <col min="9270" max="9270" width="28.85546875" style="975" customWidth="1"/>
    <col min="9271" max="9271" width="23.5703125" style="975" customWidth="1"/>
    <col min="9272" max="9272" width="27.140625" style="975" bestFit="1" customWidth="1"/>
    <col min="9273" max="9273" width="24.85546875" style="975" bestFit="1" customWidth="1"/>
    <col min="9274" max="9274" width="23.42578125" style="975" bestFit="1" customWidth="1"/>
    <col min="9275" max="9275" width="26.5703125" style="975" customWidth="1"/>
    <col min="9276" max="9276" width="24.28515625" style="975" customWidth="1"/>
    <col min="9277" max="9277" width="28.28515625" style="975" bestFit="1" customWidth="1"/>
    <col min="9278" max="9278" width="8.85546875" style="975"/>
    <col min="9279" max="9279" width="16" style="975" customWidth="1"/>
    <col min="9280" max="9520" width="8.85546875" style="975"/>
    <col min="9521" max="9521" width="69.42578125" style="975" customWidth="1"/>
    <col min="9522" max="9522" width="29.140625" style="975" customWidth="1"/>
    <col min="9523" max="9523" width="28.140625" style="975" customWidth="1"/>
    <col min="9524" max="9524" width="31.42578125" style="975" customWidth="1"/>
    <col min="9525" max="9525" width="26.42578125" style="975" customWidth="1"/>
    <col min="9526" max="9526" width="28.85546875" style="975" customWidth="1"/>
    <col min="9527" max="9527" width="23.5703125" style="975" customWidth="1"/>
    <col min="9528" max="9528" width="27.140625" style="975" bestFit="1" customWidth="1"/>
    <col min="9529" max="9529" width="24.85546875" style="975" bestFit="1" customWidth="1"/>
    <col min="9530" max="9530" width="23.42578125" style="975" bestFit="1" customWidth="1"/>
    <col min="9531" max="9531" width="26.5703125" style="975" customWidth="1"/>
    <col min="9532" max="9532" width="24.28515625" style="975" customWidth="1"/>
    <col min="9533" max="9533" width="28.28515625" style="975" bestFit="1" customWidth="1"/>
    <col min="9534" max="9534" width="8.85546875" style="975"/>
    <col min="9535" max="9535" width="16" style="975" customWidth="1"/>
    <col min="9536" max="9776" width="8.85546875" style="975"/>
    <col min="9777" max="9777" width="69.42578125" style="975" customWidth="1"/>
    <col min="9778" max="9778" width="29.140625" style="975" customWidth="1"/>
    <col min="9779" max="9779" width="28.140625" style="975" customWidth="1"/>
    <col min="9780" max="9780" width="31.42578125" style="975" customWidth="1"/>
    <col min="9781" max="9781" width="26.42578125" style="975" customWidth="1"/>
    <col min="9782" max="9782" width="28.85546875" style="975" customWidth="1"/>
    <col min="9783" max="9783" width="23.5703125" style="975" customWidth="1"/>
    <col min="9784" max="9784" width="27.140625" style="975" bestFit="1" customWidth="1"/>
    <col min="9785" max="9785" width="24.85546875" style="975" bestFit="1" customWidth="1"/>
    <col min="9786" max="9786" width="23.42578125" style="975" bestFit="1" customWidth="1"/>
    <col min="9787" max="9787" width="26.5703125" style="975" customWidth="1"/>
    <col min="9788" max="9788" width="24.28515625" style="975" customWidth="1"/>
    <col min="9789" max="9789" width="28.28515625" style="975" bestFit="1" customWidth="1"/>
    <col min="9790" max="9790" width="8.85546875" style="975"/>
    <col min="9791" max="9791" width="16" style="975" customWidth="1"/>
    <col min="9792" max="10032" width="8.85546875" style="975"/>
    <col min="10033" max="10033" width="69.42578125" style="975" customWidth="1"/>
    <col min="10034" max="10034" width="29.140625" style="975" customWidth="1"/>
    <col min="10035" max="10035" width="28.140625" style="975" customWidth="1"/>
    <col min="10036" max="10036" width="31.42578125" style="975" customWidth="1"/>
    <col min="10037" max="10037" width="26.42578125" style="975" customWidth="1"/>
    <col min="10038" max="10038" width="28.85546875" style="975" customWidth="1"/>
    <col min="10039" max="10039" width="23.5703125" style="975" customWidth="1"/>
    <col min="10040" max="10040" width="27.140625" style="975" bestFit="1" customWidth="1"/>
    <col min="10041" max="10041" width="24.85546875" style="975" bestFit="1" customWidth="1"/>
    <col min="10042" max="10042" width="23.42578125" style="975" bestFit="1" customWidth="1"/>
    <col min="10043" max="10043" width="26.5703125" style="975" customWidth="1"/>
    <col min="10044" max="10044" width="24.28515625" style="975" customWidth="1"/>
    <col min="10045" max="10045" width="28.28515625" style="975" bestFit="1" customWidth="1"/>
    <col min="10046" max="10046" width="8.85546875" style="975"/>
    <col min="10047" max="10047" width="16" style="975" customWidth="1"/>
    <col min="10048" max="10288" width="8.85546875" style="975"/>
    <col min="10289" max="10289" width="69.42578125" style="975" customWidth="1"/>
    <col min="10290" max="10290" width="29.140625" style="975" customWidth="1"/>
    <col min="10291" max="10291" width="28.140625" style="975" customWidth="1"/>
    <col min="10292" max="10292" width="31.42578125" style="975" customWidth="1"/>
    <col min="10293" max="10293" width="26.42578125" style="975" customWidth="1"/>
    <col min="10294" max="10294" width="28.85546875" style="975" customWidth="1"/>
    <col min="10295" max="10295" width="23.5703125" style="975" customWidth="1"/>
    <col min="10296" max="10296" width="27.140625" style="975" bestFit="1" customWidth="1"/>
    <col min="10297" max="10297" width="24.85546875" style="975" bestFit="1" customWidth="1"/>
    <col min="10298" max="10298" width="23.42578125" style="975" bestFit="1" customWidth="1"/>
    <col min="10299" max="10299" width="26.5703125" style="975" customWidth="1"/>
    <col min="10300" max="10300" width="24.28515625" style="975" customWidth="1"/>
    <col min="10301" max="10301" width="28.28515625" style="975" bestFit="1" customWidth="1"/>
    <col min="10302" max="10302" width="8.85546875" style="975"/>
    <col min="10303" max="10303" width="16" style="975" customWidth="1"/>
    <col min="10304" max="10544" width="8.85546875" style="975"/>
    <col min="10545" max="10545" width="69.42578125" style="975" customWidth="1"/>
    <col min="10546" max="10546" width="29.140625" style="975" customWidth="1"/>
    <col min="10547" max="10547" width="28.140625" style="975" customWidth="1"/>
    <col min="10548" max="10548" width="31.42578125" style="975" customWidth="1"/>
    <col min="10549" max="10549" width="26.42578125" style="975" customWidth="1"/>
    <col min="10550" max="10550" width="28.85546875" style="975" customWidth="1"/>
    <col min="10551" max="10551" width="23.5703125" style="975" customWidth="1"/>
    <col min="10552" max="10552" width="27.140625" style="975" bestFit="1" customWidth="1"/>
    <col min="10553" max="10553" width="24.85546875" style="975" bestFit="1" customWidth="1"/>
    <col min="10554" max="10554" width="23.42578125" style="975" bestFit="1" customWidth="1"/>
    <col min="10555" max="10555" width="26.5703125" style="975" customWidth="1"/>
    <col min="10556" max="10556" width="24.28515625" style="975" customWidth="1"/>
    <col min="10557" max="10557" width="28.28515625" style="975" bestFit="1" customWidth="1"/>
    <col min="10558" max="10558" width="8.85546875" style="975"/>
    <col min="10559" max="10559" width="16" style="975" customWidth="1"/>
    <col min="10560" max="10800" width="8.85546875" style="975"/>
    <col min="10801" max="10801" width="69.42578125" style="975" customWidth="1"/>
    <col min="10802" max="10802" width="29.140625" style="975" customWidth="1"/>
    <col min="10803" max="10803" width="28.140625" style="975" customWidth="1"/>
    <col min="10804" max="10804" width="31.42578125" style="975" customWidth="1"/>
    <col min="10805" max="10805" width="26.42578125" style="975" customWidth="1"/>
    <col min="10806" max="10806" width="28.85546875" style="975" customWidth="1"/>
    <col min="10807" max="10807" width="23.5703125" style="975" customWidth="1"/>
    <col min="10808" max="10808" width="27.140625" style="975" bestFit="1" customWidth="1"/>
    <col min="10809" max="10809" width="24.85546875" style="975" bestFit="1" customWidth="1"/>
    <col min="10810" max="10810" width="23.42578125" style="975" bestFit="1" customWidth="1"/>
    <col min="10811" max="10811" width="26.5703125" style="975" customWidth="1"/>
    <col min="10812" max="10812" width="24.28515625" style="975" customWidth="1"/>
    <col min="10813" max="10813" width="28.28515625" style="975" bestFit="1" customWidth="1"/>
    <col min="10814" max="10814" width="8.85546875" style="975"/>
    <col min="10815" max="10815" width="16" style="975" customWidth="1"/>
    <col min="10816" max="11056" width="8.85546875" style="975"/>
    <col min="11057" max="11057" width="69.42578125" style="975" customWidth="1"/>
    <col min="11058" max="11058" width="29.140625" style="975" customWidth="1"/>
    <col min="11059" max="11059" width="28.140625" style="975" customWidth="1"/>
    <col min="11060" max="11060" width="31.42578125" style="975" customWidth="1"/>
    <col min="11061" max="11061" width="26.42578125" style="975" customWidth="1"/>
    <col min="11062" max="11062" width="28.85546875" style="975" customWidth="1"/>
    <col min="11063" max="11063" width="23.5703125" style="975" customWidth="1"/>
    <col min="11064" max="11064" width="27.140625" style="975" bestFit="1" customWidth="1"/>
    <col min="11065" max="11065" width="24.85546875" style="975" bestFit="1" customWidth="1"/>
    <col min="11066" max="11066" width="23.42578125" style="975" bestFit="1" customWidth="1"/>
    <col min="11067" max="11067" width="26.5703125" style="975" customWidth="1"/>
    <col min="11068" max="11068" width="24.28515625" style="975" customWidth="1"/>
    <col min="11069" max="11069" width="28.28515625" style="975" bestFit="1" customWidth="1"/>
    <col min="11070" max="11070" width="8.85546875" style="975"/>
    <col min="11071" max="11071" width="16" style="975" customWidth="1"/>
    <col min="11072" max="11312" width="8.85546875" style="975"/>
    <col min="11313" max="11313" width="69.42578125" style="975" customWidth="1"/>
    <col min="11314" max="11314" width="29.140625" style="975" customWidth="1"/>
    <col min="11315" max="11315" width="28.140625" style="975" customWidth="1"/>
    <col min="11316" max="11316" width="31.42578125" style="975" customWidth="1"/>
    <col min="11317" max="11317" width="26.42578125" style="975" customWidth="1"/>
    <col min="11318" max="11318" width="28.85546875" style="975" customWidth="1"/>
    <col min="11319" max="11319" width="23.5703125" style="975" customWidth="1"/>
    <col min="11320" max="11320" width="27.140625" style="975" bestFit="1" customWidth="1"/>
    <col min="11321" max="11321" width="24.85546875" style="975" bestFit="1" customWidth="1"/>
    <col min="11322" max="11322" width="23.42578125" style="975" bestFit="1" customWidth="1"/>
    <col min="11323" max="11323" width="26.5703125" style="975" customWidth="1"/>
    <col min="11324" max="11324" width="24.28515625" style="975" customWidth="1"/>
    <col min="11325" max="11325" width="28.28515625" style="975" bestFit="1" customWidth="1"/>
    <col min="11326" max="11326" width="8.85546875" style="975"/>
    <col min="11327" max="11327" width="16" style="975" customWidth="1"/>
    <col min="11328" max="11568" width="8.85546875" style="975"/>
    <col min="11569" max="11569" width="69.42578125" style="975" customWidth="1"/>
    <col min="11570" max="11570" width="29.140625" style="975" customWidth="1"/>
    <col min="11571" max="11571" width="28.140625" style="975" customWidth="1"/>
    <col min="11572" max="11572" width="31.42578125" style="975" customWidth="1"/>
    <col min="11573" max="11573" width="26.42578125" style="975" customWidth="1"/>
    <col min="11574" max="11574" width="28.85546875" style="975" customWidth="1"/>
    <col min="11575" max="11575" width="23.5703125" style="975" customWidth="1"/>
    <col min="11576" max="11576" width="27.140625" style="975" bestFit="1" customWidth="1"/>
    <col min="11577" max="11577" width="24.85546875" style="975" bestFit="1" customWidth="1"/>
    <col min="11578" max="11578" width="23.42578125" style="975" bestFit="1" customWidth="1"/>
    <col min="11579" max="11579" width="26.5703125" style="975" customWidth="1"/>
    <col min="11580" max="11580" width="24.28515625" style="975" customWidth="1"/>
    <col min="11581" max="11581" width="28.28515625" style="975" bestFit="1" customWidth="1"/>
    <col min="11582" max="11582" width="8.85546875" style="975"/>
    <col min="11583" max="11583" width="16" style="975" customWidth="1"/>
    <col min="11584" max="11824" width="8.85546875" style="975"/>
    <col min="11825" max="11825" width="69.42578125" style="975" customWidth="1"/>
    <col min="11826" max="11826" width="29.140625" style="975" customWidth="1"/>
    <col min="11827" max="11827" width="28.140625" style="975" customWidth="1"/>
    <col min="11828" max="11828" width="31.42578125" style="975" customWidth="1"/>
    <col min="11829" max="11829" width="26.42578125" style="975" customWidth="1"/>
    <col min="11830" max="11830" width="28.85546875" style="975" customWidth="1"/>
    <col min="11831" max="11831" width="23.5703125" style="975" customWidth="1"/>
    <col min="11832" max="11832" width="27.140625" style="975" bestFit="1" customWidth="1"/>
    <col min="11833" max="11833" width="24.85546875" style="975" bestFit="1" customWidth="1"/>
    <col min="11834" max="11834" width="23.42578125" style="975" bestFit="1" customWidth="1"/>
    <col min="11835" max="11835" width="26.5703125" style="975" customWidth="1"/>
    <col min="11836" max="11836" width="24.28515625" style="975" customWidth="1"/>
    <col min="11837" max="11837" width="28.28515625" style="975" bestFit="1" customWidth="1"/>
    <col min="11838" max="11838" width="8.85546875" style="975"/>
    <col min="11839" max="11839" width="16" style="975" customWidth="1"/>
    <col min="11840" max="12080" width="8.85546875" style="975"/>
    <col min="12081" max="12081" width="69.42578125" style="975" customWidth="1"/>
    <col min="12082" max="12082" width="29.140625" style="975" customWidth="1"/>
    <col min="12083" max="12083" width="28.140625" style="975" customWidth="1"/>
    <col min="12084" max="12084" width="31.42578125" style="975" customWidth="1"/>
    <col min="12085" max="12085" width="26.42578125" style="975" customWidth="1"/>
    <col min="12086" max="12086" width="28.85546875" style="975" customWidth="1"/>
    <col min="12087" max="12087" width="23.5703125" style="975" customWidth="1"/>
    <col min="12088" max="12088" width="27.140625" style="975" bestFit="1" customWidth="1"/>
    <col min="12089" max="12089" width="24.85546875" style="975" bestFit="1" customWidth="1"/>
    <col min="12090" max="12090" width="23.42578125" style="975" bestFit="1" customWidth="1"/>
    <col min="12091" max="12091" width="26.5703125" style="975" customWidth="1"/>
    <col min="12092" max="12092" width="24.28515625" style="975" customWidth="1"/>
    <col min="12093" max="12093" width="28.28515625" style="975" bestFit="1" customWidth="1"/>
    <col min="12094" max="12094" width="8.85546875" style="975"/>
    <col min="12095" max="12095" width="16" style="975" customWidth="1"/>
    <col min="12096" max="12336" width="8.85546875" style="975"/>
    <col min="12337" max="12337" width="69.42578125" style="975" customWidth="1"/>
    <col min="12338" max="12338" width="29.140625" style="975" customWidth="1"/>
    <col min="12339" max="12339" width="28.140625" style="975" customWidth="1"/>
    <col min="12340" max="12340" width="31.42578125" style="975" customWidth="1"/>
    <col min="12341" max="12341" width="26.42578125" style="975" customWidth="1"/>
    <col min="12342" max="12342" width="28.85546875" style="975" customWidth="1"/>
    <col min="12343" max="12343" width="23.5703125" style="975" customWidth="1"/>
    <col min="12344" max="12344" width="27.140625" style="975" bestFit="1" customWidth="1"/>
    <col min="12345" max="12345" width="24.85546875" style="975" bestFit="1" customWidth="1"/>
    <col min="12346" max="12346" width="23.42578125" style="975" bestFit="1" customWidth="1"/>
    <col min="12347" max="12347" width="26.5703125" style="975" customWidth="1"/>
    <col min="12348" max="12348" width="24.28515625" style="975" customWidth="1"/>
    <col min="12349" max="12349" width="28.28515625" style="975" bestFit="1" customWidth="1"/>
    <col min="12350" max="12350" width="8.85546875" style="975"/>
    <col min="12351" max="12351" width="16" style="975" customWidth="1"/>
    <col min="12352" max="12592" width="8.85546875" style="975"/>
    <col min="12593" max="12593" width="69.42578125" style="975" customWidth="1"/>
    <col min="12594" max="12594" width="29.140625" style="975" customWidth="1"/>
    <col min="12595" max="12595" width="28.140625" style="975" customWidth="1"/>
    <col min="12596" max="12596" width="31.42578125" style="975" customWidth="1"/>
    <col min="12597" max="12597" width="26.42578125" style="975" customWidth="1"/>
    <col min="12598" max="12598" width="28.85546875" style="975" customWidth="1"/>
    <col min="12599" max="12599" width="23.5703125" style="975" customWidth="1"/>
    <col min="12600" max="12600" width="27.140625" style="975" bestFit="1" customWidth="1"/>
    <col min="12601" max="12601" width="24.85546875" style="975" bestFit="1" customWidth="1"/>
    <col min="12602" max="12602" width="23.42578125" style="975" bestFit="1" customWidth="1"/>
    <col min="12603" max="12603" width="26.5703125" style="975" customWidth="1"/>
    <col min="12604" max="12604" width="24.28515625" style="975" customWidth="1"/>
    <col min="12605" max="12605" width="28.28515625" style="975" bestFit="1" customWidth="1"/>
    <col min="12606" max="12606" width="8.85546875" style="975"/>
    <col min="12607" max="12607" width="16" style="975" customWidth="1"/>
    <col min="12608" max="12848" width="8.85546875" style="975"/>
    <col min="12849" max="12849" width="69.42578125" style="975" customWidth="1"/>
    <col min="12850" max="12850" width="29.140625" style="975" customWidth="1"/>
    <col min="12851" max="12851" width="28.140625" style="975" customWidth="1"/>
    <col min="12852" max="12852" width="31.42578125" style="975" customWidth="1"/>
    <col min="12853" max="12853" width="26.42578125" style="975" customWidth="1"/>
    <col min="12854" max="12854" width="28.85546875" style="975" customWidth="1"/>
    <col min="12855" max="12855" width="23.5703125" style="975" customWidth="1"/>
    <col min="12856" max="12856" width="27.140625" style="975" bestFit="1" customWidth="1"/>
    <col min="12857" max="12857" width="24.85546875" style="975" bestFit="1" customWidth="1"/>
    <col min="12858" max="12858" width="23.42578125" style="975" bestFit="1" customWidth="1"/>
    <col min="12859" max="12859" width="26.5703125" style="975" customWidth="1"/>
    <col min="12860" max="12860" width="24.28515625" style="975" customWidth="1"/>
    <col min="12861" max="12861" width="28.28515625" style="975" bestFit="1" customWidth="1"/>
    <col min="12862" max="12862" width="8.85546875" style="975"/>
    <col min="12863" max="12863" width="16" style="975" customWidth="1"/>
    <col min="12864" max="13104" width="8.85546875" style="975"/>
    <col min="13105" max="13105" width="69.42578125" style="975" customWidth="1"/>
    <col min="13106" max="13106" width="29.140625" style="975" customWidth="1"/>
    <col min="13107" max="13107" width="28.140625" style="975" customWidth="1"/>
    <col min="13108" max="13108" width="31.42578125" style="975" customWidth="1"/>
    <col min="13109" max="13109" width="26.42578125" style="975" customWidth="1"/>
    <col min="13110" max="13110" width="28.85546875" style="975" customWidth="1"/>
    <col min="13111" max="13111" width="23.5703125" style="975" customWidth="1"/>
    <col min="13112" max="13112" width="27.140625" style="975" bestFit="1" customWidth="1"/>
    <col min="13113" max="13113" width="24.85546875" style="975" bestFit="1" customWidth="1"/>
    <col min="13114" max="13114" width="23.42578125" style="975" bestFit="1" customWidth="1"/>
    <col min="13115" max="13115" width="26.5703125" style="975" customWidth="1"/>
    <col min="13116" max="13116" width="24.28515625" style="975" customWidth="1"/>
    <col min="13117" max="13117" width="28.28515625" style="975" bestFit="1" customWidth="1"/>
    <col min="13118" max="13118" width="8.85546875" style="975"/>
    <col min="13119" max="13119" width="16" style="975" customWidth="1"/>
    <col min="13120" max="13360" width="8.85546875" style="975"/>
    <col min="13361" max="13361" width="69.42578125" style="975" customWidth="1"/>
    <col min="13362" max="13362" width="29.140625" style="975" customWidth="1"/>
    <col min="13363" max="13363" width="28.140625" style="975" customWidth="1"/>
    <col min="13364" max="13364" width="31.42578125" style="975" customWidth="1"/>
    <col min="13365" max="13365" width="26.42578125" style="975" customWidth="1"/>
    <col min="13366" max="13366" width="28.85546875" style="975" customWidth="1"/>
    <col min="13367" max="13367" width="23.5703125" style="975" customWidth="1"/>
    <col min="13368" max="13368" width="27.140625" style="975" bestFit="1" customWidth="1"/>
    <col min="13369" max="13369" width="24.85546875" style="975" bestFit="1" customWidth="1"/>
    <col min="13370" max="13370" width="23.42578125" style="975" bestFit="1" customWidth="1"/>
    <col min="13371" max="13371" width="26.5703125" style="975" customWidth="1"/>
    <col min="13372" max="13372" width="24.28515625" style="975" customWidth="1"/>
    <col min="13373" max="13373" width="28.28515625" style="975" bestFit="1" customWidth="1"/>
    <col min="13374" max="13374" width="8.85546875" style="975"/>
    <col min="13375" max="13375" width="16" style="975" customWidth="1"/>
    <col min="13376" max="13616" width="8.85546875" style="975"/>
    <col min="13617" max="13617" width="69.42578125" style="975" customWidth="1"/>
    <col min="13618" max="13618" width="29.140625" style="975" customWidth="1"/>
    <col min="13619" max="13619" width="28.140625" style="975" customWidth="1"/>
    <col min="13620" max="13620" width="31.42578125" style="975" customWidth="1"/>
    <col min="13621" max="13621" width="26.42578125" style="975" customWidth="1"/>
    <col min="13622" max="13622" width="28.85546875" style="975" customWidth="1"/>
    <col min="13623" max="13623" width="23.5703125" style="975" customWidth="1"/>
    <col min="13624" max="13624" width="27.140625" style="975" bestFit="1" customWidth="1"/>
    <col min="13625" max="13625" width="24.85546875" style="975" bestFit="1" customWidth="1"/>
    <col min="13626" max="13626" width="23.42578125" style="975" bestFit="1" customWidth="1"/>
    <col min="13627" max="13627" width="26.5703125" style="975" customWidth="1"/>
    <col min="13628" max="13628" width="24.28515625" style="975" customWidth="1"/>
    <col min="13629" max="13629" width="28.28515625" style="975" bestFit="1" customWidth="1"/>
    <col min="13630" max="13630" width="8.85546875" style="975"/>
    <col min="13631" max="13631" width="16" style="975" customWidth="1"/>
    <col min="13632" max="13872" width="8.85546875" style="975"/>
    <col min="13873" max="13873" width="69.42578125" style="975" customWidth="1"/>
    <col min="13874" max="13874" width="29.140625" style="975" customWidth="1"/>
    <col min="13875" max="13875" width="28.140625" style="975" customWidth="1"/>
    <col min="13876" max="13876" width="31.42578125" style="975" customWidth="1"/>
    <col min="13877" max="13877" width="26.42578125" style="975" customWidth="1"/>
    <col min="13878" max="13878" width="28.85546875" style="975" customWidth="1"/>
    <col min="13879" max="13879" width="23.5703125" style="975" customWidth="1"/>
    <col min="13880" max="13880" width="27.140625" style="975" bestFit="1" customWidth="1"/>
    <col min="13881" max="13881" width="24.85546875" style="975" bestFit="1" customWidth="1"/>
    <col min="13882" max="13882" width="23.42578125" style="975" bestFit="1" customWidth="1"/>
    <col min="13883" max="13883" width="26.5703125" style="975" customWidth="1"/>
    <col min="13884" max="13884" width="24.28515625" style="975" customWidth="1"/>
    <col min="13885" max="13885" width="28.28515625" style="975" bestFit="1" customWidth="1"/>
    <col min="13886" max="13886" width="8.85546875" style="975"/>
    <col min="13887" max="13887" width="16" style="975" customWidth="1"/>
    <col min="13888" max="14128" width="8.85546875" style="975"/>
    <col min="14129" max="14129" width="69.42578125" style="975" customWidth="1"/>
    <col min="14130" max="14130" width="29.140625" style="975" customWidth="1"/>
    <col min="14131" max="14131" width="28.140625" style="975" customWidth="1"/>
    <col min="14132" max="14132" width="31.42578125" style="975" customWidth="1"/>
    <col min="14133" max="14133" width="26.42578125" style="975" customWidth="1"/>
    <col min="14134" max="14134" width="28.85546875" style="975" customWidth="1"/>
    <col min="14135" max="14135" width="23.5703125" style="975" customWidth="1"/>
    <col min="14136" max="14136" width="27.140625" style="975" bestFit="1" customWidth="1"/>
    <col min="14137" max="14137" width="24.85546875" style="975" bestFit="1" customWidth="1"/>
    <col min="14138" max="14138" width="23.42578125" style="975" bestFit="1" customWidth="1"/>
    <col min="14139" max="14139" width="26.5703125" style="975" customWidth="1"/>
    <col min="14140" max="14140" width="24.28515625" style="975" customWidth="1"/>
    <col min="14141" max="14141" width="28.28515625" style="975" bestFit="1" customWidth="1"/>
    <col min="14142" max="14142" width="8.85546875" style="975"/>
    <col min="14143" max="14143" width="16" style="975" customWidth="1"/>
    <col min="14144" max="14384" width="8.85546875" style="975"/>
    <col min="14385" max="14385" width="69.42578125" style="975" customWidth="1"/>
    <col min="14386" max="14386" width="29.140625" style="975" customWidth="1"/>
    <col min="14387" max="14387" width="28.140625" style="975" customWidth="1"/>
    <col min="14388" max="14388" width="31.42578125" style="975" customWidth="1"/>
    <col min="14389" max="14389" width="26.42578125" style="975" customWidth="1"/>
    <col min="14390" max="14390" width="28.85546875" style="975" customWidth="1"/>
    <col min="14391" max="14391" width="23.5703125" style="975" customWidth="1"/>
    <col min="14392" max="14392" width="27.140625" style="975" bestFit="1" customWidth="1"/>
    <col min="14393" max="14393" width="24.85546875" style="975" bestFit="1" customWidth="1"/>
    <col min="14394" max="14394" width="23.42578125" style="975" bestFit="1" customWidth="1"/>
    <col min="14395" max="14395" width="26.5703125" style="975" customWidth="1"/>
    <col min="14396" max="14396" width="24.28515625" style="975" customWidth="1"/>
    <col min="14397" max="14397" width="28.28515625" style="975" bestFit="1" customWidth="1"/>
    <col min="14398" max="14398" width="8.85546875" style="975"/>
    <col min="14399" max="14399" width="16" style="975" customWidth="1"/>
    <col min="14400" max="14640" width="8.85546875" style="975"/>
    <col min="14641" max="14641" width="69.42578125" style="975" customWidth="1"/>
    <col min="14642" max="14642" width="29.140625" style="975" customWidth="1"/>
    <col min="14643" max="14643" width="28.140625" style="975" customWidth="1"/>
    <col min="14644" max="14644" width="31.42578125" style="975" customWidth="1"/>
    <col min="14645" max="14645" width="26.42578125" style="975" customWidth="1"/>
    <col min="14646" max="14646" width="28.85546875" style="975" customWidth="1"/>
    <col min="14647" max="14647" width="23.5703125" style="975" customWidth="1"/>
    <col min="14648" max="14648" width="27.140625" style="975" bestFit="1" customWidth="1"/>
    <col min="14649" max="14649" width="24.85546875" style="975" bestFit="1" customWidth="1"/>
    <col min="14650" max="14650" width="23.42578125" style="975" bestFit="1" customWidth="1"/>
    <col min="14651" max="14651" width="26.5703125" style="975" customWidth="1"/>
    <col min="14652" max="14652" width="24.28515625" style="975" customWidth="1"/>
    <col min="14653" max="14653" width="28.28515625" style="975" bestFit="1" customWidth="1"/>
    <col min="14654" max="14654" width="8.85546875" style="975"/>
    <col min="14655" max="14655" width="16" style="975" customWidth="1"/>
    <col min="14656" max="14896" width="8.85546875" style="975"/>
    <col min="14897" max="14897" width="69.42578125" style="975" customWidth="1"/>
    <col min="14898" max="14898" width="29.140625" style="975" customWidth="1"/>
    <col min="14899" max="14899" width="28.140625" style="975" customWidth="1"/>
    <col min="14900" max="14900" width="31.42578125" style="975" customWidth="1"/>
    <col min="14901" max="14901" width="26.42578125" style="975" customWidth="1"/>
    <col min="14902" max="14902" width="28.85546875" style="975" customWidth="1"/>
    <col min="14903" max="14903" width="23.5703125" style="975" customWidth="1"/>
    <col min="14904" max="14904" width="27.140625" style="975" bestFit="1" customWidth="1"/>
    <col min="14905" max="14905" width="24.85546875" style="975" bestFit="1" customWidth="1"/>
    <col min="14906" max="14906" width="23.42578125" style="975" bestFit="1" customWidth="1"/>
    <col min="14907" max="14907" width="26.5703125" style="975" customWidth="1"/>
    <col min="14908" max="14908" width="24.28515625" style="975" customWidth="1"/>
    <col min="14909" max="14909" width="28.28515625" style="975" bestFit="1" customWidth="1"/>
    <col min="14910" max="14910" width="8.85546875" style="975"/>
    <col min="14911" max="14911" width="16" style="975" customWidth="1"/>
    <col min="14912" max="15152" width="8.85546875" style="975"/>
    <col min="15153" max="15153" width="69.42578125" style="975" customWidth="1"/>
    <col min="15154" max="15154" width="29.140625" style="975" customWidth="1"/>
    <col min="15155" max="15155" width="28.140625" style="975" customWidth="1"/>
    <col min="15156" max="15156" width="31.42578125" style="975" customWidth="1"/>
    <col min="15157" max="15157" width="26.42578125" style="975" customWidth="1"/>
    <col min="15158" max="15158" width="28.85546875" style="975" customWidth="1"/>
    <col min="15159" max="15159" width="23.5703125" style="975" customWidth="1"/>
    <col min="15160" max="15160" width="27.140625" style="975" bestFit="1" customWidth="1"/>
    <col min="15161" max="15161" width="24.85546875" style="975" bestFit="1" customWidth="1"/>
    <col min="15162" max="15162" width="23.42578125" style="975" bestFit="1" customWidth="1"/>
    <col min="15163" max="15163" width="26.5703125" style="975" customWidth="1"/>
    <col min="15164" max="15164" width="24.28515625" style="975" customWidth="1"/>
    <col min="15165" max="15165" width="28.28515625" style="975" bestFit="1" customWidth="1"/>
    <col min="15166" max="15166" width="8.85546875" style="975"/>
    <col min="15167" max="15167" width="16" style="975" customWidth="1"/>
    <col min="15168" max="15408" width="8.85546875" style="975"/>
    <col min="15409" max="15409" width="69.42578125" style="975" customWidth="1"/>
    <col min="15410" max="15410" width="29.140625" style="975" customWidth="1"/>
    <col min="15411" max="15411" width="28.140625" style="975" customWidth="1"/>
    <col min="15412" max="15412" width="31.42578125" style="975" customWidth="1"/>
    <col min="15413" max="15413" width="26.42578125" style="975" customWidth="1"/>
    <col min="15414" max="15414" width="28.85546875" style="975" customWidth="1"/>
    <col min="15415" max="15415" width="23.5703125" style="975" customWidth="1"/>
    <col min="15416" max="15416" width="27.140625" style="975" bestFit="1" customWidth="1"/>
    <col min="15417" max="15417" width="24.85546875" style="975" bestFit="1" customWidth="1"/>
    <col min="15418" max="15418" width="23.42578125" style="975" bestFit="1" customWidth="1"/>
    <col min="15419" max="15419" width="26.5703125" style="975" customWidth="1"/>
    <col min="15420" max="15420" width="24.28515625" style="975" customWidth="1"/>
    <col min="15421" max="15421" width="28.28515625" style="975" bestFit="1" customWidth="1"/>
    <col min="15422" max="15422" width="8.85546875" style="975"/>
    <col min="15423" max="15423" width="16" style="975" customWidth="1"/>
    <col min="15424" max="15664" width="8.85546875" style="975"/>
    <col min="15665" max="15665" width="69.42578125" style="975" customWidth="1"/>
    <col min="15666" max="15666" width="29.140625" style="975" customWidth="1"/>
    <col min="15667" max="15667" width="28.140625" style="975" customWidth="1"/>
    <col min="15668" max="15668" width="31.42578125" style="975" customWidth="1"/>
    <col min="15669" max="15669" width="26.42578125" style="975" customWidth="1"/>
    <col min="15670" max="15670" width="28.85546875" style="975" customWidth="1"/>
    <col min="15671" max="15671" width="23.5703125" style="975" customWidth="1"/>
    <col min="15672" max="15672" width="27.140625" style="975" bestFit="1" customWidth="1"/>
    <col min="15673" max="15673" width="24.85546875" style="975" bestFit="1" customWidth="1"/>
    <col min="15674" max="15674" width="23.42578125" style="975" bestFit="1" customWidth="1"/>
    <col min="15675" max="15675" width="26.5703125" style="975" customWidth="1"/>
    <col min="15676" max="15676" width="24.28515625" style="975" customWidth="1"/>
    <col min="15677" max="15677" width="28.28515625" style="975" bestFit="1" customWidth="1"/>
    <col min="15678" max="15678" width="8.85546875" style="975"/>
    <col min="15679" max="15679" width="16" style="975" customWidth="1"/>
    <col min="15680" max="15920" width="8.85546875" style="975"/>
    <col min="15921" max="15921" width="69.42578125" style="975" customWidth="1"/>
    <col min="15922" max="15922" width="29.140625" style="975" customWidth="1"/>
    <col min="15923" max="15923" width="28.140625" style="975" customWidth="1"/>
    <col min="15924" max="15924" width="31.42578125" style="975" customWidth="1"/>
    <col min="15925" max="15925" width="26.42578125" style="975" customWidth="1"/>
    <col min="15926" max="15926" width="28.85546875" style="975" customWidth="1"/>
    <col min="15927" max="15927" width="23.5703125" style="975" customWidth="1"/>
    <col min="15928" max="15928" width="27.140625" style="975" bestFit="1" customWidth="1"/>
    <col min="15929" max="15929" width="24.85546875" style="975" bestFit="1" customWidth="1"/>
    <col min="15930" max="15930" width="23.42578125" style="975" bestFit="1" customWidth="1"/>
    <col min="15931" max="15931" width="26.5703125" style="975" customWidth="1"/>
    <col min="15932" max="15932" width="24.28515625" style="975" customWidth="1"/>
    <col min="15933" max="15933" width="28.28515625" style="975" bestFit="1" customWidth="1"/>
    <col min="15934" max="15934" width="8.85546875" style="975"/>
    <col min="15935" max="15935" width="16" style="975" customWidth="1"/>
    <col min="15936" max="16176" width="8.85546875" style="975"/>
    <col min="16177" max="16177" width="69.42578125" style="975" customWidth="1"/>
    <col min="16178" max="16178" width="29.140625" style="975" customWidth="1"/>
    <col min="16179" max="16179" width="28.140625" style="975" customWidth="1"/>
    <col min="16180" max="16180" width="31.42578125" style="975" customWidth="1"/>
    <col min="16181" max="16181" width="26.42578125" style="975" customWidth="1"/>
    <col min="16182" max="16182" width="28.85546875" style="975" customWidth="1"/>
    <col min="16183" max="16183" width="23.5703125" style="975" customWidth="1"/>
    <col min="16184" max="16184" width="27.140625" style="975" bestFit="1" customWidth="1"/>
    <col min="16185" max="16185" width="24.85546875" style="975" bestFit="1" customWidth="1"/>
    <col min="16186" max="16186" width="23.42578125" style="975" bestFit="1" customWidth="1"/>
    <col min="16187" max="16187" width="26.5703125" style="975" customWidth="1"/>
    <col min="16188" max="16188" width="24.28515625" style="975" customWidth="1"/>
    <col min="16189" max="16189" width="28.28515625" style="975" bestFit="1" customWidth="1"/>
    <col min="16190" max="16190" width="8.85546875" style="975"/>
    <col min="16191" max="16191" width="16" style="975" customWidth="1"/>
    <col min="16192" max="16384" width="8.85546875" style="975"/>
  </cols>
  <sheetData>
    <row r="1" spans="1:92" ht="117" customHeight="1" x14ac:dyDescent="0.25">
      <c r="A1" s="967" t="s">
        <v>1468</v>
      </c>
      <c r="B1" s="968" t="s">
        <v>1766</v>
      </c>
      <c r="C1" s="630" t="s">
        <v>1469</v>
      </c>
      <c r="D1" s="630" t="s">
        <v>1470</v>
      </c>
      <c r="E1" s="630" t="s">
        <v>1471</v>
      </c>
      <c r="F1" s="630" t="s">
        <v>1472</v>
      </c>
      <c r="G1" s="631" t="s">
        <v>1473</v>
      </c>
      <c r="H1" s="631" t="s">
        <v>1474</v>
      </c>
      <c r="I1" s="631" t="s">
        <v>1475</v>
      </c>
      <c r="J1" s="631" t="s">
        <v>1476</v>
      </c>
      <c r="K1" s="632" t="s">
        <v>1477</v>
      </c>
      <c r="L1" s="632" t="s">
        <v>1478</v>
      </c>
      <c r="M1" s="632" t="s">
        <v>1479</v>
      </c>
      <c r="N1" s="632" t="s">
        <v>1480</v>
      </c>
      <c r="O1" s="633" t="s">
        <v>1481</v>
      </c>
      <c r="P1" s="633" t="s">
        <v>1482</v>
      </c>
      <c r="Q1" s="633" t="s">
        <v>1483</v>
      </c>
      <c r="R1" s="633" t="s">
        <v>1484</v>
      </c>
      <c r="S1" s="634" t="s">
        <v>1485</v>
      </c>
      <c r="T1" s="634" t="s">
        <v>1486</v>
      </c>
      <c r="U1" s="634" t="s">
        <v>1487</v>
      </c>
      <c r="V1" s="634" t="s">
        <v>1488</v>
      </c>
      <c r="W1" s="635" t="s">
        <v>1489</v>
      </c>
      <c r="X1" s="635" t="s">
        <v>1490</v>
      </c>
      <c r="Y1" s="635" t="s">
        <v>1491</v>
      </c>
      <c r="Z1" s="635" t="s">
        <v>1492</v>
      </c>
      <c r="AA1" s="636" t="s">
        <v>1493</v>
      </c>
      <c r="AB1" s="636" t="s">
        <v>1494</v>
      </c>
      <c r="AC1" s="636" t="s">
        <v>1495</v>
      </c>
      <c r="AD1" s="636" t="s">
        <v>1496</v>
      </c>
      <c r="AE1" s="637" t="s">
        <v>1497</v>
      </c>
      <c r="AF1" s="637" t="s">
        <v>1498</v>
      </c>
      <c r="AG1" s="637" t="s">
        <v>1499</v>
      </c>
      <c r="AH1" s="637" t="s">
        <v>1500</v>
      </c>
      <c r="AI1" s="969" t="s">
        <v>1501</v>
      </c>
      <c r="AJ1" s="969" t="s">
        <v>1502</v>
      </c>
      <c r="AK1" s="969" t="s">
        <v>1503</v>
      </c>
      <c r="AL1" s="969" t="s">
        <v>1504</v>
      </c>
      <c r="AM1" s="969" t="s">
        <v>1505</v>
      </c>
      <c r="AN1" s="969" t="s">
        <v>1506</v>
      </c>
      <c r="AO1" s="969" t="s">
        <v>1507</v>
      </c>
      <c r="AP1" s="969" t="s">
        <v>1508</v>
      </c>
      <c r="AQ1" s="969" t="s">
        <v>1509</v>
      </c>
      <c r="AR1" s="969" t="s">
        <v>1510</v>
      </c>
      <c r="AS1" s="969" t="s">
        <v>1511</v>
      </c>
      <c r="AT1" s="969" t="s">
        <v>1512</v>
      </c>
      <c r="AU1" s="969" t="s">
        <v>1513</v>
      </c>
      <c r="AV1" s="969" t="s">
        <v>1514</v>
      </c>
      <c r="AW1" s="969" t="s">
        <v>1515</v>
      </c>
      <c r="AX1" s="969" t="s">
        <v>1516</v>
      </c>
      <c r="AY1" s="969" t="s">
        <v>1517</v>
      </c>
      <c r="AZ1" s="969" t="s">
        <v>1518</v>
      </c>
      <c r="BA1" s="969" t="s">
        <v>1519</v>
      </c>
      <c r="BB1" s="969" t="s">
        <v>1520</v>
      </c>
      <c r="BC1" s="969" t="s">
        <v>1521</v>
      </c>
      <c r="BD1" s="969" t="s">
        <v>1522</v>
      </c>
      <c r="BE1" s="969" t="s">
        <v>1523</v>
      </c>
      <c r="BF1" s="969" t="s">
        <v>1524</v>
      </c>
      <c r="BG1" s="969" t="s">
        <v>1525</v>
      </c>
      <c r="BH1" s="969" t="s">
        <v>1526</v>
      </c>
      <c r="BI1" s="969" t="s">
        <v>1527</v>
      </c>
      <c r="BJ1" s="969" t="s">
        <v>1528</v>
      </c>
      <c r="BK1" s="630" t="s">
        <v>1529</v>
      </c>
      <c r="BL1" s="630" t="s">
        <v>1530</v>
      </c>
      <c r="BM1" s="630" t="s">
        <v>1531</v>
      </c>
      <c r="BN1" s="630" t="s">
        <v>1532</v>
      </c>
      <c r="BO1" s="970" t="s">
        <v>1533</v>
      </c>
      <c r="BP1" s="970" t="s">
        <v>1534</v>
      </c>
      <c r="BQ1" s="970" t="s">
        <v>1535</v>
      </c>
      <c r="BR1" s="970" t="s">
        <v>1536</v>
      </c>
      <c r="BS1" s="971" t="s">
        <v>1537</v>
      </c>
      <c r="BT1" s="971" t="s">
        <v>1538</v>
      </c>
      <c r="BU1" s="971" t="s">
        <v>1539</v>
      </c>
      <c r="BV1" s="971" t="s">
        <v>1540</v>
      </c>
      <c r="BW1" s="972" t="s">
        <v>1541</v>
      </c>
      <c r="BX1" s="972" t="s">
        <v>1542</v>
      </c>
      <c r="BY1" s="972" t="s">
        <v>1543</v>
      </c>
      <c r="BZ1" s="972" t="s">
        <v>1544</v>
      </c>
      <c r="CA1" s="973" t="s">
        <v>1545</v>
      </c>
      <c r="CB1" s="973" t="s">
        <v>1546</v>
      </c>
      <c r="CC1" s="973" t="s">
        <v>1547</v>
      </c>
      <c r="CD1" s="973" t="s">
        <v>1548</v>
      </c>
      <c r="CE1" s="974" t="s">
        <v>1549</v>
      </c>
      <c r="CF1" s="974" t="s">
        <v>1550</v>
      </c>
      <c r="CG1" s="974" t="s">
        <v>1551</v>
      </c>
      <c r="CH1" s="974" t="s">
        <v>1552</v>
      </c>
      <c r="CK1" s="977" t="s">
        <v>1553</v>
      </c>
      <c r="CL1" s="973" t="s">
        <v>1546</v>
      </c>
      <c r="CM1" s="973" t="s">
        <v>1547</v>
      </c>
      <c r="CN1" s="973" t="s">
        <v>1548</v>
      </c>
    </row>
    <row r="2" spans="1:92" s="982" customFormat="1" ht="49.5" x14ac:dyDescent="0.25">
      <c r="A2" s="978" t="s">
        <v>118</v>
      </c>
      <c r="B2" s="979">
        <v>200000000</v>
      </c>
      <c r="C2" s="979">
        <v>100000000</v>
      </c>
      <c r="D2" s="979">
        <v>68235701</v>
      </c>
      <c r="E2" s="979">
        <v>3192793</v>
      </c>
      <c r="F2" s="979">
        <v>2964953</v>
      </c>
      <c r="G2" s="979">
        <f t="shared" ref="G2:BN2" si="0">SUM(G3:G9)</f>
        <v>0</v>
      </c>
      <c r="H2" s="979">
        <f t="shared" si="0"/>
        <v>0</v>
      </c>
      <c r="I2" s="979">
        <f t="shared" si="0"/>
        <v>0</v>
      </c>
      <c r="J2" s="979">
        <f t="shared" si="0"/>
        <v>0</v>
      </c>
      <c r="K2" s="979">
        <f t="shared" si="0"/>
        <v>0</v>
      </c>
      <c r="L2" s="979">
        <f t="shared" si="0"/>
        <v>0</v>
      </c>
      <c r="M2" s="979">
        <f t="shared" si="0"/>
        <v>0</v>
      </c>
      <c r="N2" s="979">
        <f t="shared" si="0"/>
        <v>0</v>
      </c>
      <c r="O2" s="979">
        <f t="shared" si="0"/>
        <v>0</v>
      </c>
      <c r="P2" s="979">
        <f t="shared" si="0"/>
        <v>0</v>
      </c>
      <c r="Q2" s="979">
        <f t="shared" si="0"/>
        <v>0</v>
      </c>
      <c r="R2" s="979">
        <f t="shared" si="0"/>
        <v>0</v>
      </c>
      <c r="S2" s="979">
        <f t="shared" si="0"/>
        <v>0</v>
      </c>
      <c r="T2" s="979">
        <f t="shared" si="0"/>
        <v>0</v>
      </c>
      <c r="U2" s="979">
        <f t="shared" si="0"/>
        <v>0</v>
      </c>
      <c r="V2" s="979">
        <f t="shared" si="0"/>
        <v>0</v>
      </c>
      <c r="W2" s="979">
        <f t="shared" si="0"/>
        <v>0</v>
      </c>
      <c r="X2" s="979">
        <f t="shared" si="0"/>
        <v>0</v>
      </c>
      <c r="Y2" s="979">
        <f t="shared" si="0"/>
        <v>0</v>
      </c>
      <c r="Z2" s="979">
        <f t="shared" si="0"/>
        <v>0</v>
      </c>
      <c r="AA2" s="979">
        <v>100000000</v>
      </c>
      <c r="AB2" s="979">
        <v>26866000</v>
      </c>
      <c r="AC2" s="979">
        <v>10746400</v>
      </c>
      <c r="AD2" s="979">
        <v>7918400</v>
      </c>
      <c r="AE2" s="979">
        <f t="shared" si="0"/>
        <v>0</v>
      </c>
      <c r="AF2" s="979">
        <f t="shared" si="0"/>
        <v>0</v>
      </c>
      <c r="AG2" s="979">
        <f t="shared" si="0"/>
        <v>0</v>
      </c>
      <c r="AH2" s="979">
        <f t="shared" si="0"/>
        <v>0</v>
      </c>
      <c r="AI2" s="979">
        <f t="shared" si="0"/>
        <v>0</v>
      </c>
      <c r="AJ2" s="979">
        <f t="shared" si="0"/>
        <v>0</v>
      </c>
      <c r="AK2" s="979">
        <f t="shared" si="0"/>
        <v>0</v>
      </c>
      <c r="AL2" s="979">
        <f t="shared" si="0"/>
        <v>0</v>
      </c>
      <c r="AM2" s="979">
        <f t="shared" si="0"/>
        <v>0</v>
      </c>
      <c r="AN2" s="979">
        <f t="shared" si="0"/>
        <v>0</v>
      </c>
      <c r="AO2" s="979">
        <f t="shared" si="0"/>
        <v>0</v>
      </c>
      <c r="AP2" s="979">
        <f t="shared" si="0"/>
        <v>0</v>
      </c>
      <c r="AQ2" s="979">
        <f t="shared" si="0"/>
        <v>0</v>
      </c>
      <c r="AR2" s="979">
        <f t="shared" si="0"/>
        <v>0</v>
      </c>
      <c r="AS2" s="979">
        <f t="shared" si="0"/>
        <v>0</v>
      </c>
      <c r="AT2" s="979">
        <f t="shared" si="0"/>
        <v>0</v>
      </c>
      <c r="AU2" s="979">
        <f t="shared" si="0"/>
        <v>0</v>
      </c>
      <c r="AV2" s="979">
        <f t="shared" si="0"/>
        <v>0</v>
      </c>
      <c r="AW2" s="979">
        <f t="shared" si="0"/>
        <v>0</v>
      </c>
      <c r="AX2" s="979">
        <f t="shared" si="0"/>
        <v>0</v>
      </c>
      <c r="AY2" s="979">
        <f t="shared" si="0"/>
        <v>0</v>
      </c>
      <c r="AZ2" s="979">
        <f t="shared" si="0"/>
        <v>0</v>
      </c>
      <c r="BA2" s="979">
        <f t="shared" si="0"/>
        <v>0</v>
      </c>
      <c r="BB2" s="979">
        <f t="shared" si="0"/>
        <v>0</v>
      </c>
      <c r="BC2" s="979">
        <f t="shared" si="0"/>
        <v>0</v>
      </c>
      <c r="BD2" s="979">
        <f t="shared" si="0"/>
        <v>0</v>
      </c>
      <c r="BE2" s="979">
        <f t="shared" si="0"/>
        <v>0</v>
      </c>
      <c r="BF2" s="979">
        <f t="shared" si="0"/>
        <v>0</v>
      </c>
      <c r="BG2" s="979">
        <f t="shared" si="0"/>
        <v>0</v>
      </c>
      <c r="BH2" s="979">
        <f t="shared" si="0"/>
        <v>0</v>
      </c>
      <c r="BI2" s="979">
        <f t="shared" si="0"/>
        <v>0</v>
      </c>
      <c r="BJ2" s="979">
        <f t="shared" si="0"/>
        <v>0</v>
      </c>
      <c r="BK2" s="979">
        <f t="shared" si="0"/>
        <v>0</v>
      </c>
      <c r="BL2" s="979">
        <f t="shared" si="0"/>
        <v>0</v>
      </c>
      <c r="BM2" s="979">
        <f t="shared" si="0"/>
        <v>0</v>
      </c>
      <c r="BN2" s="979">
        <f t="shared" si="0"/>
        <v>0</v>
      </c>
      <c r="BO2" s="979">
        <f t="shared" ref="BO2:CD2" si="1">SUM(BO3:BO9)</f>
        <v>0</v>
      </c>
      <c r="BP2" s="979">
        <f t="shared" si="1"/>
        <v>0</v>
      </c>
      <c r="BQ2" s="979">
        <f t="shared" si="1"/>
        <v>0</v>
      </c>
      <c r="BR2" s="979">
        <f t="shared" si="1"/>
        <v>0</v>
      </c>
      <c r="BS2" s="979">
        <v>1709455689</v>
      </c>
      <c r="BT2" s="979">
        <f t="shared" si="1"/>
        <v>0</v>
      </c>
      <c r="BU2" s="979">
        <f t="shared" si="1"/>
        <v>0</v>
      </c>
      <c r="BV2" s="979">
        <f t="shared" si="1"/>
        <v>0</v>
      </c>
      <c r="BW2" s="979">
        <f t="shared" si="1"/>
        <v>0</v>
      </c>
      <c r="BX2" s="979">
        <f t="shared" si="1"/>
        <v>0</v>
      </c>
      <c r="BY2" s="979">
        <f t="shared" si="1"/>
        <v>0</v>
      </c>
      <c r="BZ2" s="979">
        <f t="shared" si="1"/>
        <v>0</v>
      </c>
      <c r="CA2" s="980">
        <f>SUM(CA3:CA9)</f>
        <v>100000000</v>
      </c>
      <c r="CB2" s="980">
        <f t="shared" si="1"/>
        <v>68235701</v>
      </c>
      <c r="CC2" s="980">
        <f t="shared" si="1"/>
        <v>3192793</v>
      </c>
      <c r="CD2" s="980">
        <f t="shared" si="1"/>
        <v>2964953</v>
      </c>
      <c r="CE2" s="981">
        <f>+CA2-B2</f>
        <v>-100000000</v>
      </c>
      <c r="CF2" s="981">
        <f>+CB2-CL2</f>
        <v>68235701</v>
      </c>
      <c r="CG2" s="981">
        <f>+CC2-CM2</f>
        <v>3192793</v>
      </c>
      <c r="CH2" s="981">
        <f>+CD2-CN2</f>
        <v>2964953</v>
      </c>
      <c r="CJ2" s="983"/>
      <c r="CK2" s="984"/>
      <c r="CL2" s="985">
        <f>+'[5]Anexo 5.2.A'!Z50</f>
        <v>0</v>
      </c>
      <c r="CM2" s="985">
        <f>+'[5]Anexo 5.2.A'!AA50</f>
        <v>0</v>
      </c>
      <c r="CN2" s="985">
        <f>+'[5]Anexo 5.2.A'!AB50</f>
        <v>0</v>
      </c>
    </row>
    <row r="3" spans="1:92" ht="49.5" x14ac:dyDescent="0.3">
      <c r="A3" s="986" t="s">
        <v>119</v>
      </c>
      <c r="B3" s="639">
        <v>0</v>
      </c>
      <c r="C3" s="987">
        <f t="shared" ref="C3:F9" si="2">C$2*(B3/B$2)</f>
        <v>0</v>
      </c>
      <c r="D3" s="987">
        <f t="shared" si="2"/>
        <v>0</v>
      </c>
      <c r="E3" s="987">
        <f t="shared" si="2"/>
        <v>0</v>
      </c>
      <c r="F3" s="987">
        <f t="shared" si="2"/>
        <v>0</v>
      </c>
      <c r="G3" s="988"/>
      <c r="H3" s="988"/>
      <c r="I3" s="988"/>
      <c r="J3" s="988"/>
      <c r="K3" s="988"/>
      <c r="L3" s="988"/>
      <c r="M3" s="988"/>
      <c r="N3" s="988"/>
      <c r="O3" s="988"/>
      <c r="P3" s="988"/>
      <c r="Q3" s="988"/>
      <c r="R3" s="988"/>
      <c r="S3" s="988"/>
      <c r="T3" s="988"/>
      <c r="U3" s="988"/>
      <c r="V3" s="988"/>
      <c r="W3" s="989"/>
      <c r="X3" s="989"/>
      <c r="Y3" s="989"/>
      <c r="Z3" s="989"/>
      <c r="AA3" s="989">
        <v>0</v>
      </c>
      <c r="AB3" s="990">
        <v>0</v>
      </c>
      <c r="AC3" s="990">
        <v>0</v>
      </c>
      <c r="AD3" s="990">
        <v>0</v>
      </c>
      <c r="AE3" s="988"/>
      <c r="AF3" s="988"/>
      <c r="AG3" s="988"/>
      <c r="AH3" s="988"/>
      <c r="AI3" s="988"/>
      <c r="AJ3" s="988"/>
      <c r="AK3" s="988"/>
      <c r="AL3" s="988"/>
      <c r="AM3" s="991"/>
      <c r="AN3" s="991"/>
      <c r="AO3" s="991"/>
      <c r="AP3" s="991"/>
      <c r="AQ3" s="988"/>
      <c r="AR3" s="988"/>
      <c r="AS3" s="988"/>
      <c r="AT3" s="988"/>
      <c r="AU3" s="988"/>
      <c r="AV3" s="988"/>
      <c r="AW3" s="988"/>
      <c r="AX3" s="988"/>
      <c r="AY3" s="988"/>
      <c r="AZ3" s="988"/>
      <c r="BA3" s="988"/>
      <c r="BB3" s="988"/>
      <c r="BC3" s="988"/>
      <c r="BD3" s="988"/>
      <c r="BE3" s="988"/>
      <c r="BF3" s="988"/>
      <c r="BG3" s="988"/>
      <c r="BH3" s="988"/>
      <c r="BI3" s="988"/>
      <c r="BJ3" s="988"/>
      <c r="BK3" s="988"/>
      <c r="BL3" s="988"/>
      <c r="BM3" s="988"/>
      <c r="BN3" s="988"/>
      <c r="BO3" s="988"/>
      <c r="BP3" s="988"/>
      <c r="BQ3" s="988"/>
      <c r="BR3" s="988"/>
      <c r="BS3" s="988"/>
      <c r="BT3" s="988"/>
      <c r="BU3" s="988"/>
      <c r="BV3" s="988"/>
      <c r="BW3" s="988"/>
      <c r="BX3" s="988"/>
      <c r="BY3" s="988"/>
      <c r="BZ3" s="988"/>
      <c r="CA3" s="640">
        <f>+C3+G3+K3+O3+S3+W3+AA3+AE3+AI3+AM3+AQ3+AU3+AY3+BC3+BG3+BK3+BO3+BS3+BW3</f>
        <v>0</v>
      </c>
      <c r="CB3" s="640">
        <f t="shared" ref="CB3:CD14" si="3">+D3+H3+L3+P3+T3+X3+AB3+AF3+AJ3+AN3+AR3+AV3+AZ3+BD3+BH3+BL3+BP3+BT3+BX3</f>
        <v>0</v>
      </c>
      <c r="CC3" s="640">
        <f t="shared" si="3"/>
        <v>0</v>
      </c>
      <c r="CD3" s="640">
        <f t="shared" si="3"/>
        <v>0</v>
      </c>
      <c r="CE3" s="641">
        <f t="shared" ref="CE3:CE66" si="4">+CA3-B3</f>
        <v>0</v>
      </c>
      <c r="CF3" s="642">
        <f t="shared" ref="CF3:CH66" si="5">+CB3-CL3</f>
        <v>-2448265.0285714287</v>
      </c>
      <c r="CG3" s="642">
        <f t="shared" si="5"/>
        <v>-733979.3142857143</v>
      </c>
      <c r="CH3" s="992">
        <f t="shared" si="5"/>
        <v>0</v>
      </c>
      <c r="CI3" s="993"/>
      <c r="CK3" s="39" t="s">
        <v>119</v>
      </c>
      <c r="CL3" s="638">
        <v>2448265.0285714287</v>
      </c>
      <c r="CM3" s="638">
        <v>733979.3142857143</v>
      </c>
    </row>
    <row r="4" spans="1:92" s="996" customFormat="1" ht="66" x14ac:dyDescent="0.3">
      <c r="A4" s="986" t="s">
        <v>123</v>
      </c>
      <c r="B4" s="639">
        <v>0</v>
      </c>
      <c r="C4" s="987">
        <f t="shared" si="2"/>
        <v>0</v>
      </c>
      <c r="D4" s="987">
        <f t="shared" si="2"/>
        <v>0</v>
      </c>
      <c r="E4" s="987">
        <f t="shared" si="2"/>
        <v>0</v>
      </c>
      <c r="F4" s="987">
        <f t="shared" si="2"/>
        <v>0</v>
      </c>
      <c r="G4" s="994"/>
      <c r="H4" s="994"/>
      <c r="I4" s="994"/>
      <c r="J4" s="994"/>
      <c r="K4" s="994"/>
      <c r="L4" s="994"/>
      <c r="M4" s="994"/>
      <c r="N4" s="994"/>
      <c r="O4" s="994"/>
      <c r="P4" s="994"/>
      <c r="Q4" s="994"/>
      <c r="R4" s="994"/>
      <c r="S4" s="994"/>
      <c r="T4" s="994"/>
      <c r="U4" s="994"/>
      <c r="V4" s="994"/>
      <c r="W4" s="994"/>
      <c r="X4" s="994"/>
      <c r="Y4" s="994"/>
      <c r="Z4" s="994"/>
      <c r="AA4" s="989">
        <v>0</v>
      </c>
      <c r="AB4" s="990">
        <v>0</v>
      </c>
      <c r="AC4" s="990">
        <v>0</v>
      </c>
      <c r="AD4" s="990">
        <v>0</v>
      </c>
      <c r="AE4" s="994"/>
      <c r="AF4" s="994"/>
      <c r="AG4" s="994"/>
      <c r="AH4" s="994"/>
      <c r="AI4" s="994"/>
      <c r="AJ4" s="994"/>
      <c r="AK4" s="994"/>
      <c r="AL4" s="994"/>
      <c r="AM4" s="991"/>
      <c r="AN4" s="991"/>
      <c r="AO4" s="991"/>
      <c r="AP4" s="991"/>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P4" s="994"/>
      <c r="BQ4" s="994"/>
      <c r="BR4" s="994"/>
      <c r="BS4" s="994"/>
      <c r="BT4" s="994"/>
      <c r="BU4" s="994"/>
      <c r="BV4" s="994"/>
      <c r="BW4" s="994"/>
      <c r="BX4" s="994"/>
      <c r="BY4" s="994"/>
      <c r="BZ4" s="994"/>
      <c r="CA4" s="640">
        <f t="shared" ref="CA4:CD78" si="6">+C4+G4+K4+O4+S4+W4+AA4+AE4+AI4+AM4+AQ4+AU4+AY4+BC4+BG4+BK4+BO4+BS4+BW4</f>
        <v>0</v>
      </c>
      <c r="CB4" s="640">
        <f t="shared" si="3"/>
        <v>0</v>
      </c>
      <c r="CC4" s="640">
        <f t="shared" si="3"/>
        <v>0</v>
      </c>
      <c r="CD4" s="640">
        <f t="shared" si="3"/>
        <v>0</v>
      </c>
      <c r="CE4" s="641">
        <f t="shared" si="4"/>
        <v>0</v>
      </c>
      <c r="CF4" s="642">
        <f t="shared" si="5"/>
        <v>-73447950.857142851</v>
      </c>
      <c r="CG4" s="642">
        <f t="shared" si="5"/>
        <v>-22019379.428571429</v>
      </c>
      <c r="CH4" s="992">
        <f t="shared" si="5"/>
        <v>0</v>
      </c>
      <c r="CI4" s="995"/>
      <c r="CK4" s="39" t="s">
        <v>123</v>
      </c>
      <c r="CL4" s="638">
        <v>73447950.857142851</v>
      </c>
      <c r="CM4" s="638">
        <v>22019379.428571429</v>
      </c>
    </row>
    <row r="5" spans="1:92" s="996" customFormat="1" ht="86.25" customHeight="1" x14ac:dyDescent="0.3">
      <c r="A5" s="986" t="s">
        <v>1554</v>
      </c>
      <c r="B5" s="639">
        <v>0</v>
      </c>
      <c r="C5" s="987">
        <f t="shared" si="2"/>
        <v>0</v>
      </c>
      <c r="D5" s="987">
        <f t="shared" si="2"/>
        <v>0</v>
      </c>
      <c r="E5" s="987">
        <f t="shared" si="2"/>
        <v>0</v>
      </c>
      <c r="F5" s="987">
        <f t="shared" si="2"/>
        <v>0</v>
      </c>
      <c r="G5" s="994"/>
      <c r="H5" s="994"/>
      <c r="I5" s="994"/>
      <c r="J5" s="994"/>
      <c r="K5" s="994"/>
      <c r="L5" s="994"/>
      <c r="M5" s="994"/>
      <c r="N5" s="994"/>
      <c r="O5" s="994"/>
      <c r="P5" s="994"/>
      <c r="Q5" s="994"/>
      <c r="R5" s="994"/>
      <c r="S5" s="994"/>
      <c r="T5" s="994"/>
      <c r="U5" s="994"/>
      <c r="V5" s="994"/>
      <c r="W5" s="994"/>
      <c r="X5" s="994"/>
      <c r="Y5" s="994"/>
      <c r="Z5" s="994"/>
      <c r="AA5" s="989">
        <v>0</v>
      </c>
      <c r="AB5" s="990">
        <v>0</v>
      </c>
      <c r="AC5" s="990">
        <v>0</v>
      </c>
      <c r="AD5" s="990">
        <v>0</v>
      </c>
      <c r="AE5" s="994"/>
      <c r="AF5" s="994"/>
      <c r="AG5" s="994"/>
      <c r="AH5" s="994"/>
      <c r="AI5" s="994"/>
      <c r="AJ5" s="994"/>
      <c r="AK5" s="994"/>
      <c r="AL5" s="994"/>
      <c r="AM5" s="991"/>
      <c r="AN5" s="991"/>
      <c r="AO5" s="991"/>
      <c r="AP5" s="991"/>
      <c r="AQ5" s="994"/>
      <c r="AR5" s="994"/>
      <c r="AS5" s="994"/>
      <c r="AT5" s="994"/>
      <c r="AU5" s="994"/>
      <c r="AV5" s="994"/>
      <c r="AW5" s="994"/>
      <c r="AX5" s="994"/>
      <c r="AY5" s="994"/>
      <c r="AZ5" s="994"/>
      <c r="BA5" s="994"/>
      <c r="BB5" s="994"/>
      <c r="BC5" s="994"/>
      <c r="BD5" s="994"/>
      <c r="BE5" s="994"/>
      <c r="BF5" s="994"/>
      <c r="BG5" s="994"/>
      <c r="BH5" s="994"/>
      <c r="BI5" s="994"/>
      <c r="BJ5" s="994"/>
      <c r="BK5" s="994"/>
      <c r="BL5" s="994"/>
      <c r="BM5" s="994"/>
      <c r="BN5" s="994"/>
      <c r="BO5" s="994"/>
      <c r="BP5" s="994"/>
      <c r="BQ5" s="994"/>
      <c r="BR5" s="994"/>
      <c r="BS5" s="994"/>
      <c r="BT5" s="994"/>
      <c r="BU5" s="994"/>
      <c r="BV5" s="994"/>
      <c r="BW5" s="994"/>
      <c r="BX5" s="994"/>
      <c r="BY5" s="994"/>
      <c r="BZ5" s="994"/>
      <c r="CA5" s="640">
        <f t="shared" si="6"/>
        <v>0</v>
      </c>
      <c r="CB5" s="640">
        <f t="shared" si="3"/>
        <v>0</v>
      </c>
      <c r="CC5" s="640">
        <f t="shared" si="3"/>
        <v>0</v>
      </c>
      <c r="CD5" s="640">
        <f t="shared" si="3"/>
        <v>0</v>
      </c>
      <c r="CE5" s="641">
        <f t="shared" si="4"/>
        <v>0</v>
      </c>
      <c r="CF5" s="642">
        <f t="shared" si="5"/>
        <v>-73447950.857142851</v>
      </c>
      <c r="CG5" s="642">
        <f t="shared" si="5"/>
        <v>-22019379.428571429</v>
      </c>
      <c r="CH5" s="997">
        <f t="shared" si="5"/>
        <v>0</v>
      </c>
      <c r="CK5" s="39" t="s">
        <v>126</v>
      </c>
      <c r="CL5" s="638">
        <v>73447950.857142851</v>
      </c>
      <c r="CM5" s="638">
        <v>22019379.428571429</v>
      </c>
    </row>
    <row r="6" spans="1:92" ht="49.5" x14ac:dyDescent="0.3">
      <c r="A6" s="986" t="s">
        <v>128</v>
      </c>
      <c r="B6" s="998">
        <v>0</v>
      </c>
      <c r="C6" s="987">
        <f t="shared" si="2"/>
        <v>0</v>
      </c>
      <c r="D6" s="987">
        <f t="shared" si="2"/>
        <v>0</v>
      </c>
      <c r="E6" s="987">
        <f t="shared" si="2"/>
        <v>0</v>
      </c>
      <c r="F6" s="987">
        <f t="shared" si="2"/>
        <v>0</v>
      </c>
      <c r="G6" s="988"/>
      <c r="H6" s="988"/>
      <c r="I6" s="988"/>
      <c r="J6" s="988"/>
      <c r="K6" s="988"/>
      <c r="L6" s="988"/>
      <c r="M6" s="988"/>
      <c r="N6" s="988"/>
      <c r="O6" s="988"/>
      <c r="P6" s="988"/>
      <c r="Q6" s="988"/>
      <c r="R6" s="988"/>
      <c r="S6" s="988"/>
      <c r="T6" s="988"/>
      <c r="U6" s="988"/>
      <c r="V6" s="988"/>
      <c r="W6" s="989"/>
      <c r="X6" s="989"/>
      <c r="Y6" s="989"/>
      <c r="Z6" s="989"/>
      <c r="AA6" s="989">
        <v>0</v>
      </c>
      <c r="AB6" s="990">
        <v>0</v>
      </c>
      <c r="AC6" s="990">
        <v>0</v>
      </c>
      <c r="AD6" s="990">
        <v>0</v>
      </c>
      <c r="AE6" s="988"/>
      <c r="AF6" s="988"/>
      <c r="AG6" s="988"/>
      <c r="AH6" s="988"/>
      <c r="AI6" s="988"/>
      <c r="AJ6" s="988"/>
      <c r="AK6" s="988"/>
      <c r="AL6" s="988"/>
      <c r="AM6" s="991"/>
      <c r="AN6" s="991"/>
      <c r="AO6" s="991"/>
      <c r="AP6" s="991"/>
      <c r="AQ6" s="988"/>
      <c r="AR6" s="988"/>
      <c r="AS6" s="988"/>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8"/>
      <c r="BX6" s="988"/>
      <c r="BY6" s="988"/>
      <c r="BZ6" s="988"/>
      <c r="CA6" s="640">
        <f t="shared" si="6"/>
        <v>0</v>
      </c>
      <c r="CB6" s="640">
        <f t="shared" si="3"/>
        <v>0</v>
      </c>
      <c r="CC6" s="640">
        <f t="shared" si="3"/>
        <v>0</v>
      </c>
      <c r="CD6" s="640">
        <f t="shared" si="3"/>
        <v>0</v>
      </c>
      <c r="CE6" s="641">
        <f t="shared" si="4"/>
        <v>0</v>
      </c>
      <c r="CF6" s="642">
        <f t="shared" si="5"/>
        <v>0</v>
      </c>
      <c r="CG6" s="642">
        <f t="shared" si="5"/>
        <v>0</v>
      </c>
      <c r="CH6" s="643">
        <f t="shared" si="5"/>
        <v>0</v>
      </c>
      <c r="CK6" s="39" t="s">
        <v>128</v>
      </c>
      <c r="CL6" s="638">
        <v>0</v>
      </c>
      <c r="CM6" s="638">
        <v>0</v>
      </c>
    </row>
    <row r="7" spans="1:92" s="996" customFormat="1" ht="33" x14ac:dyDescent="0.3">
      <c r="A7" s="986" t="s">
        <v>132</v>
      </c>
      <c r="B7" s="999">
        <v>100000000</v>
      </c>
      <c r="C7" s="987">
        <f t="shared" si="2"/>
        <v>50000000</v>
      </c>
      <c r="D7" s="987">
        <f t="shared" si="2"/>
        <v>34117850.5</v>
      </c>
      <c r="E7" s="987">
        <f t="shared" si="2"/>
        <v>1596396.5</v>
      </c>
      <c r="F7" s="987">
        <f t="shared" si="2"/>
        <v>1482476.5</v>
      </c>
      <c r="G7" s="994"/>
      <c r="H7" s="994"/>
      <c r="I7" s="994"/>
      <c r="J7" s="994"/>
      <c r="K7" s="994"/>
      <c r="L7" s="994"/>
      <c r="M7" s="994"/>
      <c r="N7" s="994"/>
      <c r="O7" s="994"/>
      <c r="P7" s="994"/>
      <c r="Q7" s="994"/>
      <c r="R7" s="994"/>
      <c r="S7" s="994"/>
      <c r="T7" s="994"/>
      <c r="U7" s="994"/>
      <c r="V7" s="994"/>
      <c r="W7" s="994"/>
      <c r="X7" s="994"/>
      <c r="Y7" s="994"/>
      <c r="Z7" s="994"/>
      <c r="AA7" s="989">
        <v>0</v>
      </c>
      <c r="AB7" s="990">
        <v>0</v>
      </c>
      <c r="AC7" s="990">
        <v>0</v>
      </c>
      <c r="AD7" s="990">
        <v>0</v>
      </c>
      <c r="AE7" s="994"/>
      <c r="AF7" s="994"/>
      <c r="AG7" s="994"/>
      <c r="AH7" s="994"/>
      <c r="AI7" s="994"/>
      <c r="AJ7" s="994"/>
      <c r="AK7" s="994"/>
      <c r="AL7" s="994"/>
      <c r="AM7" s="991"/>
      <c r="AN7" s="991"/>
      <c r="AO7" s="991"/>
      <c r="AP7" s="991"/>
      <c r="AQ7" s="994"/>
      <c r="AR7" s="994"/>
      <c r="AS7" s="994"/>
      <c r="AT7" s="994"/>
      <c r="AU7" s="994"/>
      <c r="AV7" s="994"/>
      <c r="AW7" s="994"/>
      <c r="AX7" s="994"/>
      <c r="AY7" s="994"/>
      <c r="AZ7" s="994"/>
      <c r="BA7" s="994"/>
      <c r="BB7" s="994"/>
      <c r="BC7" s="994"/>
      <c r="BD7" s="994"/>
      <c r="BE7" s="994"/>
      <c r="BF7" s="994"/>
      <c r="BG7" s="994"/>
      <c r="BH7" s="994"/>
      <c r="BI7" s="994"/>
      <c r="BJ7" s="994"/>
      <c r="BK7" s="994"/>
      <c r="BL7" s="994"/>
      <c r="BM7" s="994"/>
      <c r="BN7" s="994"/>
      <c r="BO7" s="994"/>
      <c r="BP7" s="994"/>
      <c r="BQ7" s="994"/>
      <c r="BR7" s="994"/>
      <c r="BS7" s="994"/>
      <c r="BT7" s="994"/>
      <c r="BU7" s="994"/>
      <c r="BV7" s="994"/>
      <c r="BW7" s="994"/>
      <c r="BX7" s="994"/>
      <c r="BY7" s="994"/>
      <c r="BZ7" s="994"/>
      <c r="CA7" s="640">
        <f t="shared" si="6"/>
        <v>50000000</v>
      </c>
      <c r="CB7" s="640">
        <f t="shared" si="3"/>
        <v>34117850.5</v>
      </c>
      <c r="CC7" s="640">
        <f t="shared" si="3"/>
        <v>1596396.5</v>
      </c>
      <c r="CD7" s="640">
        <f t="shared" si="3"/>
        <v>1482476.5</v>
      </c>
      <c r="CE7" s="641">
        <f t="shared" si="4"/>
        <v>-50000000</v>
      </c>
      <c r="CF7" s="642">
        <f t="shared" si="5"/>
        <v>31367959.219908573</v>
      </c>
      <c r="CG7" s="642">
        <f t="shared" si="5"/>
        <v>771990.93419428577</v>
      </c>
      <c r="CH7" s="997">
        <f t="shared" si="5"/>
        <v>1482476.5</v>
      </c>
      <c r="CK7" s="39" t="s">
        <v>132</v>
      </c>
      <c r="CL7" s="638">
        <v>2749891.2800914287</v>
      </c>
      <c r="CM7" s="638">
        <v>824405.56580571423</v>
      </c>
    </row>
    <row r="8" spans="1:92" ht="33" x14ac:dyDescent="0.3">
      <c r="A8" s="986" t="s">
        <v>1555</v>
      </c>
      <c r="B8" s="639">
        <v>0</v>
      </c>
      <c r="C8" s="987">
        <f t="shared" si="2"/>
        <v>0</v>
      </c>
      <c r="D8" s="987">
        <f t="shared" si="2"/>
        <v>0</v>
      </c>
      <c r="E8" s="987">
        <f t="shared" si="2"/>
        <v>0</v>
      </c>
      <c r="F8" s="987">
        <f t="shared" si="2"/>
        <v>0</v>
      </c>
      <c r="G8" s="988"/>
      <c r="H8" s="988"/>
      <c r="I8" s="988"/>
      <c r="J8" s="988"/>
      <c r="K8" s="988"/>
      <c r="L8" s="988"/>
      <c r="M8" s="988"/>
      <c r="N8" s="988"/>
      <c r="O8" s="988"/>
      <c r="P8" s="988"/>
      <c r="Q8" s="988"/>
      <c r="R8" s="988"/>
      <c r="S8" s="988"/>
      <c r="T8" s="988"/>
      <c r="U8" s="988"/>
      <c r="V8" s="988"/>
      <c r="W8" s="989"/>
      <c r="X8" s="989"/>
      <c r="Y8" s="989"/>
      <c r="Z8" s="989"/>
      <c r="AA8" s="989">
        <v>0</v>
      </c>
      <c r="AB8" s="990">
        <v>0</v>
      </c>
      <c r="AC8" s="990">
        <v>0</v>
      </c>
      <c r="AD8" s="990">
        <v>0</v>
      </c>
      <c r="AE8" s="988"/>
      <c r="AF8" s="988"/>
      <c r="AG8" s="988"/>
      <c r="AH8" s="988"/>
      <c r="AI8" s="988"/>
      <c r="AJ8" s="988"/>
      <c r="AK8" s="988"/>
      <c r="AL8" s="988"/>
      <c r="AM8" s="991"/>
      <c r="AN8" s="991"/>
      <c r="AO8" s="991"/>
      <c r="AP8" s="991"/>
      <c r="AQ8" s="988"/>
      <c r="AR8" s="988"/>
      <c r="AS8" s="988"/>
      <c r="AT8" s="988"/>
      <c r="AU8" s="988"/>
      <c r="AV8" s="988"/>
      <c r="AW8" s="988"/>
      <c r="AX8" s="988"/>
      <c r="AY8" s="988"/>
      <c r="AZ8" s="988"/>
      <c r="BA8" s="988"/>
      <c r="BB8" s="988"/>
      <c r="BC8" s="988"/>
      <c r="BD8" s="988"/>
      <c r="BE8" s="988"/>
      <c r="BF8" s="988"/>
      <c r="BG8" s="988"/>
      <c r="BH8" s="988"/>
      <c r="BI8" s="988"/>
      <c r="BJ8" s="988"/>
      <c r="BK8" s="988"/>
      <c r="BL8" s="988"/>
      <c r="BM8" s="988"/>
      <c r="BN8" s="988"/>
      <c r="BO8" s="988"/>
      <c r="BP8" s="988"/>
      <c r="BQ8" s="988"/>
      <c r="BR8" s="988"/>
      <c r="BS8" s="988"/>
      <c r="BT8" s="988"/>
      <c r="BU8" s="988"/>
      <c r="BV8" s="988"/>
      <c r="BW8" s="988"/>
      <c r="BX8" s="988"/>
      <c r="BY8" s="988"/>
      <c r="BZ8" s="988"/>
      <c r="CA8" s="640">
        <f t="shared" si="6"/>
        <v>0</v>
      </c>
      <c r="CB8" s="640">
        <f t="shared" si="3"/>
        <v>0</v>
      </c>
      <c r="CC8" s="640">
        <f t="shared" si="3"/>
        <v>0</v>
      </c>
      <c r="CD8" s="640">
        <f t="shared" si="3"/>
        <v>0</v>
      </c>
      <c r="CE8" s="641">
        <f t="shared" si="4"/>
        <v>0</v>
      </c>
      <c r="CF8" s="642">
        <f t="shared" si="5"/>
        <v>-4054326.8873142861</v>
      </c>
      <c r="CG8" s="642">
        <f t="shared" si="5"/>
        <v>-1215469.7444571429</v>
      </c>
      <c r="CH8" s="643">
        <f t="shared" si="5"/>
        <v>0</v>
      </c>
      <c r="CK8" s="39" t="s">
        <v>135</v>
      </c>
      <c r="CL8" s="638">
        <v>4054326.8873142861</v>
      </c>
      <c r="CM8" s="638">
        <v>1215469.7444571429</v>
      </c>
    </row>
    <row r="9" spans="1:92" ht="33" x14ac:dyDescent="0.3">
      <c r="A9" s="986" t="s">
        <v>1556</v>
      </c>
      <c r="B9" s="639">
        <v>100000000</v>
      </c>
      <c r="C9" s="987">
        <f t="shared" si="2"/>
        <v>50000000</v>
      </c>
      <c r="D9" s="987">
        <f t="shared" si="2"/>
        <v>34117850.5</v>
      </c>
      <c r="E9" s="987">
        <f t="shared" si="2"/>
        <v>1596396.5</v>
      </c>
      <c r="F9" s="987">
        <f t="shared" si="2"/>
        <v>1482476.5</v>
      </c>
      <c r="G9" s="988"/>
      <c r="H9" s="988"/>
      <c r="I9" s="988"/>
      <c r="J9" s="988"/>
      <c r="K9" s="988"/>
      <c r="L9" s="988"/>
      <c r="M9" s="988"/>
      <c r="N9" s="988"/>
      <c r="O9" s="988"/>
      <c r="P9" s="988"/>
      <c r="Q9" s="988"/>
      <c r="R9" s="988"/>
      <c r="S9" s="988"/>
      <c r="T9" s="988"/>
      <c r="U9" s="988"/>
      <c r="V9" s="988"/>
      <c r="W9" s="989"/>
      <c r="X9" s="989"/>
      <c r="Y9" s="989"/>
      <c r="Z9" s="989"/>
      <c r="AA9" s="989">
        <v>0</v>
      </c>
      <c r="AB9" s="990">
        <v>0</v>
      </c>
      <c r="AC9" s="990">
        <v>0</v>
      </c>
      <c r="AD9" s="990">
        <v>0</v>
      </c>
      <c r="AE9" s="988"/>
      <c r="AF9" s="988"/>
      <c r="AG9" s="988"/>
      <c r="AH9" s="988"/>
      <c r="AI9" s="988"/>
      <c r="AJ9" s="988"/>
      <c r="AK9" s="988"/>
      <c r="AL9" s="988"/>
      <c r="AM9" s="991"/>
      <c r="AN9" s="991"/>
      <c r="AO9" s="991"/>
      <c r="AP9" s="991"/>
      <c r="AQ9" s="988"/>
      <c r="AR9" s="988"/>
      <c r="AS9" s="988"/>
      <c r="AT9" s="988"/>
      <c r="AU9" s="988"/>
      <c r="AV9" s="988"/>
      <c r="AW9" s="988"/>
      <c r="AX9" s="988"/>
      <c r="AY9" s="988"/>
      <c r="AZ9" s="988"/>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640">
        <f t="shared" si="6"/>
        <v>50000000</v>
      </c>
      <c r="CB9" s="640">
        <f t="shared" si="3"/>
        <v>34117850.5</v>
      </c>
      <c r="CC9" s="640">
        <f t="shared" si="3"/>
        <v>1596396.5</v>
      </c>
      <c r="CD9" s="640">
        <f t="shared" si="3"/>
        <v>1482476.5</v>
      </c>
      <c r="CE9" s="641">
        <f t="shared" si="4"/>
        <v>-50000000</v>
      </c>
      <c r="CF9" s="642">
        <f t="shared" si="5"/>
        <v>18887683.410262857</v>
      </c>
      <c r="CG9" s="642">
        <f t="shared" si="5"/>
        <v>-2969542.0183085715</v>
      </c>
      <c r="CH9" s="643">
        <f t="shared" si="5"/>
        <v>1482476.5</v>
      </c>
      <c r="CK9" s="39" t="s">
        <v>137</v>
      </c>
      <c r="CL9" s="638">
        <v>15230167.089737143</v>
      </c>
      <c r="CM9" s="638">
        <v>4565938.5183085715</v>
      </c>
    </row>
    <row r="10" spans="1:92" s="982" customFormat="1" ht="66.75" customHeight="1" x14ac:dyDescent="0.25">
      <c r="A10" s="644" t="s">
        <v>140</v>
      </c>
      <c r="B10" s="645">
        <v>100000000</v>
      </c>
      <c r="C10" s="645">
        <v>100000000</v>
      </c>
      <c r="D10" s="645">
        <v>58241200</v>
      </c>
      <c r="E10" s="645">
        <v>10923200</v>
      </c>
      <c r="F10" s="645">
        <v>10923200</v>
      </c>
      <c r="G10" s="645">
        <f t="shared" ref="G10:BR10" si="7">SUM(G11:G14)</f>
        <v>0</v>
      </c>
      <c r="H10" s="645">
        <f t="shared" si="7"/>
        <v>0</v>
      </c>
      <c r="I10" s="645">
        <f t="shared" si="7"/>
        <v>0</v>
      </c>
      <c r="J10" s="645">
        <f t="shared" si="7"/>
        <v>0</v>
      </c>
      <c r="K10" s="645">
        <f t="shared" si="7"/>
        <v>0</v>
      </c>
      <c r="L10" s="645">
        <f t="shared" si="7"/>
        <v>0</v>
      </c>
      <c r="M10" s="645">
        <f t="shared" si="7"/>
        <v>0</v>
      </c>
      <c r="N10" s="645">
        <f t="shared" si="7"/>
        <v>0</v>
      </c>
      <c r="O10" s="645">
        <f t="shared" si="7"/>
        <v>0</v>
      </c>
      <c r="P10" s="645">
        <f t="shared" si="7"/>
        <v>0</v>
      </c>
      <c r="Q10" s="645">
        <f t="shared" si="7"/>
        <v>0</v>
      </c>
      <c r="R10" s="645">
        <f t="shared" si="7"/>
        <v>0</v>
      </c>
      <c r="S10" s="645">
        <f t="shared" si="7"/>
        <v>0</v>
      </c>
      <c r="T10" s="645">
        <f t="shared" si="7"/>
        <v>0</v>
      </c>
      <c r="U10" s="645">
        <f t="shared" si="7"/>
        <v>0</v>
      </c>
      <c r="V10" s="645">
        <f t="shared" si="7"/>
        <v>0</v>
      </c>
      <c r="W10" s="645">
        <f t="shared" si="7"/>
        <v>0</v>
      </c>
      <c r="X10" s="645">
        <f t="shared" si="7"/>
        <v>0</v>
      </c>
      <c r="Y10" s="645">
        <f t="shared" si="7"/>
        <v>0</v>
      </c>
      <c r="Z10" s="645">
        <f t="shared" si="7"/>
        <v>0</v>
      </c>
      <c r="AA10" s="645">
        <f t="shared" si="7"/>
        <v>0</v>
      </c>
      <c r="AB10" s="645">
        <f t="shared" si="7"/>
        <v>0</v>
      </c>
      <c r="AC10" s="645">
        <f t="shared" si="7"/>
        <v>0</v>
      </c>
      <c r="AD10" s="645">
        <f t="shared" si="7"/>
        <v>0</v>
      </c>
      <c r="AE10" s="645">
        <f t="shared" si="7"/>
        <v>0</v>
      </c>
      <c r="AF10" s="645">
        <f t="shared" si="7"/>
        <v>0</v>
      </c>
      <c r="AG10" s="645">
        <f t="shared" si="7"/>
        <v>0</v>
      </c>
      <c r="AH10" s="645">
        <f t="shared" si="7"/>
        <v>0</v>
      </c>
      <c r="AI10" s="645">
        <f t="shared" si="7"/>
        <v>0</v>
      </c>
      <c r="AJ10" s="645">
        <f t="shared" si="7"/>
        <v>0</v>
      </c>
      <c r="AK10" s="645">
        <f t="shared" si="7"/>
        <v>0</v>
      </c>
      <c r="AL10" s="645">
        <f t="shared" si="7"/>
        <v>0</v>
      </c>
      <c r="AM10" s="645">
        <f t="shared" si="7"/>
        <v>0</v>
      </c>
      <c r="AN10" s="645">
        <f t="shared" si="7"/>
        <v>0</v>
      </c>
      <c r="AO10" s="645">
        <f t="shared" si="7"/>
        <v>0</v>
      </c>
      <c r="AP10" s="645">
        <f t="shared" si="7"/>
        <v>0</v>
      </c>
      <c r="AQ10" s="645">
        <f t="shared" si="7"/>
        <v>0</v>
      </c>
      <c r="AR10" s="645">
        <f t="shared" si="7"/>
        <v>0</v>
      </c>
      <c r="AS10" s="645">
        <f t="shared" si="7"/>
        <v>0</v>
      </c>
      <c r="AT10" s="645">
        <f t="shared" si="7"/>
        <v>0</v>
      </c>
      <c r="AU10" s="645">
        <f t="shared" si="7"/>
        <v>0</v>
      </c>
      <c r="AV10" s="645">
        <f t="shared" si="7"/>
        <v>0</v>
      </c>
      <c r="AW10" s="645">
        <f t="shared" si="7"/>
        <v>0</v>
      </c>
      <c r="AX10" s="645">
        <f t="shared" si="7"/>
        <v>0</v>
      </c>
      <c r="AY10" s="645">
        <f t="shared" si="7"/>
        <v>0</v>
      </c>
      <c r="AZ10" s="645">
        <f t="shared" si="7"/>
        <v>0</v>
      </c>
      <c r="BA10" s="645">
        <f t="shared" si="7"/>
        <v>0</v>
      </c>
      <c r="BB10" s="645">
        <f t="shared" si="7"/>
        <v>0</v>
      </c>
      <c r="BC10" s="645">
        <f t="shared" si="7"/>
        <v>0</v>
      </c>
      <c r="BD10" s="645">
        <f t="shared" si="7"/>
        <v>0</v>
      </c>
      <c r="BE10" s="645">
        <f t="shared" si="7"/>
        <v>0</v>
      </c>
      <c r="BF10" s="645">
        <f t="shared" si="7"/>
        <v>0</v>
      </c>
      <c r="BG10" s="645">
        <f t="shared" si="7"/>
        <v>0</v>
      </c>
      <c r="BH10" s="645">
        <f t="shared" si="7"/>
        <v>0</v>
      </c>
      <c r="BI10" s="645">
        <f t="shared" si="7"/>
        <v>0</v>
      </c>
      <c r="BJ10" s="645">
        <f t="shared" si="7"/>
        <v>0</v>
      </c>
      <c r="BK10" s="645">
        <f t="shared" si="7"/>
        <v>0</v>
      </c>
      <c r="BL10" s="645">
        <f t="shared" si="7"/>
        <v>0</v>
      </c>
      <c r="BM10" s="645">
        <f t="shared" si="7"/>
        <v>0</v>
      </c>
      <c r="BN10" s="645">
        <f t="shared" si="7"/>
        <v>0</v>
      </c>
      <c r="BO10" s="645">
        <f t="shared" si="7"/>
        <v>0</v>
      </c>
      <c r="BP10" s="645">
        <f t="shared" si="7"/>
        <v>0</v>
      </c>
      <c r="BQ10" s="645">
        <f t="shared" si="7"/>
        <v>0</v>
      </c>
      <c r="BR10" s="645">
        <f t="shared" si="7"/>
        <v>0</v>
      </c>
      <c r="BS10" s="645">
        <f t="shared" ref="BS10:CD10" si="8">SUM(BS11:BS14)</f>
        <v>0</v>
      </c>
      <c r="BT10" s="645">
        <f t="shared" si="8"/>
        <v>0</v>
      </c>
      <c r="BU10" s="645">
        <f t="shared" si="8"/>
        <v>0</v>
      </c>
      <c r="BV10" s="645">
        <f t="shared" si="8"/>
        <v>0</v>
      </c>
      <c r="BW10" s="645">
        <f t="shared" si="8"/>
        <v>0</v>
      </c>
      <c r="BX10" s="645">
        <f t="shared" si="8"/>
        <v>0</v>
      </c>
      <c r="BY10" s="645">
        <f t="shared" si="8"/>
        <v>0</v>
      </c>
      <c r="BZ10" s="645">
        <f t="shared" si="8"/>
        <v>0</v>
      </c>
      <c r="CA10" s="1000">
        <f t="shared" si="8"/>
        <v>100000000</v>
      </c>
      <c r="CB10" s="1000">
        <f t="shared" si="8"/>
        <v>58241200</v>
      </c>
      <c r="CC10" s="1000">
        <f t="shared" si="8"/>
        <v>10923200</v>
      </c>
      <c r="CD10" s="1000">
        <f t="shared" si="8"/>
        <v>10923200</v>
      </c>
      <c r="CE10" s="1001">
        <f t="shared" si="4"/>
        <v>0</v>
      </c>
      <c r="CF10" s="1002">
        <f t="shared" si="5"/>
        <v>58241200</v>
      </c>
      <c r="CG10" s="1002">
        <f t="shared" si="5"/>
        <v>10923200</v>
      </c>
      <c r="CH10" s="646">
        <f t="shared" si="5"/>
        <v>10923200</v>
      </c>
      <c r="CJ10" s="983"/>
      <c r="CK10" s="1003"/>
      <c r="CL10" s="1004">
        <f>+'[5]Anexo 5.2.A'!Z54</f>
        <v>0</v>
      </c>
      <c r="CM10" s="1004">
        <f>+'[5]Anexo 5.2.A'!AA54</f>
        <v>0</v>
      </c>
      <c r="CN10" s="1004">
        <f>+'[5]Anexo 5.2.A'!AB54</f>
        <v>0</v>
      </c>
    </row>
    <row r="11" spans="1:92" ht="33" x14ac:dyDescent="0.25">
      <c r="A11" s="647" t="s">
        <v>141</v>
      </c>
      <c r="B11" s="1005">
        <v>50000000</v>
      </c>
      <c r="C11" s="1006">
        <f>C$10*(B11/B$10)</f>
        <v>50000000</v>
      </c>
      <c r="D11" s="1006">
        <f t="shared" ref="D11:F11" si="9">D$10*(C11/C$10)</f>
        <v>29120600</v>
      </c>
      <c r="E11" s="1006">
        <f t="shared" si="9"/>
        <v>5461600</v>
      </c>
      <c r="F11" s="1006">
        <f t="shared" si="9"/>
        <v>5461600</v>
      </c>
      <c r="G11" s="988"/>
      <c r="H11" s="988"/>
      <c r="I11" s="988"/>
      <c r="J11" s="988"/>
      <c r="K11" s="988"/>
      <c r="L11" s="988"/>
      <c r="M11" s="988"/>
      <c r="N11" s="988"/>
      <c r="O11" s="988"/>
      <c r="P11" s="988"/>
      <c r="Q11" s="988"/>
      <c r="R11" s="988"/>
      <c r="S11" s="988"/>
      <c r="T11" s="988"/>
      <c r="U11" s="988"/>
      <c r="V11" s="988"/>
      <c r="W11" s="989"/>
      <c r="X11" s="989"/>
      <c r="Y11" s="989"/>
      <c r="Z11" s="989"/>
      <c r="AA11" s="989"/>
      <c r="AB11" s="989"/>
      <c r="AC11" s="989"/>
      <c r="AD11" s="989"/>
      <c r="AE11" s="988"/>
      <c r="AF11" s="988"/>
      <c r="AG11" s="988"/>
      <c r="AH11" s="988"/>
      <c r="AI11" s="988"/>
      <c r="AJ11" s="988"/>
      <c r="AK11" s="988"/>
      <c r="AL11" s="988"/>
      <c r="AM11" s="991"/>
      <c r="AN11" s="991"/>
      <c r="AO11" s="991"/>
      <c r="AP11" s="991"/>
      <c r="AQ11" s="991"/>
      <c r="AR11" s="991"/>
      <c r="AS11" s="991"/>
      <c r="AT11" s="991"/>
      <c r="AU11" s="991"/>
      <c r="AV11" s="991"/>
      <c r="AW11" s="991"/>
      <c r="AX11" s="991"/>
      <c r="AY11" s="991"/>
      <c r="AZ11" s="991"/>
      <c r="BA11" s="991"/>
      <c r="BB11" s="991"/>
      <c r="BC11" s="991"/>
      <c r="BD11" s="991"/>
      <c r="BE11" s="991"/>
      <c r="BF11" s="991"/>
      <c r="BG11" s="991"/>
      <c r="BH11" s="991"/>
      <c r="BI11" s="991"/>
      <c r="BJ11" s="991"/>
      <c r="BK11" s="991"/>
      <c r="BL11" s="991"/>
      <c r="BM11" s="991"/>
      <c r="BN11" s="991"/>
      <c r="BO11" s="991"/>
      <c r="BP11" s="991"/>
      <c r="BQ11" s="991"/>
      <c r="BR11" s="991"/>
      <c r="BS11" s="991"/>
      <c r="BT11" s="991"/>
      <c r="BU11" s="991"/>
      <c r="BV11" s="991"/>
      <c r="BW11" s="991"/>
      <c r="BX11" s="991"/>
      <c r="BY11" s="991"/>
      <c r="BZ11" s="991"/>
      <c r="CA11" s="640">
        <f t="shared" si="6"/>
        <v>50000000</v>
      </c>
      <c r="CB11" s="640">
        <f t="shared" si="3"/>
        <v>29120600</v>
      </c>
      <c r="CC11" s="640">
        <f t="shared" si="3"/>
        <v>5461600</v>
      </c>
      <c r="CD11" s="640">
        <f t="shared" si="3"/>
        <v>5461600</v>
      </c>
      <c r="CE11" s="641">
        <f t="shared" si="4"/>
        <v>0</v>
      </c>
      <c r="CF11" s="642">
        <f t="shared" si="5"/>
        <v>29120600</v>
      </c>
      <c r="CG11" s="642">
        <f t="shared" si="5"/>
        <v>5461600</v>
      </c>
      <c r="CH11" s="643">
        <f t="shared" si="5"/>
        <v>5461600</v>
      </c>
      <c r="CI11" s="993"/>
      <c r="CK11" s="39" t="s">
        <v>141</v>
      </c>
    </row>
    <row r="12" spans="1:92" ht="33" x14ac:dyDescent="0.25">
      <c r="A12" s="1007" t="s">
        <v>141</v>
      </c>
      <c r="B12" s="1005">
        <v>50000000</v>
      </c>
      <c r="C12" s="1006">
        <f t="shared" ref="C12:F14" si="10">C$10*(B12/B$10)</f>
        <v>50000000</v>
      </c>
      <c r="D12" s="1006">
        <f t="shared" si="10"/>
        <v>29120600</v>
      </c>
      <c r="E12" s="1006">
        <f t="shared" si="10"/>
        <v>5461600</v>
      </c>
      <c r="F12" s="1006">
        <f t="shared" si="10"/>
        <v>5461600</v>
      </c>
      <c r="G12" s="988"/>
      <c r="H12" s="988"/>
      <c r="I12" s="988"/>
      <c r="J12" s="988"/>
      <c r="K12" s="988"/>
      <c r="L12" s="988"/>
      <c r="M12" s="988"/>
      <c r="N12" s="988"/>
      <c r="O12" s="988"/>
      <c r="P12" s="988"/>
      <c r="Q12" s="988"/>
      <c r="R12" s="988"/>
      <c r="S12" s="988"/>
      <c r="T12" s="988"/>
      <c r="U12" s="988"/>
      <c r="V12" s="988"/>
      <c r="W12" s="989"/>
      <c r="X12" s="989"/>
      <c r="Y12" s="989"/>
      <c r="Z12" s="989"/>
      <c r="AA12" s="989"/>
      <c r="AB12" s="989"/>
      <c r="AC12" s="989"/>
      <c r="AD12" s="989"/>
      <c r="AE12" s="988"/>
      <c r="AF12" s="988"/>
      <c r="AG12" s="988"/>
      <c r="AH12" s="988"/>
      <c r="AI12" s="988"/>
      <c r="AJ12" s="988"/>
      <c r="AK12" s="988"/>
      <c r="AL12" s="988"/>
      <c r="AM12" s="991"/>
      <c r="AN12" s="991"/>
      <c r="AO12" s="991"/>
      <c r="AP12" s="991"/>
      <c r="AQ12" s="991"/>
      <c r="AR12" s="991"/>
      <c r="AS12" s="991"/>
      <c r="AT12" s="991"/>
      <c r="AU12" s="991"/>
      <c r="AV12" s="991"/>
      <c r="AW12" s="991"/>
      <c r="AX12" s="991"/>
      <c r="AY12" s="991"/>
      <c r="AZ12" s="991"/>
      <c r="BA12" s="991"/>
      <c r="BB12" s="991"/>
      <c r="BC12" s="991"/>
      <c r="BD12" s="991"/>
      <c r="BE12" s="991"/>
      <c r="BF12" s="991"/>
      <c r="BG12" s="991"/>
      <c r="BH12" s="991"/>
      <c r="BI12" s="991"/>
      <c r="BJ12" s="991"/>
      <c r="BK12" s="991"/>
      <c r="BL12" s="991"/>
      <c r="BM12" s="991"/>
      <c r="BN12" s="991"/>
      <c r="BO12" s="991"/>
      <c r="BP12" s="991"/>
      <c r="BQ12" s="991"/>
      <c r="BR12" s="991"/>
      <c r="BS12" s="991"/>
      <c r="BT12" s="991"/>
      <c r="BU12" s="991"/>
      <c r="BV12" s="991"/>
      <c r="BW12" s="991"/>
      <c r="BX12" s="991"/>
      <c r="BY12" s="991"/>
      <c r="BZ12" s="991"/>
      <c r="CA12" s="640">
        <f t="shared" si="6"/>
        <v>50000000</v>
      </c>
      <c r="CB12" s="640">
        <f t="shared" si="3"/>
        <v>29120600</v>
      </c>
      <c r="CC12" s="640">
        <f t="shared" si="3"/>
        <v>5461600</v>
      </c>
      <c r="CD12" s="640">
        <f t="shared" si="3"/>
        <v>5461600</v>
      </c>
      <c r="CE12" s="641">
        <f t="shared" si="4"/>
        <v>0</v>
      </c>
      <c r="CF12" s="642">
        <f t="shared" si="5"/>
        <v>-35308676.5</v>
      </c>
      <c r="CG12" s="642">
        <f t="shared" si="5"/>
        <v>-58967676.500000007</v>
      </c>
      <c r="CH12" s="643">
        <f t="shared" si="5"/>
        <v>5461600</v>
      </c>
      <c r="CK12" s="39" t="s">
        <v>141</v>
      </c>
      <c r="CL12" s="638">
        <v>64429276.5</v>
      </c>
      <c r="CM12" s="638">
        <v>64429276.500000007</v>
      </c>
    </row>
    <row r="13" spans="1:92" ht="33" x14ac:dyDescent="0.25">
      <c r="A13" s="647" t="s">
        <v>145</v>
      </c>
      <c r="B13" s="1005">
        <v>0</v>
      </c>
      <c r="C13" s="1006">
        <f t="shared" si="10"/>
        <v>0</v>
      </c>
      <c r="D13" s="1006">
        <f t="shared" si="10"/>
        <v>0</v>
      </c>
      <c r="E13" s="1006">
        <f t="shared" si="10"/>
        <v>0</v>
      </c>
      <c r="F13" s="1006">
        <f t="shared" si="10"/>
        <v>0</v>
      </c>
      <c r="G13" s="988"/>
      <c r="H13" s="988"/>
      <c r="I13" s="988"/>
      <c r="J13" s="988"/>
      <c r="K13" s="988"/>
      <c r="L13" s="988"/>
      <c r="M13" s="988"/>
      <c r="N13" s="988"/>
      <c r="O13" s="988"/>
      <c r="P13" s="988"/>
      <c r="Q13" s="988"/>
      <c r="R13" s="988"/>
      <c r="S13" s="650"/>
      <c r="T13" s="650"/>
      <c r="U13" s="650"/>
      <c r="V13" s="650"/>
      <c r="W13" s="649"/>
      <c r="X13" s="649"/>
      <c r="Y13" s="649"/>
      <c r="Z13" s="649"/>
      <c r="AA13" s="649"/>
      <c r="AB13" s="649"/>
      <c r="AC13" s="649"/>
      <c r="AD13" s="649"/>
      <c r="AE13" s="988"/>
      <c r="AF13" s="988"/>
      <c r="AG13" s="988"/>
      <c r="AH13" s="988"/>
      <c r="AI13" s="988"/>
      <c r="AJ13" s="988"/>
      <c r="AK13" s="988"/>
      <c r="AL13" s="988"/>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640">
        <f t="shared" si="6"/>
        <v>0</v>
      </c>
      <c r="CB13" s="640">
        <f t="shared" si="3"/>
        <v>0</v>
      </c>
      <c r="CC13" s="640">
        <f t="shared" si="3"/>
        <v>0</v>
      </c>
      <c r="CD13" s="640">
        <f t="shared" si="3"/>
        <v>0</v>
      </c>
      <c r="CE13" s="641">
        <f t="shared" si="4"/>
        <v>0</v>
      </c>
      <c r="CF13" s="642">
        <f t="shared" si="5"/>
        <v>-31021503.5</v>
      </c>
      <c r="CG13" s="642">
        <f t="shared" si="5"/>
        <v>-31021503.5</v>
      </c>
      <c r="CH13" s="643">
        <f t="shared" si="5"/>
        <v>0</v>
      </c>
      <c r="CK13" s="39" t="s">
        <v>145</v>
      </c>
      <c r="CL13" s="638">
        <v>31021503.5</v>
      </c>
      <c r="CM13" s="638">
        <v>31021503.5</v>
      </c>
    </row>
    <row r="14" spans="1:92" ht="49.5" x14ac:dyDescent="0.25">
      <c r="A14" s="647" t="s">
        <v>147</v>
      </c>
      <c r="B14" s="648">
        <v>0</v>
      </c>
      <c r="C14" s="1006">
        <f>C$10*(B14/B$10)</f>
        <v>0</v>
      </c>
      <c r="D14" s="1006">
        <f t="shared" si="10"/>
        <v>0</v>
      </c>
      <c r="E14" s="1006">
        <f t="shared" si="10"/>
        <v>0</v>
      </c>
      <c r="F14" s="1006">
        <f t="shared" si="10"/>
        <v>0</v>
      </c>
      <c r="G14" s="988"/>
      <c r="H14" s="988"/>
      <c r="I14" s="988"/>
      <c r="J14" s="988"/>
      <c r="K14" s="1008"/>
      <c r="L14" s="1008"/>
      <c r="M14" s="1008"/>
      <c r="N14" s="1008"/>
      <c r="O14" s="1008"/>
      <c r="P14" s="1008"/>
      <c r="Q14" s="1008"/>
      <c r="R14" s="1008"/>
      <c r="S14" s="650"/>
      <c r="T14" s="650"/>
      <c r="U14" s="650"/>
      <c r="V14" s="650"/>
      <c r="W14" s="988"/>
      <c r="X14" s="988"/>
      <c r="Y14" s="988"/>
      <c r="Z14" s="988"/>
      <c r="AA14" s="988"/>
      <c r="AB14" s="988"/>
      <c r="AC14" s="988"/>
      <c r="AD14" s="988"/>
      <c r="AE14" s="988"/>
      <c r="AF14" s="988"/>
      <c r="AG14" s="988"/>
      <c r="AH14" s="988"/>
      <c r="AI14" s="988"/>
      <c r="AJ14" s="988"/>
      <c r="AK14" s="988"/>
      <c r="AL14" s="988"/>
      <c r="AM14" s="988"/>
      <c r="AN14" s="988"/>
      <c r="AO14" s="988"/>
      <c r="AP14" s="988"/>
      <c r="AQ14" s="991"/>
      <c r="AR14" s="991"/>
      <c r="AS14" s="991"/>
      <c r="AT14" s="991"/>
      <c r="AU14" s="991"/>
      <c r="AV14" s="991"/>
      <c r="AW14" s="991"/>
      <c r="AX14" s="991"/>
      <c r="AY14" s="991"/>
      <c r="AZ14" s="991"/>
      <c r="BA14" s="991"/>
      <c r="BB14" s="991"/>
      <c r="BC14" s="991"/>
      <c r="BD14" s="991"/>
      <c r="BE14" s="991"/>
      <c r="BF14" s="991"/>
      <c r="BG14" s="991"/>
      <c r="BH14" s="991"/>
      <c r="BI14" s="991"/>
      <c r="BJ14" s="991"/>
      <c r="BK14" s="991"/>
      <c r="BL14" s="991"/>
      <c r="BM14" s="991"/>
      <c r="BN14" s="991"/>
      <c r="BO14" s="991"/>
      <c r="BP14" s="991"/>
      <c r="BQ14" s="991"/>
      <c r="BR14" s="991"/>
      <c r="BS14" s="991"/>
      <c r="BT14" s="991"/>
      <c r="BU14" s="991"/>
      <c r="BV14" s="991"/>
      <c r="BW14" s="991"/>
      <c r="BX14" s="991"/>
      <c r="BY14" s="991"/>
      <c r="BZ14" s="991"/>
      <c r="CA14" s="640">
        <f t="shared" si="6"/>
        <v>0</v>
      </c>
      <c r="CB14" s="640">
        <f t="shared" si="3"/>
        <v>0</v>
      </c>
      <c r="CC14" s="640">
        <f t="shared" si="3"/>
        <v>0</v>
      </c>
      <c r="CD14" s="640">
        <f t="shared" si="3"/>
        <v>0</v>
      </c>
      <c r="CE14" s="641">
        <f t="shared" si="4"/>
        <v>0</v>
      </c>
      <c r="CF14" s="642">
        <f t="shared" si="5"/>
        <v>0</v>
      </c>
      <c r="CG14" s="642">
        <f t="shared" si="5"/>
        <v>0</v>
      </c>
      <c r="CH14" s="643">
        <f t="shared" si="5"/>
        <v>0</v>
      </c>
      <c r="CK14" s="39" t="s">
        <v>147</v>
      </c>
    </row>
    <row r="15" spans="1:92" ht="70.5" customHeight="1" x14ac:dyDescent="0.25">
      <c r="A15" s="651" t="s">
        <v>149</v>
      </c>
      <c r="B15" s="645">
        <v>200000000</v>
      </c>
      <c r="C15" s="645">
        <v>200000000</v>
      </c>
      <c r="D15" s="645">
        <v>31264320</v>
      </c>
      <c r="E15" s="645">
        <v>19143320</v>
      </c>
      <c r="F15" s="645">
        <v>14901320</v>
      </c>
      <c r="G15" s="1000">
        <f t="shared" ref="G15:BR15" si="11">SUM(G16:G22)</f>
        <v>0</v>
      </c>
      <c r="H15" s="1000">
        <f t="shared" si="11"/>
        <v>0</v>
      </c>
      <c r="I15" s="1000">
        <f t="shared" si="11"/>
        <v>0</v>
      </c>
      <c r="J15" s="1000">
        <f t="shared" si="11"/>
        <v>0</v>
      </c>
      <c r="K15" s="1000">
        <f t="shared" si="11"/>
        <v>0</v>
      </c>
      <c r="L15" s="1000">
        <f t="shared" si="11"/>
        <v>0</v>
      </c>
      <c r="M15" s="1000">
        <f t="shared" si="11"/>
        <v>0</v>
      </c>
      <c r="N15" s="1000">
        <f t="shared" si="11"/>
        <v>0</v>
      </c>
      <c r="O15" s="1000">
        <f t="shared" si="11"/>
        <v>0</v>
      </c>
      <c r="P15" s="1000">
        <f t="shared" si="11"/>
        <v>0</v>
      </c>
      <c r="Q15" s="1000">
        <f t="shared" si="11"/>
        <v>0</v>
      </c>
      <c r="R15" s="1000">
        <f t="shared" si="11"/>
        <v>0</v>
      </c>
      <c r="S15" s="1000">
        <f t="shared" si="11"/>
        <v>0</v>
      </c>
      <c r="T15" s="1000">
        <f t="shared" si="11"/>
        <v>0</v>
      </c>
      <c r="U15" s="1000">
        <f t="shared" si="11"/>
        <v>0</v>
      </c>
      <c r="V15" s="1000">
        <f t="shared" si="11"/>
        <v>0</v>
      </c>
      <c r="W15" s="1000">
        <f t="shared" si="11"/>
        <v>0</v>
      </c>
      <c r="X15" s="1000">
        <f t="shared" si="11"/>
        <v>0</v>
      </c>
      <c r="Y15" s="1000">
        <f t="shared" si="11"/>
        <v>0</v>
      </c>
      <c r="Z15" s="1000">
        <f t="shared" si="11"/>
        <v>0</v>
      </c>
      <c r="AA15" s="1000">
        <f t="shared" si="11"/>
        <v>0</v>
      </c>
      <c r="AB15" s="1000">
        <f t="shared" si="11"/>
        <v>0</v>
      </c>
      <c r="AC15" s="1000">
        <f t="shared" si="11"/>
        <v>0</v>
      </c>
      <c r="AD15" s="1000">
        <f t="shared" si="11"/>
        <v>0</v>
      </c>
      <c r="AE15" s="1000">
        <f t="shared" si="11"/>
        <v>0</v>
      </c>
      <c r="AF15" s="1000">
        <f t="shared" si="11"/>
        <v>0</v>
      </c>
      <c r="AG15" s="1000">
        <f t="shared" si="11"/>
        <v>0</v>
      </c>
      <c r="AH15" s="1000">
        <f t="shared" si="11"/>
        <v>0</v>
      </c>
      <c r="AI15" s="1000">
        <f t="shared" si="11"/>
        <v>0</v>
      </c>
      <c r="AJ15" s="1000">
        <f t="shared" si="11"/>
        <v>0</v>
      </c>
      <c r="AK15" s="1000">
        <f t="shared" si="11"/>
        <v>0</v>
      </c>
      <c r="AL15" s="1000">
        <f t="shared" si="11"/>
        <v>0</v>
      </c>
      <c r="AM15" s="1000">
        <f t="shared" si="11"/>
        <v>0</v>
      </c>
      <c r="AN15" s="1000">
        <f t="shared" si="11"/>
        <v>0</v>
      </c>
      <c r="AO15" s="1000">
        <f t="shared" si="11"/>
        <v>0</v>
      </c>
      <c r="AP15" s="1000">
        <f t="shared" si="11"/>
        <v>0</v>
      </c>
      <c r="AQ15" s="1000">
        <f t="shared" si="11"/>
        <v>0</v>
      </c>
      <c r="AR15" s="1000">
        <f t="shared" si="11"/>
        <v>0</v>
      </c>
      <c r="AS15" s="1000">
        <f t="shared" si="11"/>
        <v>0</v>
      </c>
      <c r="AT15" s="1000">
        <f t="shared" si="11"/>
        <v>0</v>
      </c>
      <c r="AU15" s="1000">
        <f t="shared" si="11"/>
        <v>0</v>
      </c>
      <c r="AV15" s="1000">
        <f t="shared" si="11"/>
        <v>0</v>
      </c>
      <c r="AW15" s="1000">
        <f t="shared" si="11"/>
        <v>0</v>
      </c>
      <c r="AX15" s="1000">
        <f t="shared" si="11"/>
        <v>0</v>
      </c>
      <c r="AY15" s="1000">
        <f t="shared" si="11"/>
        <v>0</v>
      </c>
      <c r="AZ15" s="1000">
        <f t="shared" si="11"/>
        <v>0</v>
      </c>
      <c r="BA15" s="1000">
        <f t="shared" si="11"/>
        <v>0</v>
      </c>
      <c r="BB15" s="1000">
        <f t="shared" si="11"/>
        <v>0</v>
      </c>
      <c r="BC15" s="1000">
        <f t="shared" si="11"/>
        <v>0</v>
      </c>
      <c r="BD15" s="1000">
        <f t="shared" si="11"/>
        <v>0</v>
      </c>
      <c r="BE15" s="1000">
        <f t="shared" si="11"/>
        <v>0</v>
      </c>
      <c r="BF15" s="1000">
        <f t="shared" si="11"/>
        <v>0</v>
      </c>
      <c r="BG15" s="1000">
        <f t="shared" si="11"/>
        <v>0</v>
      </c>
      <c r="BH15" s="1000">
        <f t="shared" si="11"/>
        <v>0</v>
      </c>
      <c r="BI15" s="1000">
        <f t="shared" si="11"/>
        <v>0</v>
      </c>
      <c r="BJ15" s="1000">
        <f t="shared" si="11"/>
        <v>0</v>
      </c>
      <c r="BK15" s="1000">
        <f t="shared" si="11"/>
        <v>0</v>
      </c>
      <c r="BL15" s="1000">
        <f t="shared" si="11"/>
        <v>0</v>
      </c>
      <c r="BM15" s="1000">
        <f t="shared" si="11"/>
        <v>0</v>
      </c>
      <c r="BN15" s="1000">
        <f t="shared" si="11"/>
        <v>0</v>
      </c>
      <c r="BO15" s="1000">
        <f t="shared" si="11"/>
        <v>0</v>
      </c>
      <c r="BP15" s="1000">
        <f t="shared" si="11"/>
        <v>0</v>
      </c>
      <c r="BQ15" s="1000">
        <f t="shared" si="11"/>
        <v>0</v>
      </c>
      <c r="BR15" s="1000">
        <f t="shared" si="11"/>
        <v>0</v>
      </c>
      <c r="BS15" s="1000">
        <f t="shared" ref="BS15:CD15" si="12">SUM(BS16:BS22)</f>
        <v>0</v>
      </c>
      <c r="BT15" s="1000">
        <f t="shared" si="12"/>
        <v>0</v>
      </c>
      <c r="BU15" s="1000">
        <f t="shared" si="12"/>
        <v>0</v>
      </c>
      <c r="BV15" s="1000">
        <f t="shared" si="12"/>
        <v>0</v>
      </c>
      <c r="BW15" s="1000">
        <f t="shared" si="12"/>
        <v>0</v>
      </c>
      <c r="BX15" s="1000">
        <f t="shared" si="12"/>
        <v>0</v>
      </c>
      <c r="BY15" s="1000">
        <f t="shared" si="12"/>
        <v>0</v>
      </c>
      <c r="BZ15" s="1000">
        <f t="shared" si="12"/>
        <v>0</v>
      </c>
      <c r="CA15" s="1000">
        <f t="shared" si="12"/>
        <v>0</v>
      </c>
      <c r="CB15" s="1000">
        <f t="shared" si="12"/>
        <v>0</v>
      </c>
      <c r="CC15" s="1000">
        <f t="shared" si="12"/>
        <v>0</v>
      </c>
      <c r="CD15" s="1000">
        <f t="shared" si="12"/>
        <v>0</v>
      </c>
      <c r="CE15" s="1001">
        <f t="shared" si="4"/>
        <v>-200000000</v>
      </c>
      <c r="CF15" s="1002">
        <f t="shared" si="5"/>
        <v>0</v>
      </c>
      <c r="CG15" s="1002">
        <f t="shared" si="5"/>
        <v>-100000000</v>
      </c>
      <c r="CH15" s="643">
        <f t="shared" si="5"/>
        <v>-69566667</v>
      </c>
      <c r="CK15" s="39"/>
      <c r="CL15" s="1009">
        <f>+'[5]Anexo 5.2.A'!Z58</f>
        <v>0</v>
      </c>
      <c r="CM15" s="1009">
        <f>+'[5]Anexo 5.2.A'!AA58</f>
        <v>100000000</v>
      </c>
      <c r="CN15" s="1009">
        <f>+'[5]Anexo 5.2.A'!AB58</f>
        <v>69566667</v>
      </c>
    </row>
    <row r="16" spans="1:92" ht="78.75" customHeight="1" x14ac:dyDescent="0.25">
      <c r="A16" s="986" t="s">
        <v>150</v>
      </c>
      <c r="B16" s="998">
        <v>20000000</v>
      </c>
      <c r="C16" s="991">
        <f>C$15*(B16/B$15)</f>
        <v>20000000</v>
      </c>
      <c r="D16" s="991">
        <f t="shared" ref="D16:F16" si="13">D$15*(C16/C$15)</f>
        <v>3126432</v>
      </c>
      <c r="E16" s="991">
        <f t="shared" si="13"/>
        <v>1914332</v>
      </c>
      <c r="F16" s="991">
        <f t="shared" si="13"/>
        <v>1490132</v>
      </c>
      <c r="G16" s="988"/>
      <c r="H16" s="988"/>
      <c r="I16" s="988"/>
      <c r="J16" s="988"/>
      <c r="K16" s="988"/>
      <c r="L16" s="988"/>
      <c r="M16" s="988"/>
      <c r="N16" s="988"/>
      <c r="O16" s="1008"/>
      <c r="P16" s="1008"/>
      <c r="Q16" s="1008"/>
      <c r="R16" s="1008"/>
      <c r="S16" s="988"/>
      <c r="T16" s="988"/>
      <c r="U16" s="988"/>
      <c r="V16" s="988"/>
      <c r="W16" s="1008"/>
      <c r="X16" s="1008"/>
      <c r="Y16" s="1008"/>
      <c r="Z16" s="1008"/>
      <c r="AA16" s="1008"/>
      <c r="AB16" s="1008"/>
      <c r="AC16" s="1008"/>
      <c r="AD16" s="1008"/>
      <c r="AE16" s="1008"/>
      <c r="AF16" s="1008"/>
      <c r="AG16" s="1008"/>
      <c r="AH16" s="1008"/>
      <c r="AI16" s="1008"/>
      <c r="AJ16" s="1008"/>
      <c r="AK16" s="1008"/>
      <c r="AL16" s="1008"/>
      <c r="AM16" s="988"/>
      <c r="AN16" s="988"/>
      <c r="AO16" s="988"/>
      <c r="AP16" s="988"/>
      <c r="AQ16" s="991"/>
      <c r="AR16" s="991"/>
      <c r="AS16" s="991"/>
      <c r="AT16" s="991"/>
      <c r="AU16" s="991"/>
      <c r="AV16" s="991"/>
      <c r="AW16" s="991"/>
      <c r="AX16" s="991"/>
      <c r="AY16" s="991"/>
      <c r="AZ16" s="991"/>
      <c r="BA16" s="991"/>
      <c r="BB16" s="991"/>
      <c r="BC16" s="991"/>
      <c r="BD16" s="991"/>
      <c r="BE16" s="991"/>
      <c r="BF16" s="991"/>
      <c r="BG16" s="991"/>
      <c r="BH16" s="991"/>
      <c r="BI16" s="991"/>
      <c r="BJ16" s="991"/>
      <c r="BK16" s="988"/>
      <c r="BL16" s="988"/>
      <c r="BM16" s="988"/>
      <c r="BN16" s="988"/>
      <c r="BO16" s="991"/>
      <c r="BP16" s="991"/>
      <c r="BQ16" s="991"/>
      <c r="BR16" s="991"/>
      <c r="BS16" s="991"/>
      <c r="BT16" s="991"/>
      <c r="BU16" s="991"/>
      <c r="BV16" s="991"/>
      <c r="BW16" s="991"/>
      <c r="BX16" s="991"/>
      <c r="BY16" s="991"/>
      <c r="BZ16" s="991"/>
      <c r="CA16" s="640"/>
      <c r="CB16" s="640"/>
      <c r="CC16" s="640"/>
      <c r="CD16" s="640"/>
      <c r="CE16" s="641">
        <f t="shared" si="4"/>
        <v>-20000000</v>
      </c>
      <c r="CF16" s="642">
        <f t="shared" si="5"/>
        <v>-4776508.1085599996</v>
      </c>
      <c r="CG16" s="642">
        <f t="shared" si="5"/>
        <v>-4552855.1325599998</v>
      </c>
      <c r="CH16" s="643">
        <f t="shared" si="5"/>
        <v>0</v>
      </c>
      <c r="CI16" s="993"/>
      <c r="CK16" s="39" t="s">
        <v>150</v>
      </c>
      <c r="CL16" s="638">
        <v>4776508.1085599996</v>
      </c>
      <c r="CM16" s="638">
        <v>4552855.1325599998</v>
      </c>
    </row>
    <row r="17" spans="1:92" ht="33" x14ac:dyDescent="0.25">
      <c r="A17" s="986" t="s">
        <v>154</v>
      </c>
      <c r="B17" s="998">
        <v>50000000</v>
      </c>
      <c r="C17" s="991">
        <f t="shared" ref="C17:F22" si="14">C$15*(B17/B$15)</f>
        <v>50000000</v>
      </c>
      <c r="D17" s="991">
        <f t="shared" si="14"/>
        <v>7816080</v>
      </c>
      <c r="E17" s="991">
        <f t="shared" si="14"/>
        <v>4785830</v>
      </c>
      <c r="F17" s="991">
        <f t="shared" si="14"/>
        <v>3725330</v>
      </c>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91"/>
      <c r="AR17" s="991"/>
      <c r="AS17" s="991"/>
      <c r="AT17" s="991"/>
      <c r="AU17" s="991"/>
      <c r="AV17" s="991"/>
      <c r="AW17" s="991"/>
      <c r="AX17" s="991"/>
      <c r="AY17" s="991"/>
      <c r="AZ17" s="991"/>
      <c r="BA17" s="991"/>
      <c r="BB17" s="991"/>
      <c r="BC17" s="991"/>
      <c r="BD17" s="991"/>
      <c r="BE17" s="991"/>
      <c r="BF17" s="991"/>
      <c r="BG17" s="991"/>
      <c r="BH17" s="991"/>
      <c r="BI17" s="991"/>
      <c r="BJ17" s="991"/>
      <c r="BK17" s="988"/>
      <c r="BL17" s="988"/>
      <c r="BM17" s="988"/>
      <c r="BN17" s="988"/>
      <c r="BO17" s="991"/>
      <c r="BP17" s="991"/>
      <c r="BQ17" s="991"/>
      <c r="BR17" s="991"/>
      <c r="BS17" s="991"/>
      <c r="BT17" s="991"/>
      <c r="BU17" s="991"/>
      <c r="BV17" s="991"/>
      <c r="BW17" s="991"/>
      <c r="BX17" s="991"/>
      <c r="BY17" s="991"/>
      <c r="BZ17" s="991"/>
      <c r="CA17" s="640"/>
      <c r="CB17" s="640"/>
      <c r="CC17" s="640"/>
      <c r="CD17" s="640"/>
      <c r="CE17" s="641">
        <f t="shared" si="4"/>
        <v>-50000000</v>
      </c>
      <c r="CF17" s="642">
        <f t="shared" si="5"/>
        <v>-47120807.898864001</v>
      </c>
      <c r="CG17" s="642">
        <f t="shared" si="5"/>
        <v>-44914445.284464002</v>
      </c>
      <c r="CH17" s="643">
        <f t="shared" si="5"/>
        <v>0</v>
      </c>
      <c r="CK17" s="39" t="s">
        <v>154</v>
      </c>
      <c r="CL17" s="638">
        <v>47120807.898864001</v>
      </c>
      <c r="CM17" s="638">
        <v>44914445.284464002</v>
      </c>
    </row>
    <row r="18" spans="1:92" ht="33" x14ac:dyDescent="0.25">
      <c r="A18" s="986" t="s">
        <v>157</v>
      </c>
      <c r="B18" s="998">
        <v>0</v>
      </c>
      <c r="C18" s="991">
        <f t="shared" si="14"/>
        <v>0</v>
      </c>
      <c r="D18" s="991">
        <f t="shared" si="14"/>
        <v>0</v>
      </c>
      <c r="E18" s="991">
        <f t="shared" si="14"/>
        <v>0</v>
      </c>
      <c r="F18" s="991">
        <f t="shared" si="14"/>
        <v>0</v>
      </c>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91"/>
      <c r="AR18" s="991"/>
      <c r="AS18" s="991"/>
      <c r="AT18" s="991"/>
      <c r="AU18" s="991"/>
      <c r="AV18" s="991"/>
      <c r="AW18" s="991"/>
      <c r="AX18" s="991"/>
      <c r="AY18" s="991"/>
      <c r="AZ18" s="991"/>
      <c r="BA18" s="991"/>
      <c r="BB18" s="991"/>
      <c r="BC18" s="991"/>
      <c r="BD18" s="991"/>
      <c r="BE18" s="991"/>
      <c r="BF18" s="991"/>
      <c r="BG18" s="991"/>
      <c r="BH18" s="991"/>
      <c r="BI18" s="991"/>
      <c r="BJ18" s="991"/>
      <c r="BK18" s="988"/>
      <c r="BL18" s="988"/>
      <c r="BM18" s="988"/>
      <c r="BN18" s="988"/>
      <c r="BO18" s="991"/>
      <c r="BP18" s="991"/>
      <c r="BQ18" s="991"/>
      <c r="BR18" s="991"/>
      <c r="BS18" s="991"/>
      <c r="BT18" s="991"/>
      <c r="BU18" s="991"/>
      <c r="BV18" s="991"/>
      <c r="BW18" s="991"/>
      <c r="BX18" s="991"/>
      <c r="BY18" s="991"/>
      <c r="BZ18" s="991"/>
      <c r="CA18" s="640"/>
      <c r="CB18" s="640"/>
      <c r="CC18" s="640"/>
      <c r="CD18" s="640"/>
      <c r="CE18" s="641">
        <f t="shared" si="4"/>
        <v>0</v>
      </c>
      <c r="CF18" s="642">
        <f t="shared" si="5"/>
        <v>0</v>
      </c>
      <c r="CG18" s="642">
        <f t="shared" si="5"/>
        <v>0</v>
      </c>
      <c r="CH18" s="643">
        <f t="shared" si="5"/>
        <v>0</v>
      </c>
      <c r="CK18" s="39" t="s">
        <v>157</v>
      </c>
      <c r="CL18" s="638">
        <v>0</v>
      </c>
      <c r="CM18" s="638">
        <v>0</v>
      </c>
    </row>
    <row r="19" spans="1:92" ht="33" x14ac:dyDescent="0.25">
      <c r="A19" s="986" t="s">
        <v>159</v>
      </c>
      <c r="B19" s="998">
        <v>60000000</v>
      </c>
      <c r="C19" s="991">
        <f t="shared" si="14"/>
        <v>60000000</v>
      </c>
      <c r="D19" s="991">
        <f t="shared" si="14"/>
        <v>9379296</v>
      </c>
      <c r="E19" s="991">
        <f t="shared" si="14"/>
        <v>5742996</v>
      </c>
      <c r="F19" s="991">
        <f t="shared" si="14"/>
        <v>4470396</v>
      </c>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c r="AM19" s="988"/>
      <c r="AN19" s="988"/>
      <c r="AO19" s="988"/>
      <c r="AP19" s="988"/>
      <c r="AQ19" s="991"/>
      <c r="AR19" s="991"/>
      <c r="AS19" s="991"/>
      <c r="AT19" s="991"/>
      <c r="AU19" s="991"/>
      <c r="AV19" s="1010"/>
      <c r="AW19" s="1010"/>
      <c r="AX19" s="1011"/>
      <c r="AY19" s="991"/>
      <c r="AZ19" s="991"/>
      <c r="BA19" s="991"/>
      <c r="BB19" s="991"/>
      <c r="BC19" s="991"/>
      <c r="BD19" s="991"/>
      <c r="BE19" s="991"/>
      <c r="BF19" s="991"/>
      <c r="BG19" s="991"/>
      <c r="BH19" s="991"/>
      <c r="BI19" s="991"/>
      <c r="BJ19" s="991"/>
      <c r="BK19" s="988"/>
      <c r="BL19" s="988"/>
      <c r="BM19" s="988"/>
      <c r="BN19" s="988"/>
      <c r="BO19" s="991"/>
      <c r="BP19" s="991"/>
      <c r="BQ19" s="991"/>
      <c r="BR19" s="991"/>
      <c r="BS19" s="991"/>
      <c r="BT19" s="991"/>
      <c r="BU19" s="991"/>
      <c r="BV19" s="991"/>
      <c r="BW19" s="991"/>
      <c r="BX19" s="991"/>
      <c r="BY19" s="991"/>
      <c r="BZ19" s="991"/>
      <c r="CA19" s="640"/>
      <c r="CB19" s="640"/>
      <c r="CC19" s="640"/>
      <c r="CD19" s="640"/>
      <c r="CE19" s="641">
        <f t="shared" si="4"/>
        <v>-60000000</v>
      </c>
      <c r="CF19" s="642">
        <f t="shared" si="5"/>
        <v>-34220533.286288001</v>
      </c>
      <c r="CG19" s="642">
        <f t="shared" si="5"/>
        <v>-32618207.081488002</v>
      </c>
      <c r="CH19" s="643">
        <f t="shared" si="5"/>
        <v>0</v>
      </c>
      <c r="CK19" s="39" t="s">
        <v>159</v>
      </c>
      <c r="CL19" s="638">
        <v>34220533.286288001</v>
      </c>
      <c r="CM19" s="638">
        <v>32618207.081488002</v>
      </c>
    </row>
    <row r="20" spans="1:92" ht="33" x14ac:dyDescent="0.25">
      <c r="A20" s="986" t="s">
        <v>161</v>
      </c>
      <c r="B20" s="998">
        <v>10000000</v>
      </c>
      <c r="C20" s="991">
        <f t="shared" si="14"/>
        <v>10000000</v>
      </c>
      <c r="D20" s="991">
        <f t="shared" si="14"/>
        <v>1563216</v>
      </c>
      <c r="E20" s="991">
        <f t="shared" si="14"/>
        <v>957166</v>
      </c>
      <c r="F20" s="991">
        <f t="shared" si="14"/>
        <v>745066</v>
      </c>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c r="AL20" s="988"/>
      <c r="AM20" s="988"/>
      <c r="AN20" s="988"/>
      <c r="AO20" s="988"/>
      <c r="AP20" s="988"/>
      <c r="AQ20" s="991"/>
      <c r="AR20" s="991"/>
      <c r="AS20" s="991"/>
      <c r="AT20" s="991"/>
      <c r="AU20" s="991"/>
      <c r="AV20" s="991"/>
      <c r="AW20" s="991"/>
      <c r="AX20" s="991"/>
      <c r="AY20" s="991"/>
      <c r="AZ20" s="991"/>
      <c r="BA20" s="991"/>
      <c r="BB20" s="991"/>
      <c r="BC20" s="991"/>
      <c r="BD20" s="991"/>
      <c r="BE20" s="991"/>
      <c r="BF20" s="991"/>
      <c r="BG20" s="991"/>
      <c r="BH20" s="991"/>
      <c r="BI20" s="991"/>
      <c r="BJ20" s="991"/>
      <c r="BK20" s="988"/>
      <c r="BL20" s="988"/>
      <c r="BM20" s="988"/>
      <c r="BN20" s="988"/>
      <c r="BO20" s="991"/>
      <c r="BP20" s="991"/>
      <c r="BQ20" s="991"/>
      <c r="BR20" s="991"/>
      <c r="BS20" s="991"/>
      <c r="BT20" s="991"/>
      <c r="BU20" s="991"/>
      <c r="BV20" s="991"/>
      <c r="BW20" s="991"/>
      <c r="BX20" s="991"/>
      <c r="BY20" s="991"/>
      <c r="BZ20" s="991"/>
      <c r="CA20" s="640"/>
      <c r="CB20" s="640"/>
      <c r="CC20" s="640"/>
      <c r="CD20" s="640"/>
      <c r="CE20" s="641">
        <f t="shared" si="4"/>
        <v>-10000000</v>
      </c>
      <c r="CF20" s="642">
        <f t="shared" si="5"/>
        <v>-15706935.966288</v>
      </c>
      <c r="CG20" s="642">
        <f t="shared" si="5"/>
        <v>-14971481.761488</v>
      </c>
      <c r="CH20" s="643">
        <f t="shared" si="5"/>
        <v>0</v>
      </c>
      <c r="CK20" s="39" t="s">
        <v>161</v>
      </c>
      <c r="CL20" s="638">
        <v>15706935.966288</v>
      </c>
      <c r="CM20" s="638">
        <v>14971481.761488</v>
      </c>
    </row>
    <row r="21" spans="1:92" ht="33" x14ac:dyDescent="0.25">
      <c r="A21" s="986" t="s">
        <v>164</v>
      </c>
      <c r="B21" s="998">
        <v>60000000</v>
      </c>
      <c r="C21" s="991">
        <f t="shared" si="14"/>
        <v>60000000</v>
      </c>
      <c r="D21" s="991">
        <f t="shared" si="14"/>
        <v>9379296</v>
      </c>
      <c r="E21" s="991">
        <f t="shared" si="14"/>
        <v>5742996</v>
      </c>
      <c r="F21" s="991">
        <f t="shared" si="14"/>
        <v>4470396</v>
      </c>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c r="AL21" s="988"/>
      <c r="AM21" s="988"/>
      <c r="AN21" s="988"/>
      <c r="AO21" s="988"/>
      <c r="AP21" s="988"/>
      <c r="AQ21" s="991"/>
      <c r="AR21" s="991"/>
      <c r="AS21" s="991"/>
      <c r="AT21" s="991"/>
      <c r="AU21" s="991"/>
      <c r="AV21" s="991"/>
      <c r="AW21" s="991"/>
      <c r="AX21" s="991"/>
      <c r="AY21" s="991"/>
      <c r="AZ21" s="991"/>
      <c r="BA21" s="991"/>
      <c r="BB21" s="991"/>
      <c r="BC21" s="991"/>
      <c r="BD21" s="991"/>
      <c r="BE21" s="991"/>
      <c r="BF21" s="991"/>
      <c r="BG21" s="991"/>
      <c r="BH21" s="991"/>
      <c r="BI21" s="991"/>
      <c r="BJ21" s="991"/>
      <c r="BK21" s="988"/>
      <c r="BL21" s="988"/>
      <c r="BM21" s="988"/>
      <c r="BN21" s="988"/>
      <c r="BO21" s="991"/>
      <c r="BP21" s="991"/>
      <c r="BQ21" s="991"/>
      <c r="BR21" s="991"/>
      <c r="BS21" s="991"/>
      <c r="BT21" s="991"/>
      <c r="BU21" s="991"/>
      <c r="BV21" s="991"/>
      <c r="BW21" s="991"/>
      <c r="BX21" s="991"/>
      <c r="BY21" s="991"/>
      <c r="BZ21" s="991"/>
      <c r="CA21" s="640"/>
      <c r="CB21" s="640"/>
      <c r="CC21" s="640"/>
      <c r="CD21" s="640"/>
      <c r="CE21" s="641">
        <f t="shared" si="4"/>
        <v>-60000000</v>
      </c>
      <c r="CF21" s="642">
        <f t="shared" si="5"/>
        <v>-9256798.6600000001</v>
      </c>
      <c r="CG21" s="642">
        <f t="shared" si="5"/>
        <v>-8823362.6600000001</v>
      </c>
      <c r="CH21" s="643">
        <f t="shared" si="5"/>
        <v>0</v>
      </c>
      <c r="CK21" s="39" t="s">
        <v>164</v>
      </c>
      <c r="CL21" s="638">
        <v>9256798.6600000001</v>
      </c>
      <c r="CM21" s="638">
        <v>8823362.6600000001</v>
      </c>
    </row>
    <row r="22" spans="1:92" ht="33" x14ac:dyDescent="0.25">
      <c r="A22" s="986" t="s">
        <v>1557</v>
      </c>
      <c r="B22" s="998">
        <v>0</v>
      </c>
      <c r="C22" s="991">
        <f t="shared" si="14"/>
        <v>0</v>
      </c>
      <c r="D22" s="991">
        <f t="shared" si="14"/>
        <v>0</v>
      </c>
      <c r="E22" s="991">
        <f t="shared" si="14"/>
        <v>0</v>
      </c>
      <c r="F22" s="991">
        <f t="shared" si="14"/>
        <v>0</v>
      </c>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8"/>
      <c r="AO22" s="988"/>
      <c r="AP22" s="988"/>
      <c r="AQ22" s="991"/>
      <c r="AR22" s="991"/>
      <c r="AS22" s="991"/>
      <c r="AT22" s="991"/>
      <c r="AU22" s="991"/>
      <c r="AV22" s="991"/>
      <c r="AW22" s="991"/>
      <c r="AX22" s="991"/>
      <c r="AY22" s="991"/>
      <c r="AZ22" s="991"/>
      <c r="BA22" s="991"/>
      <c r="BB22" s="991"/>
      <c r="BC22" s="991"/>
      <c r="BD22" s="991"/>
      <c r="BE22" s="991"/>
      <c r="BF22" s="991"/>
      <c r="BG22" s="991"/>
      <c r="BH22" s="991"/>
      <c r="BI22" s="991"/>
      <c r="BJ22" s="991"/>
      <c r="BK22" s="991"/>
      <c r="BL22" s="1010"/>
      <c r="BM22" s="1010"/>
      <c r="BN22" s="1011"/>
      <c r="BO22" s="991"/>
      <c r="BP22" s="991"/>
      <c r="BQ22" s="991"/>
      <c r="BR22" s="991"/>
      <c r="BS22" s="991"/>
      <c r="BT22" s="991"/>
      <c r="BU22" s="991"/>
      <c r="BV22" s="991"/>
      <c r="BW22" s="991"/>
      <c r="BX22" s="991"/>
      <c r="BY22" s="991"/>
      <c r="BZ22" s="991"/>
      <c r="CA22" s="640"/>
      <c r="CB22" s="640"/>
      <c r="CC22" s="640"/>
      <c r="CD22" s="640"/>
      <c r="CE22" s="641">
        <f t="shared" si="4"/>
        <v>0</v>
      </c>
      <c r="CF22" s="642">
        <f t="shared" si="5"/>
        <v>-351758349.07999998</v>
      </c>
      <c r="CG22" s="642">
        <f t="shared" si="5"/>
        <v>-335287781.07999998</v>
      </c>
      <c r="CH22" s="643">
        <f t="shared" si="5"/>
        <v>0</v>
      </c>
      <c r="CK22" s="39" t="s">
        <v>165</v>
      </c>
      <c r="CL22" s="638">
        <v>351758349.07999998</v>
      </c>
      <c r="CM22" s="638">
        <v>335287781.07999998</v>
      </c>
    </row>
    <row r="23" spans="1:92" s="982" customFormat="1" ht="33" x14ac:dyDescent="0.25">
      <c r="A23" s="644" t="s">
        <v>166</v>
      </c>
      <c r="B23" s="645">
        <v>80000000</v>
      </c>
      <c r="C23" s="645">
        <v>80000000</v>
      </c>
      <c r="D23" s="645">
        <v>8000000</v>
      </c>
      <c r="E23" s="645">
        <v>0</v>
      </c>
      <c r="F23" s="645">
        <v>0</v>
      </c>
      <c r="G23" s="645">
        <f t="shared" ref="G23:BR23" si="15">SUM(G24:G28)</f>
        <v>0</v>
      </c>
      <c r="H23" s="645">
        <f t="shared" si="15"/>
        <v>0</v>
      </c>
      <c r="I23" s="645">
        <f t="shared" si="15"/>
        <v>0</v>
      </c>
      <c r="J23" s="645">
        <f t="shared" si="15"/>
        <v>0</v>
      </c>
      <c r="K23" s="645">
        <f t="shared" si="15"/>
        <v>0</v>
      </c>
      <c r="L23" s="645">
        <f t="shared" si="15"/>
        <v>0</v>
      </c>
      <c r="M23" s="645">
        <f t="shared" si="15"/>
        <v>0</v>
      </c>
      <c r="N23" s="645">
        <f t="shared" si="15"/>
        <v>0</v>
      </c>
      <c r="O23" s="645">
        <f t="shared" si="15"/>
        <v>0</v>
      </c>
      <c r="P23" s="645">
        <f t="shared" si="15"/>
        <v>0</v>
      </c>
      <c r="Q23" s="645">
        <f t="shared" si="15"/>
        <v>0</v>
      </c>
      <c r="R23" s="645">
        <f t="shared" si="15"/>
        <v>0</v>
      </c>
      <c r="S23" s="645">
        <f t="shared" si="15"/>
        <v>0</v>
      </c>
      <c r="T23" s="645">
        <f t="shared" si="15"/>
        <v>0</v>
      </c>
      <c r="U23" s="645">
        <f t="shared" si="15"/>
        <v>0</v>
      </c>
      <c r="V23" s="645">
        <f t="shared" si="15"/>
        <v>0</v>
      </c>
      <c r="W23" s="645">
        <f t="shared" si="15"/>
        <v>0</v>
      </c>
      <c r="X23" s="645">
        <f t="shared" si="15"/>
        <v>0</v>
      </c>
      <c r="Y23" s="645">
        <f t="shared" si="15"/>
        <v>0</v>
      </c>
      <c r="Z23" s="645">
        <f t="shared" si="15"/>
        <v>0</v>
      </c>
      <c r="AA23" s="645">
        <f t="shared" si="15"/>
        <v>0</v>
      </c>
      <c r="AB23" s="645">
        <f t="shared" si="15"/>
        <v>0</v>
      </c>
      <c r="AC23" s="645">
        <f t="shared" si="15"/>
        <v>0</v>
      </c>
      <c r="AD23" s="645">
        <f t="shared" si="15"/>
        <v>0</v>
      </c>
      <c r="AE23" s="645">
        <f t="shared" si="15"/>
        <v>0</v>
      </c>
      <c r="AF23" s="645">
        <f t="shared" si="15"/>
        <v>0</v>
      </c>
      <c r="AG23" s="645">
        <f t="shared" si="15"/>
        <v>0</v>
      </c>
      <c r="AH23" s="645">
        <f t="shared" si="15"/>
        <v>0</v>
      </c>
      <c r="AI23" s="645">
        <f t="shared" si="15"/>
        <v>0</v>
      </c>
      <c r="AJ23" s="645">
        <f t="shared" si="15"/>
        <v>0</v>
      </c>
      <c r="AK23" s="645">
        <f t="shared" si="15"/>
        <v>0</v>
      </c>
      <c r="AL23" s="645">
        <f t="shared" si="15"/>
        <v>0</v>
      </c>
      <c r="AM23" s="645">
        <f t="shared" si="15"/>
        <v>0</v>
      </c>
      <c r="AN23" s="645">
        <f t="shared" si="15"/>
        <v>0</v>
      </c>
      <c r="AO23" s="645">
        <f t="shared" si="15"/>
        <v>0</v>
      </c>
      <c r="AP23" s="645">
        <f t="shared" si="15"/>
        <v>0</v>
      </c>
      <c r="AQ23" s="645">
        <f t="shared" si="15"/>
        <v>0</v>
      </c>
      <c r="AR23" s="645">
        <f t="shared" si="15"/>
        <v>0</v>
      </c>
      <c r="AS23" s="645">
        <f t="shared" si="15"/>
        <v>0</v>
      </c>
      <c r="AT23" s="645">
        <f t="shared" si="15"/>
        <v>0</v>
      </c>
      <c r="AU23" s="645">
        <f t="shared" si="15"/>
        <v>0</v>
      </c>
      <c r="AV23" s="645">
        <f t="shared" si="15"/>
        <v>0</v>
      </c>
      <c r="AW23" s="645">
        <f t="shared" si="15"/>
        <v>0</v>
      </c>
      <c r="AX23" s="645">
        <f t="shared" si="15"/>
        <v>0</v>
      </c>
      <c r="AY23" s="645">
        <f t="shared" si="15"/>
        <v>0</v>
      </c>
      <c r="AZ23" s="645">
        <f t="shared" si="15"/>
        <v>0</v>
      </c>
      <c r="BA23" s="645">
        <f t="shared" si="15"/>
        <v>0</v>
      </c>
      <c r="BB23" s="645">
        <f t="shared" si="15"/>
        <v>0</v>
      </c>
      <c r="BC23" s="645">
        <f t="shared" si="15"/>
        <v>0</v>
      </c>
      <c r="BD23" s="645">
        <f t="shared" si="15"/>
        <v>0</v>
      </c>
      <c r="BE23" s="645">
        <f t="shared" si="15"/>
        <v>0</v>
      </c>
      <c r="BF23" s="645">
        <f t="shared" si="15"/>
        <v>0</v>
      </c>
      <c r="BG23" s="645">
        <f t="shared" si="15"/>
        <v>0</v>
      </c>
      <c r="BH23" s="645">
        <f t="shared" si="15"/>
        <v>0</v>
      </c>
      <c r="BI23" s="645">
        <f t="shared" si="15"/>
        <v>0</v>
      </c>
      <c r="BJ23" s="645">
        <f t="shared" si="15"/>
        <v>0</v>
      </c>
      <c r="BK23" s="645">
        <f t="shared" si="15"/>
        <v>0</v>
      </c>
      <c r="BL23" s="645">
        <f t="shared" si="15"/>
        <v>0</v>
      </c>
      <c r="BM23" s="645">
        <f t="shared" si="15"/>
        <v>0</v>
      </c>
      <c r="BN23" s="645">
        <f t="shared" si="15"/>
        <v>0</v>
      </c>
      <c r="BO23" s="645">
        <f t="shared" si="15"/>
        <v>0</v>
      </c>
      <c r="BP23" s="645">
        <f t="shared" si="15"/>
        <v>0</v>
      </c>
      <c r="BQ23" s="645">
        <f t="shared" si="15"/>
        <v>0</v>
      </c>
      <c r="BR23" s="645">
        <f t="shared" si="15"/>
        <v>0</v>
      </c>
      <c r="BS23" s="645">
        <f t="shared" ref="BS23:CD23" si="16">SUM(BS24:BS28)</f>
        <v>0</v>
      </c>
      <c r="BT23" s="645">
        <f t="shared" si="16"/>
        <v>0</v>
      </c>
      <c r="BU23" s="645">
        <f t="shared" si="16"/>
        <v>0</v>
      </c>
      <c r="BV23" s="645">
        <f t="shared" si="16"/>
        <v>0</v>
      </c>
      <c r="BW23" s="645">
        <f t="shared" si="16"/>
        <v>0</v>
      </c>
      <c r="BX23" s="645">
        <f t="shared" si="16"/>
        <v>0</v>
      </c>
      <c r="BY23" s="645">
        <f t="shared" si="16"/>
        <v>0</v>
      </c>
      <c r="BZ23" s="645">
        <f t="shared" si="16"/>
        <v>0</v>
      </c>
      <c r="CA23" s="645">
        <f t="shared" si="16"/>
        <v>80000000</v>
      </c>
      <c r="CB23" s="645">
        <f t="shared" si="16"/>
        <v>8000000</v>
      </c>
      <c r="CC23" s="645">
        <f t="shared" si="16"/>
        <v>0</v>
      </c>
      <c r="CD23" s="645" t="e">
        <f t="shared" si="16"/>
        <v>#DIV/0!</v>
      </c>
      <c r="CE23" s="1001">
        <f t="shared" si="4"/>
        <v>0</v>
      </c>
      <c r="CF23" s="1002">
        <f t="shared" si="5"/>
        <v>8000000</v>
      </c>
      <c r="CG23" s="1002">
        <f t="shared" si="5"/>
        <v>0</v>
      </c>
      <c r="CH23" s="646" t="e">
        <f t="shared" si="5"/>
        <v>#DIV/0!</v>
      </c>
      <c r="CJ23" s="983"/>
      <c r="CK23" s="1003"/>
      <c r="CL23" s="1004">
        <f>+'[5]Anexo 5.2.A'!Z62</f>
        <v>0</v>
      </c>
      <c r="CM23" s="1004">
        <f>+'[5]Anexo 5.2.A'!AA62</f>
        <v>0</v>
      </c>
      <c r="CN23" s="1004">
        <f>+'[5]Anexo 5.2.A'!AB62</f>
        <v>0</v>
      </c>
    </row>
    <row r="24" spans="1:92" s="996" customFormat="1" ht="33" x14ac:dyDescent="0.3">
      <c r="A24" s="647" t="s">
        <v>1558</v>
      </c>
      <c r="B24" s="1005">
        <v>0</v>
      </c>
      <c r="C24" s="1005">
        <f>C$23*(B24/B$23)</f>
        <v>0</v>
      </c>
      <c r="D24" s="1005">
        <f t="shared" ref="D24:F25" si="17">D$23*(C24/C$23)</f>
        <v>0</v>
      </c>
      <c r="E24" s="1005">
        <f t="shared" si="17"/>
        <v>0</v>
      </c>
      <c r="F24" s="1005" t="e">
        <f t="shared" si="17"/>
        <v>#DIV/0!</v>
      </c>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994"/>
      <c r="AK24" s="994"/>
      <c r="AL24" s="994"/>
      <c r="AM24" s="994"/>
      <c r="AN24" s="994"/>
      <c r="AO24" s="994"/>
      <c r="AP24" s="994"/>
      <c r="AQ24" s="991"/>
      <c r="AR24" s="991"/>
      <c r="AS24" s="991"/>
      <c r="AT24" s="991"/>
      <c r="AU24" s="991"/>
      <c r="AV24" s="991"/>
      <c r="AW24" s="991"/>
      <c r="AX24" s="991"/>
      <c r="AY24" s="991"/>
      <c r="AZ24" s="991"/>
      <c r="BA24" s="991"/>
      <c r="BB24" s="991"/>
      <c r="BC24" s="991"/>
      <c r="BD24" s="991"/>
      <c r="BE24" s="991"/>
      <c r="BF24" s="991"/>
      <c r="BG24" s="991"/>
      <c r="BH24" s="991"/>
      <c r="BI24" s="991"/>
      <c r="BJ24" s="991"/>
      <c r="BK24" s="991"/>
      <c r="BL24" s="991"/>
      <c r="BM24" s="991"/>
      <c r="BN24" s="991"/>
      <c r="BO24" s="991"/>
      <c r="BP24" s="991"/>
      <c r="BQ24" s="991"/>
      <c r="BR24" s="991"/>
      <c r="BS24" s="991"/>
      <c r="BT24" s="991"/>
      <c r="BU24" s="991"/>
      <c r="BV24" s="991"/>
      <c r="BW24" s="991"/>
      <c r="BX24" s="991"/>
      <c r="BY24" s="991"/>
      <c r="BZ24" s="991"/>
      <c r="CA24" s="640">
        <f t="shared" si="6"/>
        <v>0</v>
      </c>
      <c r="CB24" s="640">
        <f t="shared" si="6"/>
        <v>0</v>
      </c>
      <c r="CC24" s="640">
        <f t="shared" si="6"/>
        <v>0</v>
      </c>
      <c r="CD24" s="640" t="e">
        <f t="shared" si="6"/>
        <v>#DIV/0!</v>
      </c>
      <c r="CE24" s="641">
        <f t="shared" si="4"/>
        <v>0</v>
      </c>
      <c r="CF24" s="642">
        <f t="shared" si="5"/>
        <v>-40212999.999999993</v>
      </c>
      <c r="CG24" s="642">
        <f t="shared" si="5"/>
        <v>-40213000</v>
      </c>
      <c r="CH24" s="643" t="e">
        <f t="shared" si="5"/>
        <v>#DIV/0!</v>
      </c>
      <c r="CI24" s="993"/>
      <c r="CK24" s="39" t="s">
        <v>167</v>
      </c>
      <c r="CL24" s="638">
        <v>40212999.999999993</v>
      </c>
      <c r="CM24" s="638">
        <v>40213000</v>
      </c>
    </row>
    <row r="25" spans="1:92" s="996" customFormat="1" ht="33" x14ac:dyDescent="0.3">
      <c r="A25" s="647" t="s">
        <v>1559</v>
      </c>
      <c r="B25" s="1005">
        <v>70000000</v>
      </c>
      <c r="C25" s="1005">
        <f>C$23*(B25/B$23)</f>
        <v>70000000</v>
      </c>
      <c r="D25" s="1005">
        <f t="shared" si="17"/>
        <v>7000000</v>
      </c>
      <c r="E25" s="1005">
        <f t="shared" si="17"/>
        <v>0</v>
      </c>
      <c r="F25" s="1005" t="e">
        <f t="shared" si="17"/>
        <v>#DIV/0!</v>
      </c>
      <c r="G25" s="994"/>
      <c r="H25" s="994"/>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4"/>
      <c r="AL25" s="994"/>
      <c r="AM25" s="994"/>
      <c r="AN25" s="994"/>
      <c r="AO25" s="994"/>
      <c r="AP25" s="994"/>
      <c r="AQ25" s="991"/>
      <c r="AR25" s="991"/>
      <c r="AS25" s="991"/>
      <c r="AT25" s="991"/>
      <c r="AU25" s="991"/>
      <c r="AV25" s="991"/>
      <c r="AW25" s="991"/>
      <c r="AX25" s="991"/>
      <c r="AY25" s="991"/>
      <c r="AZ25" s="991"/>
      <c r="BA25" s="991"/>
      <c r="BB25" s="991"/>
      <c r="BC25" s="991"/>
      <c r="BD25" s="991"/>
      <c r="BE25" s="991"/>
      <c r="BF25" s="991"/>
      <c r="BG25" s="991"/>
      <c r="BH25" s="991"/>
      <c r="BI25" s="991"/>
      <c r="BJ25" s="991"/>
      <c r="BK25" s="991"/>
      <c r="BL25" s="991"/>
      <c r="BM25" s="991"/>
      <c r="BN25" s="991"/>
      <c r="BO25" s="991"/>
      <c r="BP25" s="991"/>
      <c r="BQ25" s="991"/>
      <c r="BR25" s="991"/>
      <c r="BS25" s="991"/>
      <c r="BT25" s="991"/>
      <c r="BU25" s="991"/>
      <c r="BV25" s="991"/>
      <c r="BW25" s="991"/>
      <c r="BX25" s="991"/>
      <c r="BY25" s="991"/>
      <c r="BZ25" s="991"/>
      <c r="CA25" s="640">
        <f t="shared" si="6"/>
        <v>70000000</v>
      </c>
      <c r="CB25" s="640">
        <f t="shared" si="6"/>
        <v>7000000</v>
      </c>
      <c r="CC25" s="640">
        <f t="shared" si="6"/>
        <v>0</v>
      </c>
      <c r="CD25" s="640" t="e">
        <f t="shared" si="6"/>
        <v>#DIV/0!</v>
      </c>
      <c r="CE25" s="641">
        <f t="shared" si="4"/>
        <v>0</v>
      </c>
      <c r="CF25" s="642">
        <f t="shared" si="5"/>
        <v>1638266.666666667</v>
      </c>
      <c r="CG25" s="642">
        <f t="shared" si="5"/>
        <v>-5361733.333333333</v>
      </c>
      <c r="CH25" s="997" t="e">
        <f t="shared" si="5"/>
        <v>#DIV/0!</v>
      </c>
      <c r="CK25" s="39" t="s">
        <v>172</v>
      </c>
      <c r="CL25" s="638">
        <v>5361733.333333333</v>
      </c>
      <c r="CM25" s="638">
        <v>5361733.333333333</v>
      </c>
    </row>
    <row r="26" spans="1:92" ht="33" x14ac:dyDescent="0.25">
      <c r="A26" s="647" t="s">
        <v>176</v>
      </c>
      <c r="B26" s="1012">
        <v>0</v>
      </c>
      <c r="C26" s="1005">
        <f t="shared" ref="C26:F28" si="18">C$23*(B26/B$23)</f>
        <v>0</v>
      </c>
      <c r="D26" s="1005">
        <f t="shared" si="18"/>
        <v>0</v>
      </c>
      <c r="E26" s="1005">
        <f t="shared" si="18"/>
        <v>0</v>
      </c>
      <c r="F26" s="1005" t="e">
        <f t="shared" si="18"/>
        <v>#DIV/0!</v>
      </c>
      <c r="G26" s="988"/>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c r="AL26" s="988"/>
      <c r="AM26" s="988"/>
      <c r="AN26" s="988"/>
      <c r="AO26" s="988"/>
      <c r="AP26" s="988"/>
      <c r="AQ26" s="991"/>
      <c r="AR26" s="991"/>
      <c r="AS26" s="991"/>
      <c r="AT26" s="991"/>
      <c r="AU26" s="991"/>
      <c r="AV26" s="991"/>
      <c r="AW26" s="991"/>
      <c r="AX26" s="991"/>
      <c r="AY26" s="991"/>
      <c r="AZ26" s="991"/>
      <c r="BA26" s="991"/>
      <c r="BB26" s="991"/>
      <c r="BC26" s="991"/>
      <c r="BD26" s="991"/>
      <c r="BE26" s="991"/>
      <c r="BF26" s="991"/>
      <c r="BG26" s="991"/>
      <c r="BH26" s="991"/>
      <c r="BI26" s="991"/>
      <c r="BJ26" s="991"/>
      <c r="BK26" s="991"/>
      <c r="BL26" s="991"/>
      <c r="BM26" s="991"/>
      <c r="BN26" s="991"/>
      <c r="BO26" s="991"/>
      <c r="BP26" s="991"/>
      <c r="BQ26" s="991"/>
      <c r="BR26" s="991"/>
      <c r="BS26" s="991"/>
      <c r="BT26" s="991"/>
      <c r="BU26" s="991"/>
      <c r="BV26" s="991"/>
      <c r="BW26" s="991"/>
      <c r="BX26" s="991"/>
      <c r="BY26" s="991"/>
      <c r="BZ26" s="991"/>
      <c r="CA26" s="640">
        <f t="shared" si="6"/>
        <v>0</v>
      </c>
      <c r="CB26" s="640">
        <f t="shared" si="6"/>
        <v>0</v>
      </c>
      <c r="CC26" s="640">
        <f t="shared" si="6"/>
        <v>0</v>
      </c>
      <c r="CD26" s="640" t="e">
        <f t="shared" si="6"/>
        <v>#DIV/0!</v>
      </c>
      <c r="CE26" s="641">
        <f t="shared" si="4"/>
        <v>0</v>
      </c>
      <c r="CF26" s="642">
        <f t="shared" si="5"/>
        <v>-34851266.666666664</v>
      </c>
      <c r="CG26" s="642">
        <f t="shared" si="5"/>
        <v>-34851266.666666664</v>
      </c>
      <c r="CH26" s="643" t="e">
        <f t="shared" si="5"/>
        <v>#DIV/0!</v>
      </c>
      <c r="CK26" s="39" t="s">
        <v>176</v>
      </c>
      <c r="CL26" s="638">
        <v>34851266.666666664</v>
      </c>
      <c r="CM26" s="638">
        <v>34851266.666666664</v>
      </c>
    </row>
    <row r="27" spans="1:92" ht="33" x14ac:dyDescent="0.25">
      <c r="A27" s="647" t="s">
        <v>178</v>
      </c>
      <c r="B27" s="1005">
        <v>10000000</v>
      </c>
      <c r="C27" s="1005">
        <f t="shared" si="18"/>
        <v>10000000</v>
      </c>
      <c r="D27" s="1005">
        <f t="shared" si="18"/>
        <v>1000000</v>
      </c>
      <c r="E27" s="1005">
        <f t="shared" si="18"/>
        <v>0</v>
      </c>
      <c r="F27" s="1005" t="e">
        <f t="shared" si="18"/>
        <v>#DIV/0!</v>
      </c>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652"/>
      <c r="AF27" s="652"/>
      <c r="AG27" s="652"/>
      <c r="AH27" s="652"/>
      <c r="AI27" s="652"/>
      <c r="AJ27" s="652"/>
      <c r="AK27" s="652"/>
      <c r="AL27" s="652"/>
      <c r="AM27" s="652"/>
      <c r="AN27" s="652"/>
      <c r="AO27" s="652"/>
      <c r="AP27" s="652"/>
      <c r="AQ27" s="988"/>
      <c r="AR27" s="988"/>
      <c r="AS27" s="988"/>
      <c r="AT27" s="988"/>
      <c r="AU27" s="988"/>
      <c r="AV27" s="988"/>
      <c r="AW27" s="988"/>
      <c r="AX27" s="988"/>
      <c r="AY27" s="652"/>
      <c r="AZ27" s="652"/>
      <c r="BA27" s="652"/>
      <c r="BB27" s="652"/>
      <c r="BC27" s="652"/>
      <c r="BD27" s="652"/>
      <c r="BE27" s="652"/>
      <c r="BF27" s="652"/>
      <c r="BG27" s="652"/>
      <c r="BH27" s="652"/>
      <c r="BI27" s="652"/>
      <c r="BJ27" s="652"/>
      <c r="BK27" s="652"/>
      <c r="BL27" s="652"/>
      <c r="BM27" s="652"/>
      <c r="BN27" s="652"/>
      <c r="BO27" s="652"/>
      <c r="BP27" s="652"/>
      <c r="BQ27" s="652"/>
      <c r="BR27" s="652"/>
      <c r="BS27" s="991"/>
      <c r="BT27" s="991"/>
      <c r="BU27" s="991"/>
      <c r="BV27" s="991"/>
      <c r="BW27" s="991"/>
      <c r="BX27" s="991"/>
      <c r="BY27" s="991"/>
      <c r="BZ27" s="991"/>
      <c r="CA27" s="640">
        <f t="shared" si="6"/>
        <v>10000000</v>
      </c>
      <c r="CB27" s="640">
        <f t="shared" si="6"/>
        <v>1000000</v>
      </c>
      <c r="CC27" s="640">
        <f t="shared" si="6"/>
        <v>0</v>
      </c>
      <c r="CD27" s="640" t="e">
        <f t="shared" si="6"/>
        <v>#DIV/0!</v>
      </c>
      <c r="CE27" s="641">
        <f t="shared" si="4"/>
        <v>0</v>
      </c>
      <c r="CF27" s="642">
        <f t="shared" si="5"/>
        <v>1000000</v>
      </c>
      <c r="CG27" s="642">
        <f t="shared" si="5"/>
        <v>0</v>
      </c>
      <c r="CH27" s="643" t="e">
        <f t="shared" si="5"/>
        <v>#DIV/0!</v>
      </c>
      <c r="CK27" s="39" t="s">
        <v>178</v>
      </c>
      <c r="CL27" s="638">
        <v>0</v>
      </c>
      <c r="CM27" s="638">
        <v>0</v>
      </c>
    </row>
    <row r="28" spans="1:92" ht="33" x14ac:dyDescent="0.25">
      <c r="A28" s="647" t="s">
        <v>181</v>
      </c>
      <c r="B28" s="1005"/>
      <c r="C28" s="1005">
        <f t="shared" si="18"/>
        <v>0</v>
      </c>
      <c r="D28" s="1005">
        <f t="shared" si="18"/>
        <v>0</v>
      </c>
      <c r="E28" s="1005">
        <f t="shared" si="18"/>
        <v>0</v>
      </c>
      <c r="F28" s="1005" t="e">
        <f t="shared" si="18"/>
        <v>#DIV/0!</v>
      </c>
      <c r="G28" s="988"/>
      <c r="H28" s="988"/>
      <c r="I28" s="988"/>
      <c r="J28" s="988"/>
      <c r="K28" s="988"/>
      <c r="L28" s="988"/>
      <c r="M28" s="988"/>
      <c r="N28" s="988"/>
      <c r="O28" s="988"/>
      <c r="P28" s="988"/>
      <c r="Q28" s="988"/>
      <c r="R28" s="988"/>
      <c r="S28" s="988"/>
      <c r="T28" s="988"/>
      <c r="U28" s="988"/>
      <c r="V28" s="988"/>
      <c r="W28" s="988"/>
      <c r="X28" s="988"/>
      <c r="Y28" s="988"/>
      <c r="Z28" s="988"/>
      <c r="AA28" s="988"/>
      <c r="AB28" s="988"/>
      <c r="AC28" s="988"/>
      <c r="AD28" s="988"/>
      <c r="AE28" s="652"/>
      <c r="AF28" s="652"/>
      <c r="AG28" s="652"/>
      <c r="AH28" s="652"/>
      <c r="AI28" s="652"/>
      <c r="AJ28" s="652"/>
      <c r="AK28" s="652"/>
      <c r="AL28" s="652"/>
      <c r="AM28" s="652"/>
      <c r="AN28" s="652"/>
      <c r="AO28" s="652"/>
      <c r="AP28" s="652"/>
      <c r="AQ28" s="988"/>
      <c r="AR28" s="988"/>
      <c r="AS28" s="988"/>
      <c r="AT28" s="988"/>
      <c r="AU28" s="988"/>
      <c r="AV28" s="988"/>
      <c r="AW28" s="988"/>
      <c r="AX28" s="988"/>
      <c r="AY28" s="652"/>
      <c r="AZ28" s="652"/>
      <c r="BA28" s="652"/>
      <c r="BB28" s="652"/>
      <c r="BC28" s="652"/>
      <c r="BD28" s="652"/>
      <c r="BE28" s="652"/>
      <c r="BF28" s="652"/>
      <c r="BG28" s="652"/>
      <c r="BH28" s="652"/>
      <c r="BI28" s="652"/>
      <c r="BJ28" s="652"/>
      <c r="BK28" s="652"/>
      <c r="BL28" s="652"/>
      <c r="BM28" s="652"/>
      <c r="BN28" s="652"/>
      <c r="BO28" s="652"/>
      <c r="BP28" s="652"/>
      <c r="BQ28" s="652"/>
      <c r="BR28" s="652"/>
      <c r="BS28" s="991"/>
      <c r="BT28" s="991"/>
      <c r="BU28" s="991"/>
      <c r="BV28" s="991"/>
      <c r="BW28" s="991"/>
      <c r="BX28" s="991"/>
      <c r="BY28" s="991"/>
      <c r="BZ28" s="991"/>
      <c r="CA28" s="640">
        <f t="shared" si="6"/>
        <v>0</v>
      </c>
      <c r="CB28" s="640">
        <f t="shared" si="6"/>
        <v>0</v>
      </c>
      <c r="CC28" s="640">
        <f t="shared" si="6"/>
        <v>0</v>
      </c>
      <c r="CD28" s="640" t="e">
        <f t="shared" si="6"/>
        <v>#DIV/0!</v>
      </c>
      <c r="CE28" s="641">
        <f t="shared" si="4"/>
        <v>0</v>
      </c>
      <c r="CF28" s="642">
        <f t="shared" si="5"/>
        <v>0</v>
      </c>
      <c r="CG28" s="642">
        <f t="shared" si="5"/>
        <v>0</v>
      </c>
      <c r="CH28" s="643" t="e">
        <f t="shared" si="5"/>
        <v>#DIV/0!</v>
      </c>
      <c r="CK28" s="39" t="s">
        <v>181</v>
      </c>
    </row>
    <row r="29" spans="1:92" s="982" customFormat="1" ht="33" x14ac:dyDescent="0.25">
      <c r="A29" s="644" t="s">
        <v>183</v>
      </c>
      <c r="B29" s="645">
        <v>300000000</v>
      </c>
      <c r="C29" s="645">
        <v>300000000</v>
      </c>
      <c r="D29" s="645">
        <v>217135646</v>
      </c>
      <c r="E29" s="645">
        <v>62257113</v>
      </c>
      <c r="F29" s="645">
        <v>49924433</v>
      </c>
      <c r="G29" s="645">
        <f t="shared" ref="G29:BR29" si="19">SUM(G30:G34)</f>
        <v>0</v>
      </c>
      <c r="H29" s="645">
        <f t="shared" si="19"/>
        <v>0</v>
      </c>
      <c r="I29" s="645">
        <f t="shared" si="19"/>
        <v>0</v>
      </c>
      <c r="J29" s="645">
        <f t="shared" si="19"/>
        <v>0</v>
      </c>
      <c r="K29" s="645">
        <f t="shared" si="19"/>
        <v>0</v>
      </c>
      <c r="L29" s="645">
        <f t="shared" si="19"/>
        <v>0</v>
      </c>
      <c r="M29" s="645">
        <f t="shared" si="19"/>
        <v>0</v>
      </c>
      <c r="N29" s="645">
        <f t="shared" si="19"/>
        <v>0</v>
      </c>
      <c r="O29" s="645">
        <f t="shared" si="19"/>
        <v>0</v>
      </c>
      <c r="P29" s="645">
        <f t="shared" si="19"/>
        <v>0</v>
      </c>
      <c r="Q29" s="645">
        <f t="shared" si="19"/>
        <v>0</v>
      </c>
      <c r="R29" s="645">
        <f t="shared" si="19"/>
        <v>0</v>
      </c>
      <c r="S29" s="645">
        <f t="shared" si="19"/>
        <v>0</v>
      </c>
      <c r="T29" s="645">
        <f t="shared" si="19"/>
        <v>0</v>
      </c>
      <c r="U29" s="645">
        <f t="shared" si="19"/>
        <v>0</v>
      </c>
      <c r="V29" s="645">
        <f t="shared" si="19"/>
        <v>0</v>
      </c>
      <c r="W29" s="645">
        <f t="shared" si="19"/>
        <v>0</v>
      </c>
      <c r="X29" s="645">
        <f t="shared" si="19"/>
        <v>0</v>
      </c>
      <c r="Y29" s="645">
        <f t="shared" si="19"/>
        <v>0</v>
      </c>
      <c r="Z29" s="645">
        <f t="shared" si="19"/>
        <v>0</v>
      </c>
      <c r="AA29" s="645">
        <f t="shared" si="19"/>
        <v>0</v>
      </c>
      <c r="AB29" s="645">
        <f t="shared" si="19"/>
        <v>0</v>
      </c>
      <c r="AC29" s="645">
        <f t="shared" si="19"/>
        <v>0</v>
      </c>
      <c r="AD29" s="645">
        <f t="shared" si="19"/>
        <v>0</v>
      </c>
      <c r="AE29" s="645">
        <f t="shared" si="19"/>
        <v>0</v>
      </c>
      <c r="AF29" s="645">
        <f t="shared" si="19"/>
        <v>0</v>
      </c>
      <c r="AG29" s="645">
        <f t="shared" si="19"/>
        <v>0</v>
      </c>
      <c r="AH29" s="645">
        <f t="shared" si="19"/>
        <v>0</v>
      </c>
      <c r="AI29" s="645">
        <f t="shared" si="19"/>
        <v>0</v>
      </c>
      <c r="AJ29" s="645">
        <f t="shared" si="19"/>
        <v>0</v>
      </c>
      <c r="AK29" s="645">
        <f t="shared" si="19"/>
        <v>0</v>
      </c>
      <c r="AL29" s="645">
        <f t="shared" si="19"/>
        <v>0</v>
      </c>
      <c r="AM29" s="645">
        <f t="shared" si="19"/>
        <v>0</v>
      </c>
      <c r="AN29" s="645">
        <f t="shared" si="19"/>
        <v>0</v>
      </c>
      <c r="AO29" s="645">
        <f t="shared" si="19"/>
        <v>0</v>
      </c>
      <c r="AP29" s="645">
        <f t="shared" si="19"/>
        <v>0</v>
      </c>
      <c r="AQ29" s="645">
        <f t="shared" si="19"/>
        <v>0</v>
      </c>
      <c r="AR29" s="645">
        <f t="shared" si="19"/>
        <v>0</v>
      </c>
      <c r="AS29" s="645">
        <f t="shared" si="19"/>
        <v>0</v>
      </c>
      <c r="AT29" s="645">
        <f t="shared" si="19"/>
        <v>0</v>
      </c>
      <c r="AU29" s="645">
        <f t="shared" si="19"/>
        <v>0</v>
      </c>
      <c r="AV29" s="645">
        <f t="shared" si="19"/>
        <v>0</v>
      </c>
      <c r="AW29" s="645">
        <f t="shared" si="19"/>
        <v>0</v>
      </c>
      <c r="AX29" s="645">
        <f t="shared" si="19"/>
        <v>0</v>
      </c>
      <c r="AY29" s="645">
        <f t="shared" si="19"/>
        <v>0</v>
      </c>
      <c r="AZ29" s="645">
        <f t="shared" si="19"/>
        <v>0</v>
      </c>
      <c r="BA29" s="645">
        <f t="shared" si="19"/>
        <v>0</v>
      </c>
      <c r="BB29" s="645">
        <f t="shared" si="19"/>
        <v>0</v>
      </c>
      <c r="BC29" s="645">
        <f t="shared" si="19"/>
        <v>0</v>
      </c>
      <c r="BD29" s="645">
        <f t="shared" si="19"/>
        <v>0</v>
      </c>
      <c r="BE29" s="645">
        <f t="shared" si="19"/>
        <v>0</v>
      </c>
      <c r="BF29" s="645">
        <f t="shared" si="19"/>
        <v>0</v>
      </c>
      <c r="BG29" s="645">
        <f t="shared" si="19"/>
        <v>0</v>
      </c>
      <c r="BH29" s="645">
        <f t="shared" si="19"/>
        <v>0</v>
      </c>
      <c r="BI29" s="645">
        <f t="shared" si="19"/>
        <v>0</v>
      </c>
      <c r="BJ29" s="645">
        <f t="shared" si="19"/>
        <v>0</v>
      </c>
      <c r="BK29" s="645">
        <f t="shared" si="19"/>
        <v>0</v>
      </c>
      <c r="BL29" s="645">
        <f t="shared" si="19"/>
        <v>0</v>
      </c>
      <c r="BM29" s="645">
        <f t="shared" si="19"/>
        <v>0</v>
      </c>
      <c r="BN29" s="645">
        <f t="shared" si="19"/>
        <v>0</v>
      </c>
      <c r="BO29" s="645">
        <f t="shared" si="19"/>
        <v>0</v>
      </c>
      <c r="BP29" s="645">
        <f t="shared" si="19"/>
        <v>0</v>
      </c>
      <c r="BQ29" s="645">
        <f t="shared" si="19"/>
        <v>0</v>
      </c>
      <c r="BR29" s="645">
        <f t="shared" si="19"/>
        <v>0</v>
      </c>
      <c r="BS29" s="645">
        <f t="shared" ref="BS29:CD29" si="20">SUM(BS30:BS34)</f>
        <v>0</v>
      </c>
      <c r="BT29" s="645">
        <f t="shared" si="20"/>
        <v>0</v>
      </c>
      <c r="BU29" s="645">
        <f t="shared" si="20"/>
        <v>0</v>
      </c>
      <c r="BV29" s="645">
        <f t="shared" si="20"/>
        <v>0</v>
      </c>
      <c r="BW29" s="645">
        <f t="shared" si="20"/>
        <v>0</v>
      </c>
      <c r="BX29" s="645">
        <f t="shared" si="20"/>
        <v>0</v>
      </c>
      <c r="BY29" s="645">
        <f t="shared" si="20"/>
        <v>0</v>
      </c>
      <c r="BZ29" s="645">
        <f t="shared" si="20"/>
        <v>0</v>
      </c>
      <c r="CA29" s="1000">
        <f t="shared" si="20"/>
        <v>300000000</v>
      </c>
      <c r="CB29" s="1000">
        <f t="shared" si="20"/>
        <v>217135645.99999997</v>
      </c>
      <c r="CC29" s="1000">
        <f t="shared" si="20"/>
        <v>62257113</v>
      </c>
      <c r="CD29" s="1000">
        <f t="shared" si="20"/>
        <v>49924433</v>
      </c>
      <c r="CE29" s="1001">
        <f t="shared" si="4"/>
        <v>0</v>
      </c>
      <c r="CF29" s="1002">
        <f t="shared" si="5"/>
        <v>217135645.99999997</v>
      </c>
      <c r="CG29" s="1002">
        <f t="shared" si="5"/>
        <v>62257113</v>
      </c>
      <c r="CH29" s="646">
        <f t="shared" si="5"/>
        <v>49924433</v>
      </c>
      <c r="CJ29" s="983"/>
      <c r="CK29" s="1003"/>
      <c r="CL29" s="1004">
        <f>+'[5]Anexo 5.2.A'!Z66</f>
        <v>0</v>
      </c>
      <c r="CM29" s="1004">
        <f>+'[5]Anexo 5.2.A'!AA66</f>
        <v>0</v>
      </c>
      <c r="CN29" s="1004">
        <f>+'[5]Anexo 5.2.A'!AB66</f>
        <v>0</v>
      </c>
    </row>
    <row r="30" spans="1:92" s="996" customFormat="1" ht="66" x14ac:dyDescent="0.3">
      <c r="A30" s="986" t="s">
        <v>1560</v>
      </c>
      <c r="B30" s="1005">
        <v>200000000</v>
      </c>
      <c r="C30" s="1005">
        <f>C$29*(B30/B$29)</f>
        <v>200000000</v>
      </c>
      <c r="D30" s="1005">
        <f t="shared" ref="D30:F30" si="21">D$29*(C30/C$29)</f>
        <v>144757097.33333331</v>
      </c>
      <c r="E30" s="1005">
        <f t="shared" si="21"/>
        <v>41504742</v>
      </c>
      <c r="F30" s="1005">
        <f t="shared" si="21"/>
        <v>33282955.333333332</v>
      </c>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4"/>
      <c r="BN30" s="994"/>
      <c r="BO30" s="994"/>
      <c r="BP30" s="994"/>
      <c r="BQ30" s="994"/>
      <c r="BR30" s="994"/>
      <c r="BS30" s="991"/>
      <c r="BT30" s="991"/>
      <c r="BU30" s="991"/>
      <c r="BV30" s="991"/>
      <c r="BW30" s="991"/>
      <c r="BX30" s="991"/>
      <c r="BY30" s="991"/>
      <c r="BZ30" s="991"/>
      <c r="CA30" s="640">
        <f t="shared" si="6"/>
        <v>200000000</v>
      </c>
      <c r="CB30" s="640">
        <f t="shared" si="6"/>
        <v>144757097.33333331</v>
      </c>
      <c r="CC30" s="640">
        <f t="shared" si="6"/>
        <v>41504742</v>
      </c>
      <c r="CD30" s="640">
        <f t="shared" si="6"/>
        <v>33282955.333333332</v>
      </c>
      <c r="CE30" s="641">
        <f t="shared" si="4"/>
        <v>0</v>
      </c>
      <c r="CF30" s="642">
        <f t="shared" si="5"/>
        <v>-68723306.691626698</v>
      </c>
      <c r="CG30" s="642">
        <f t="shared" si="5"/>
        <v>-55079119.441599995</v>
      </c>
      <c r="CH30" s="643">
        <f t="shared" si="5"/>
        <v>33282955.333333332</v>
      </c>
      <c r="CI30" s="993"/>
      <c r="CK30" s="39" t="s">
        <v>184</v>
      </c>
      <c r="CL30" s="638">
        <v>213480404.02496001</v>
      </c>
      <c r="CM30" s="638">
        <v>96583861.441599995</v>
      </c>
    </row>
    <row r="31" spans="1:92" ht="33" x14ac:dyDescent="0.25">
      <c r="A31" s="986" t="s">
        <v>191</v>
      </c>
      <c r="B31" s="1005">
        <v>0</v>
      </c>
      <c r="C31" s="1005">
        <f t="shared" ref="C31:F34" si="22">C$29*(B31/B$29)</f>
        <v>0</v>
      </c>
      <c r="D31" s="1005">
        <f t="shared" si="22"/>
        <v>0</v>
      </c>
      <c r="E31" s="1005">
        <f t="shared" si="22"/>
        <v>0</v>
      </c>
      <c r="F31" s="1005">
        <f t="shared" si="22"/>
        <v>0</v>
      </c>
      <c r="G31" s="988"/>
      <c r="H31" s="988"/>
      <c r="I31" s="988"/>
      <c r="J31" s="988"/>
      <c r="K31" s="1008"/>
      <c r="L31" s="1008"/>
      <c r="M31" s="1008"/>
      <c r="N31" s="1008"/>
      <c r="O31" s="989"/>
      <c r="P31" s="989"/>
      <c r="Q31" s="989"/>
      <c r="R31" s="989"/>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c r="AU31" s="988"/>
      <c r="AV31" s="988"/>
      <c r="AW31" s="988"/>
      <c r="AX31" s="988"/>
      <c r="AY31" s="988"/>
      <c r="AZ31" s="988"/>
      <c r="BA31" s="988"/>
      <c r="BB31" s="988"/>
      <c r="BC31" s="988"/>
      <c r="BD31" s="988"/>
      <c r="BE31" s="988"/>
      <c r="BF31" s="988"/>
      <c r="BG31" s="988"/>
      <c r="BH31" s="988"/>
      <c r="BI31" s="988"/>
      <c r="BJ31" s="988"/>
      <c r="BK31" s="988"/>
      <c r="BL31" s="988"/>
      <c r="BM31" s="988"/>
      <c r="BN31" s="988"/>
      <c r="BO31" s="988"/>
      <c r="BP31" s="988"/>
      <c r="BQ31" s="988"/>
      <c r="BR31" s="988"/>
      <c r="BS31" s="988"/>
      <c r="BT31" s="988"/>
      <c r="BU31" s="988"/>
      <c r="BV31" s="988"/>
      <c r="BW31" s="988"/>
      <c r="BX31" s="988"/>
      <c r="BY31" s="988"/>
      <c r="BZ31" s="988"/>
      <c r="CA31" s="640">
        <f t="shared" si="6"/>
        <v>0</v>
      </c>
      <c r="CB31" s="640">
        <f t="shared" si="6"/>
        <v>0</v>
      </c>
      <c r="CC31" s="640">
        <f t="shared" si="6"/>
        <v>0</v>
      </c>
      <c r="CD31" s="640">
        <f t="shared" si="6"/>
        <v>0</v>
      </c>
      <c r="CE31" s="641">
        <f t="shared" si="4"/>
        <v>0</v>
      </c>
      <c r="CF31" s="642">
        <f t="shared" si="5"/>
        <v>0</v>
      </c>
      <c r="CG31" s="642">
        <f t="shared" si="5"/>
        <v>0</v>
      </c>
      <c r="CH31" s="643">
        <f t="shared" si="5"/>
        <v>0</v>
      </c>
      <c r="CK31" s="39" t="s">
        <v>191</v>
      </c>
    </row>
    <row r="32" spans="1:92" s="996" customFormat="1" ht="49.5" x14ac:dyDescent="0.3">
      <c r="A32" s="986" t="s">
        <v>1561</v>
      </c>
      <c r="B32" s="1005">
        <v>0</v>
      </c>
      <c r="C32" s="1005">
        <f t="shared" si="22"/>
        <v>0</v>
      </c>
      <c r="D32" s="1005">
        <f t="shared" si="22"/>
        <v>0</v>
      </c>
      <c r="E32" s="1005">
        <f t="shared" si="22"/>
        <v>0</v>
      </c>
      <c r="F32" s="1005">
        <f t="shared" si="22"/>
        <v>0</v>
      </c>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c r="AL32" s="994"/>
      <c r="AM32" s="994"/>
      <c r="AN32" s="994"/>
      <c r="AO32" s="994"/>
      <c r="AP32" s="994"/>
      <c r="AQ32" s="994"/>
      <c r="AR32" s="994"/>
      <c r="AS32" s="994"/>
      <c r="AT32" s="994"/>
      <c r="AU32" s="994"/>
      <c r="AV32" s="994"/>
      <c r="AW32" s="994"/>
      <c r="AX32" s="994"/>
      <c r="AY32" s="994"/>
      <c r="AZ32" s="994"/>
      <c r="BA32" s="994"/>
      <c r="BB32" s="994"/>
      <c r="BC32" s="994"/>
      <c r="BD32" s="994"/>
      <c r="BE32" s="994"/>
      <c r="BF32" s="994"/>
      <c r="BG32" s="994"/>
      <c r="BH32" s="994"/>
      <c r="BI32" s="994"/>
      <c r="BJ32" s="994"/>
      <c r="BK32" s="994"/>
      <c r="BL32" s="994"/>
      <c r="BM32" s="994"/>
      <c r="BN32" s="994"/>
      <c r="BO32" s="994"/>
      <c r="BP32" s="994"/>
      <c r="BQ32" s="994"/>
      <c r="BR32" s="994"/>
      <c r="BS32" s="994"/>
      <c r="BT32" s="994"/>
      <c r="BU32" s="994"/>
      <c r="BV32" s="994"/>
      <c r="BW32" s="994"/>
      <c r="BX32" s="994"/>
      <c r="BY32" s="994"/>
      <c r="BZ32" s="994"/>
      <c r="CA32" s="640">
        <f t="shared" si="6"/>
        <v>0</v>
      </c>
      <c r="CB32" s="640">
        <f t="shared" si="6"/>
        <v>0</v>
      </c>
      <c r="CC32" s="640">
        <f t="shared" si="6"/>
        <v>0</v>
      </c>
      <c r="CD32" s="640">
        <f t="shared" si="6"/>
        <v>0</v>
      </c>
      <c r="CE32" s="641">
        <f t="shared" si="4"/>
        <v>0</v>
      </c>
      <c r="CF32" s="642">
        <f t="shared" si="5"/>
        <v>0</v>
      </c>
      <c r="CG32" s="642">
        <f t="shared" si="5"/>
        <v>0</v>
      </c>
      <c r="CH32" s="997">
        <f t="shared" si="5"/>
        <v>0</v>
      </c>
      <c r="CK32" s="1013" t="s">
        <v>188</v>
      </c>
      <c r="CL32" s="638"/>
      <c r="CM32" s="638"/>
    </row>
    <row r="33" spans="1:92" ht="64.5" customHeight="1" x14ac:dyDescent="0.25">
      <c r="A33" s="986" t="s">
        <v>196</v>
      </c>
      <c r="B33" s="1005">
        <v>0</v>
      </c>
      <c r="C33" s="1005">
        <f t="shared" si="22"/>
        <v>0</v>
      </c>
      <c r="D33" s="1005">
        <f t="shared" si="22"/>
        <v>0</v>
      </c>
      <c r="E33" s="1005">
        <f t="shared" si="22"/>
        <v>0</v>
      </c>
      <c r="F33" s="1005">
        <f t="shared" si="22"/>
        <v>0</v>
      </c>
      <c r="G33" s="1014"/>
      <c r="H33" s="1014"/>
      <c r="I33" s="1014"/>
      <c r="J33" s="1014"/>
      <c r="K33" s="1014"/>
      <c r="L33" s="1014"/>
      <c r="M33" s="1014"/>
      <c r="N33" s="1014"/>
      <c r="O33" s="1014"/>
      <c r="P33" s="1014"/>
      <c r="Q33" s="1014"/>
      <c r="R33" s="1014"/>
      <c r="S33" s="1014"/>
      <c r="T33" s="1014"/>
      <c r="U33" s="1014"/>
      <c r="V33" s="1014"/>
      <c r="W33" s="1014"/>
      <c r="X33" s="1014"/>
      <c r="Y33" s="1014"/>
      <c r="Z33" s="1014"/>
      <c r="AA33" s="1014"/>
      <c r="AB33" s="1014"/>
      <c r="AC33" s="1014"/>
      <c r="AD33" s="1014"/>
      <c r="AE33" s="988"/>
      <c r="AF33" s="988"/>
      <c r="AG33" s="988"/>
      <c r="AH33" s="988"/>
      <c r="AI33" s="988"/>
      <c r="AJ33" s="988"/>
      <c r="AK33" s="988"/>
      <c r="AL33" s="988"/>
      <c r="AM33" s="988"/>
      <c r="AN33" s="988"/>
      <c r="AO33" s="988"/>
      <c r="AP33" s="988"/>
      <c r="AQ33" s="988"/>
      <c r="AR33" s="988"/>
      <c r="AS33" s="988"/>
      <c r="AT33" s="988"/>
      <c r="AU33" s="988"/>
      <c r="AV33" s="988"/>
      <c r="AW33" s="988"/>
      <c r="AX33" s="988"/>
      <c r="AY33" s="988"/>
      <c r="AZ33" s="988"/>
      <c r="BA33" s="988"/>
      <c r="BB33" s="988"/>
      <c r="BC33" s="988"/>
      <c r="BD33" s="988"/>
      <c r="BE33" s="988"/>
      <c r="BF33" s="988"/>
      <c r="BG33" s="988"/>
      <c r="BH33" s="988"/>
      <c r="BI33" s="988"/>
      <c r="BJ33" s="988"/>
      <c r="BK33" s="988"/>
      <c r="BL33" s="988"/>
      <c r="BM33" s="988"/>
      <c r="BN33" s="988"/>
      <c r="BO33" s="988"/>
      <c r="BP33" s="988"/>
      <c r="BQ33" s="988"/>
      <c r="BR33" s="988"/>
      <c r="BS33" s="1008"/>
      <c r="BT33" s="1008"/>
      <c r="BU33" s="1008"/>
      <c r="BV33" s="1008"/>
      <c r="BW33" s="1008"/>
      <c r="BX33" s="1008"/>
      <c r="BY33" s="1008"/>
      <c r="BZ33" s="1008"/>
      <c r="CA33" s="640">
        <f t="shared" si="6"/>
        <v>0</v>
      </c>
      <c r="CB33" s="640">
        <f t="shared" si="6"/>
        <v>0</v>
      </c>
      <c r="CC33" s="640">
        <f t="shared" si="6"/>
        <v>0</v>
      </c>
      <c r="CD33" s="640">
        <f t="shared" si="6"/>
        <v>0</v>
      </c>
      <c r="CE33" s="641">
        <f t="shared" si="4"/>
        <v>0</v>
      </c>
      <c r="CF33" s="642">
        <f t="shared" si="5"/>
        <v>-114447276.38444</v>
      </c>
      <c r="CG33" s="642">
        <f t="shared" si="5"/>
        <v>-51778803.469900005</v>
      </c>
      <c r="CH33" s="643">
        <f t="shared" si="5"/>
        <v>0</v>
      </c>
      <c r="CK33" s="39" t="s">
        <v>196</v>
      </c>
      <c r="CL33" s="638">
        <v>114447276.38444</v>
      </c>
      <c r="CM33" s="638">
        <v>51778803.469900005</v>
      </c>
    </row>
    <row r="34" spans="1:92" s="996" customFormat="1" ht="68.25" customHeight="1" x14ac:dyDescent="0.3">
      <c r="A34" s="986" t="s">
        <v>194</v>
      </c>
      <c r="B34" s="1005">
        <v>100000000</v>
      </c>
      <c r="C34" s="1005">
        <f t="shared" si="22"/>
        <v>100000000</v>
      </c>
      <c r="D34" s="1005">
        <f t="shared" si="22"/>
        <v>72378548.666666657</v>
      </c>
      <c r="E34" s="1005">
        <f t="shared" si="22"/>
        <v>20752371</v>
      </c>
      <c r="F34" s="1005">
        <f t="shared" si="22"/>
        <v>16641477.666666666</v>
      </c>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994"/>
      <c r="AI34" s="994"/>
      <c r="AJ34" s="994"/>
      <c r="AK34" s="994"/>
      <c r="AL34" s="994"/>
      <c r="AM34" s="994"/>
      <c r="AN34" s="994"/>
      <c r="AO34" s="994"/>
      <c r="AP34" s="994"/>
      <c r="AQ34" s="994"/>
      <c r="AR34" s="994"/>
      <c r="AS34" s="994"/>
      <c r="AT34" s="994"/>
      <c r="AU34" s="994"/>
      <c r="AV34" s="994"/>
      <c r="AW34" s="994"/>
      <c r="AX34" s="994"/>
      <c r="AY34" s="994"/>
      <c r="AZ34" s="994"/>
      <c r="BA34" s="994"/>
      <c r="BB34" s="994"/>
      <c r="BC34" s="994"/>
      <c r="BD34" s="994"/>
      <c r="BE34" s="994"/>
      <c r="BF34" s="994"/>
      <c r="BG34" s="994"/>
      <c r="BH34" s="994"/>
      <c r="BI34" s="994"/>
      <c r="BJ34" s="994"/>
      <c r="BK34" s="994"/>
      <c r="BL34" s="994"/>
      <c r="BM34" s="994"/>
      <c r="BN34" s="994"/>
      <c r="BO34" s="994"/>
      <c r="BP34" s="994"/>
      <c r="BQ34" s="994"/>
      <c r="BR34" s="994"/>
      <c r="BS34" s="991"/>
      <c r="BT34" s="991"/>
      <c r="BU34" s="991"/>
      <c r="BV34" s="991"/>
      <c r="BW34" s="991"/>
      <c r="BX34" s="991"/>
      <c r="BY34" s="991"/>
      <c r="BZ34" s="991"/>
      <c r="CA34" s="640">
        <f t="shared" si="6"/>
        <v>100000000</v>
      </c>
      <c r="CB34" s="640">
        <f t="shared" si="6"/>
        <v>72378548.666666657</v>
      </c>
      <c r="CC34" s="640">
        <f t="shared" si="6"/>
        <v>20752371</v>
      </c>
      <c r="CD34" s="640">
        <f t="shared" si="6"/>
        <v>16641477.666666666</v>
      </c>
      <c r="CE34" s="641">
        <f t="shared" si="4"/>
        <v>0</v>
      </c>
      <c r="CF34" s="642">
        <f t="shared" si="5"/>
        <v>3443491.0760666579</v>
      </c>
      <c r="CG34" s="642">
        <f t="shared" si="5"/>
        <v>-10435569.088500001</v>
      </c>
      <c r="CH34" s="997">
        <f t="shared" si="5"/>
        <v>16641477.666666666</v>
      </c>
      <c r="CK34" s="1013" t="s">
        <v>194</v>
      </c>
      <c r="CL34" s="638">
        <v>68935057.590599999</v>
      </c>
      <c r="CM34" s="638">
        <v>31187940.088500001</v>
      </c>
    </row>
    <row r="35" spans="1:92" s="996" customFormat="1" ht="68.25" customHeight="1" x14ac:dyDescent="0.3">
      <c r="A35" s="651" t="s">
        <v>198</v>
      </c>
      <c r="B35" s="645">
        <v>2200400677</v>
      </c>
      <c r="C35" s="645">
        <v>1570400677</v>
      </c>
      <c r="D35" s="645">
        <v>1524926187</v>
      </c>
      <c r="E35" s="645">
        <v>14809000</v>
      </c>
      <c r="F35" s="645">
        <v>14809000</v>
      </c>
      <c r="G35" s="645">
        <v>630000000</v>
      </c>
      <c r="H35" s="645">
        <v>625000000</v>
      </c>
      <c r="I35" s="645">
        <v>0</v>
      </c>
      <c r="J35" s="645">
        <v>0</v>
      </c>
      <c r="K35" s="1000">
        <f t="shared" ref="K35:BV35" si="23">SUM(K36:K44)</f>
        <v>0</v>
      </c>
      <c r="L35" s="1000">
        <f t="shared" si="23"/>
        <v>0</v>
      </c>
      <c r="M35" s="1000">
        <f t="shared" si="23"/>
        <v>0</v>
      </c>
      <c r="N35" s="1000">
        <f t="shared" si="23"/>
        <v>0</v>
      </c>
      <c r="O35" s="1000">
        <f t="shared" si="23"/>
        <v>0</v>
      </c>
      <c r="P35" s="1000">
        <f t="shared" si="23"/>
        <v>0</v>
      </c>
      <c r="Q35" s="1000">
        <f t="shared" si="23"/>
        <v>0</v>
      </c>
      <c r="R35" s="1000">
        <f t="shared" si="23"/>
        <v>0</v>
      </c>
      <c r="S35" s="1000">
        <f t="shared" si="23"/>
        <v>0</v>
      </c>
      <c r="T35" s="1000">
        <f t="shared" si="23"/>
        <v>0</v>
      </c>
      <c r="U35" s="1000">
        <f t="shared" si="23"/>
        <v>0</v>
      </c>
      <c r="V35" s="1000">
        <f t="shared" si="23"/>
        <v>0</v>
      </c>
      <c r="W35" s="1000">
        <f t="shared" si="23"/>
        <v>0</v>
      </c>
      <c r="X35" s="1000">
        <f t="shared" si="23"/>
        <v>0</v>
      </c>
      <c r="Y35" s="1000">
        <f t="shared" si="23"/>
        <v>0</v>
      </c>
      <c r="Z35" s="1000">
        <f t="shared" si="23"/>
        <v>0</v>
      </c>
      <c r="AA35" s="1000">
        <f t="shared" si="23"/>
        <v>0</v>
      </c>
      <c r="AB35" s="1000">
        <f t="shared" si="23"/>
        <v>0</v>
      </c>
      <c r="AC35" s="1000">
        <f t="shared" si="23"/>
        <v>0</v>
      </c>
      <c r="AD35" s="1000">
        <f t="shared" si="23"/>
        <v>0</v>
      </c>
      <c r="AE35" s="1000">
        <f t="shared" si="23"/>
        <v>0</v>
      </c>
      <c r="AF35" s="1000">
        <f t="shared" si="23"/>
        <v>0</v>
      </c>
      <c r="AG35" s="1000">
        <f t="shared" si="23"/>
        <v>0</v>
      </c>
      <c r="AH35" s="1000">
        <f t="shared" si="23"/>
        <v>0</v>
      </c>
      <c r="AI35" s="1000">
        <f t="shared" si="23"/>
        <v>0</v>
      </c>
      <c r="AJ35" s="1000">
        <f t="shared" si="23"/>
        <v>0</v>
      </c>
      <c r="AK35" s="1000">
        <f t="shared" si="23"/>
        <v>0</v>
      </c>
      <c r="AL35" s="1000">
        <f t="shared" si="23"/>
        <v>0</v>
      </c>
      <c r="AM35" s="1000">
        <v>0</v>
      </c>
      <c r="AN35" s="1000">
        <f t="shared" si="23"/>
        <v>0</v>
      </c>
      <c r="AO35" s="1000">
        <f t="shared" si="23"/>
        <v>0</v>
      </c>
      <c r="AP35" s="1000">
        <f t="shared" si="23"/>
        <v>0</v>
      </c>
      <c r="AQ35" s="1000">
        <f t="shared" si="23"/>
        <v>0</v>
      </c>
      <c r="AR35" s="1000">
        <f t="shared" si="23"/>
        <v>0</v>
      </c>
      <c r="AS35" s="1000">
        <f t="shared" si="23"/>
        <v>0</v>
      </c>
      <c r="AT35" s="1000">
        <f t="shared" si="23"/>
        <v>0</v>
      </c>
      <c r="AU35" s="1000">
        <f t="shared" si="23"/>
        <v>0</v>
      </c>
      <c r="AV35" s="1000">
        <f t="shared" si="23"/>
        <v>0</v>
      </c>
      <c r="AW35" s="1000">
        <f t="shared" si="23"/>
        <v>0</v>
      </c>
      <c r="AX35" s="1000">
        <f t="shared" si="23"/>
        <v>0</v>
      </c>
      <c r="AY35" s="1000">
        <f t="shared" si="23"/>
        <v>0</v>
      </c>
      <c r="AZ35" s="1000">
        <f t="shared" si="23"/>
        <v>0</v>
      </c>
      <c r="BA35" s="1000">
        <f t="shared" si="23"/>
        <v>0</v>
      </c>
      <c r="BB35" s="1000">
        <f t="shared" si="23"/>
        <v>0</v>
      </c>
      <c r="BC35" s="1000">
        <f t="shared" si="23"/>
        <v>0</v>
      </c>
      <c r="BD35" s="1000">
        <f t="shared" si="23"/>
        <v>0</v>
      </c>
      <c r="BE35" s="1000">
        <f t="shared" si="23"/>
        <v>0</v>
      </c>
      <c r="BF35" s="1000">
        <f t="shared" si="23"/>
        <v>0</v>
      </c>
      <c r="BG35" s="1000">
        <f t="shared" si="23"/>
        <v>0</v>
      </c>
      <c r="BH35" s="1000">
        <f t="shared" si="23"/>
        <v>0</v>
      </c>
      <c r="BI35" s="1000">
        <f t="shared" si="23"/>
        <v>0</v>
      </c>
      <c r="BJ35" s="1000">
        <f t="shared" si="23"/>
        <v>0</v>
      </c>
      <c r="BK35" s="1000">
        <f t="shared" si="23"/>
        <v>0</v>
      </c>
      <c r="BL35" s="1000">
        <f t="shared" si="23"/>
        <v>0</v>
      </c>
      <c r="BM35" s="1000">
        <f t="shared" si="23"/>
        <v>0</v>
      </c>
      <c r="BN35" s="1000">
        <f t="shared" si="23"/>
        <v>0</v>
      </c>
      <c r="BO35" s="1000">
        <f t="shared" si="23"/>
        <v>0</v>
      </c>
      <c r="BP35" s="1000">
        <f t="shared" si="23"/>
        <v>0</v>
      </c>
      <c r="BQ35" s="1000">
        <f t="shared" si="23"/>
        <v>0</v>
      </c>
      <c r="BR35" s="1000">
        <f t="shared" si="23"/>
        <v>0</v>
      </c>
      <c r="BS35" s="1000">
        <f t="shared" si="23"/>
        <v>0</v>
      </c>
      <c r="BT35" s="1000">
        <f t="shared" si="23"/>
        <v>0</v>
      </c>
      <c r="BU35" s="1000">
        <f t="shared" si="23"/>
        <v>0</v>
      </c>
      <c r="BV35" s="1000">
        <f t="shared" si="23"/>
        <v>0</v>
      </c>
      <c r="BW35" s="1000">
        <f t="shared" ref="BW35:CD35" si="24">SUM(BW36:BW44)</f>
        <v>0</v>
      </c>
      <c r="BX35" s="1000">
        <f t="shared" si="24"/>
        <v>0</v>
      </c>
      <c r="BY35" s="1000">
        <f t="shared" si="24"/>
        <v>0</v>
      </c>
      <c r="BZ35" s="1000">
        <f t="shared" si="24"/>
        <v>0</v>
      </c>
      <c r="CA35" s="1000">
        <f t="shared" si="24"/>
        <v>2200400677</v>
      </c>
      <c r="CB35" s="1000">
        <f t="shared" si="24"/>
        <v>2149926187</v>
      </c>
      <c r="CC35" s="1000">
        <f t="shared" si="24"/>
        <v>14809000</v>
      </c>
      <c r="CD35" s="1000">
        <f t="shared" si="24"/>
        <v>14809000</v>
      </c>
      <c r="CE35" s="1001">
        <f t="shared" si="4"/>
        <v>0</v>
      </c>
      <c r="CF35" s="1002">
        <f t="shared" si="5"/>
        <v>2149926187</v>
      </c>
      <c r="CG35" s="1002">
        <f t="shared" si="5"/>
        <v>14809000</v>
      </c>
      <c r="CH35" s="997">
        <f t="shared" si="5"/>
        <v>14809000</v>
      </c>
      <c r="CK35" s="39"/>
      <c r="CL35" s="1009">
        <f>+'[5]Anexo 5.2.A'!Z70</f>
        <v>0</v>
      </c>
      <c r="CM35" s="1009">
        <f>+'[5]Anexo 5.2.A'!AA70</f>
        <v>0</v>
      </c>
      <c r="CN35" s="1009">
        <f>+'[5]Anexo 5.2.A'!AB70</f>
        <v>0</v>
      </c>
    </row>
    <row r="36" spans="1:92" s="996" customFormat="1" ht="33" x14ac:dyDescent="0.3">
      <c r="A36" s="1015" t="s">
        <v>199</v>
      </c>
      <c r="B36" s="1012">
        <v>0</v>
      </c>
      <c r="C36" s="1016">
        <f>C$35*(B36/B$35)</f>
        <v>0</v>
      </c>
      <c r="D36" s="1016">
        <f t="shared" ref="D36:H37" si="25">D$35*(C36/C$35)</f>
        <v>0</v>
      </c>
      <c r="E36" s="1016">
        <f t="shared" si="25"/>
        <v>0</v>
      </c>
      <c r="F36" s="1016">
        <f t="shared" si="25"/>
        <v>0</v>
      </c>
      <c r="G36" s="1016">
        <f t="shared" si="25"/>
        <v>0</v>
      </c>
      <c r="H36" s="1016">
        <f t="shared" si="25"/>
        <v>0</v>
      </c>
      <c r="I36" s="994"/>
      <c r="J36" s="994"/>
      <c r="K36" s="994"/>
      <c r="L36" s="994"/>
      <c r="M36" s="994"/>
      <c r="N36" s="994"/>
      <c r="O36" s="994"/>
      <c r="P36" s="994"/>
      <c r="Q36" s="994"/>
      <c r="R36" s="994"/>
      <c r="S36" s="994"/>
      <c r="T36" s="994"/>
      <c r="U36" s="994"/>
      <c r="V36" s="994"/>
      <c r="W36" s="994"/>
      <c r="X36" s="994"/>
      <c r="Y36" s="994"/>
      <c r="Z36" s="994"/>
      <c r="AA36" s="994"/>
      <c r="AB36" s="994"/>
      <c r="AC36" s="994"/>
      <c r="AD36" s="994"/>
      <c r="AE36" s="994"/>
      <c r="AF36" s="994"/>
      <c r="AG36" s="994"/>
      <c r="AH36" s="994"/>
      <c r="AI36" s="994"/>
      <c r="AJ36" s="994"/>
      <c r="AK36" s="994"/>
      <c r="AL36" s="994"/>
      <c r="AM36" s="994"/>
      <c r="AN36" s="994"/>
      <c r="AO36" s="994"/>
      <c r="AP36" s="994"/>
      <c r="AQ36" s="994"/>
      <c r="AR36" s="994"/>
      <c r="AS36" s="994"/>
      <c r="AT36" s="994"/>
      <c r="AU36" s="994"/>
      <c r="AV36" s="994"/>
      <c r="AW36" s="994"/>
      <c r="AX36" s="994"/>
      <c r="AY36" s="994"/>
      <c r="AZ36" s="994"/>
      <c r="BA36" s="994"/>
      <c r="BB36" s="994"/>
      <c r="BC36" s="1008"/>
      <c r="BD36" s="1008"/>
      <c r="BE36" s="1008"/>
      <c r="BF36" s="1008"/>
      <c r="BG36" s="1008"/>
      <c r="BH36" s="1008"/>
      <c r="BI36" s="1008"/>
      <c r="BJ36" s="1008"/>
      <c r="BK36" s="994"/>
      <c r="BL36" s="994"/>
      <c r="BM36" s="994"/>
      <c r="BN36" s="994"/>
      <c r="BO36" s="994"/>
      <c r="BP36" s="994"/>
      <c r="BQ36" s="994"/>
      <c r="BR36" s="994"/>
      <c r="BS36" s="991"/>
      <c r="BT36" s="991"/>
      <c r="BU36" s="991"/>
      <c r="BV36" s="991"/>
      <c r="BW36" s="991"/>
      <c r="BX36" s="991"/>
      <c r="BY36" s="991"/>
      <c r="BZ36" s="991"/>
      <c r="CA36" s="640">
        <f t="shared" si="6"/>
        <v>0</v>
      </c>
      <c r="CB36" s="640">
        <f t="shared" si="6"/>
        <v>0</v>
      </c>
      <c r="CC36" s="640">
        <f t="shared" si="6"/>
        <v>0</v>
      </c>
      <c r="CD36" s="640">
        <f t="shared" si="6"/>
        <v>0</v>
      </c>
      <c r="CE36" s="641">
        <f t="shared" si="4"/>
        <v>0</v>
      </c>
      <c r="CF36" s="642">
        <f t="shared" si="5"/>
        <v>0</v>
      </c>
      <c r="CG36" s="642">
        <f t="shared" si="5"/>
        <v>0</v>
      </c>
      <c r="CH36" s="643">
        <f t="shared" si="5"/>
        <v>0</v>
      </c>
      <c r="CI36" s="993"/>
      <c r="CK36" s="1013" t="s">
        <v>199</v>
      </c>
    </row>
    <row r="37" spans="1:92" s="996" customFormat="1" ht="65.25" customHeight="1" x14ac:dyDescent="0.3">
      <c r="A37" s="647" t="s">
        <v>202</v>
      </c>
      <c r="B37" s="1005">
        <v>300000000</v>
      </c>
      <c r="C37" s="1016">
        <f>C$35*(B37/B$35)</f>
        <v>214106552.51311761</v>
      </c>
      <c r="D37" s="1016">
        <f t="shared" si="25"/>
        <v>207906614.86421639</v>
      </c>
      <c r="E37" s="1016">
        <f t="shared" si="25"/>
        <v>2019041.3711638756</v>
      </c>
      <c r="F37" s="1016">
        <f t="shared" si="25"/>
        <v>2019041.3711638756</v>
      </c>
      <c r="G37" s="1016">
        <f t="shared" si="25"/>
        <v>85893447.486882418</v>
      </c>
      <c r="H37" s="1016">
        <f t="shared" si="25"/>
        <v>85211753.459208742</v>
      </c>
      <c r="I37" s="1016"/>
      <c r="J37" s="1016"/>
      <c r="K37" s="994"/>
      <c r="L37" s="994"/>
      <c r="M37" s="994"/>
      <c r="N37" s="994"/>
      <c r="O37" s="994"/>
      <c r="P37" s="994"/>
      <c r="Q37" s="994"/>
      <c r="R37" s="994"/>
      <c r="S37" s="994"/>
      <c r="T37" s="994"/>
      <c r="U37" s="994"/>
      <c r="V37" s="994"/>
      <c r="W37" s="994"/>
      <c r="X37" s="994"/>
      <c r="Y37" s="994"/>
      <c r="Z37" s="994"/>
      <c r="AA37" s="994"/>
      <c r="AB37" s="994"/>
      <c r="AC37" s="994"/>
      <c r="AD37" s="994"/>
      <c r="AE37" s="994"/>
      <c r="AF37" s="994"/>
      <c r="AG37" s="994"/>
      <c r="AH37" s="994"/>
      <c r="AI37" s="994"/>
      <c r="AJ37" s="994"/>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1"/>
      <c r="BT37" s="991"/>
      <c r="BU37" s="991"/>
      <c r="BV37" s="991"/>
      <c r="BW37" s="991"/>
      <c r="BX37" s="991"/>
      <c r="BY37" s="991"/>
      <c r="BZ37" s="991"/>
      <c r="CA37" s="640">
        <f t="shared" si="6"/>
        <v>300000000</v>
      </c>
      <c r="CB37" s="640">
        <f t="shared" si="6"/>
        <v>293118368.32342511</v>
      </c>
      <c r="CC37" s="640">
        <f t="shared" si="6"/>
        <v>2019041.3711638756</v>
      </c>
      <c r="CD37" s="640">
        <f t="shared" si="6"/>
        <v>2019041.3711638756</v>
      </c>
      <c r="CE37" s="641">
        <f t="shared" si="4"/>
        <v>0</v>
      </c>
      <c r="CF37" s="642">
        <f t="shared" si="5"/>
        <v>-493317501.93112034</v>
      </c>
      <c r="CG37" s="642">
        <f t="shared" si="5"/>
        <v>-11441480.018836124</v>
      </c>
      <c r="CH37" s="997">
        <f t="shared" si="5"/>
        <v>2019041.3711638756</v>
      </c>
      <c r="CK37" s="1013" t="s">
        <v>202</v>
      </c>
      <c r="CL37" s="638">
        <v>786435870.25454545</v>
      </c>
      <c r="CM37" s="638">
        <v>13460521.389999999</v>
      </c>
    </row>
    <row r="38" spans="1:92" x14ac:dyDescent="0.25">
      <c r="A38" s="647" t="s">
        <v>204</v>
      </c>
      <c r="B38" s="1005">
        <v>30000000</v>
      </c>
      <c r="C38" s="1016">
        <f t="shared" ref="C38:H44" si="26">C$35*(B38/B$35)</f>
        <v>21410655.25131176</v>
      </c>
      <c r="D38" s="1016">
        <f t="shared" si="26"/>
        <v>20790661.486421637</v>
      </c>
      <c r="E38" s="1016">
        <f t="shared" si="26"/>
        <v>201904.13711638752</v>
      </c>
      <c r="F38" s="1016">
        <f t="shared" si="26"/>
        <v>201904.13711638752</v>
      </c>
      <c r="G38" s="1016">
        <f t="shared" si="26"/>
        <v>8589344.7486882396</v>
      </c>
      <c r="H38" s="1016">
        <f t="shared" si="26"/>
        <v>8521175.3459208719</v>
      </c>
      <c r="I38" s="1016"/>
      <c r="J38" s="1016"/>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8"/>
      <c r="AJ38" s="988"/>
      <c r="AK38" s="988"/>
      <c r="AL38" s="988"/>
      <c r="AM38" s="988"/>
      <c r="AN38" s="988"/>
      <c r="AO38" s="988"/>
      <c r="AP38" s="988"/>
      <c r="AQ38" s="988"/>
      <c r="AR38" s="988"/>
      <c r="AS38" s="988"/>
      <c r="AT38" s="988"/>
      <c r="AU38" s="988"/>
      <c r="AV38" s="988"/>
      <c r="AW38" s="988"/>
      <c r="AX38" s="988"/>
      <c r="AY38" s="988"/>
      <c r="AZ38" s="988"/>
      <c r="BA38" s="988"/>
      <c r="BB38" s="988"/>
      <c r="BC38" s="988"/>
      <c r="BD38" s="988"/>
      <c r="BE38" s="988"/>
      <c r="BF38" s="988"/>
      <c r="BG38" s="988"/>
      <c r="BH38" s="988"/>
      <c r="BI38" s="988"/>
      <c r="BJ38" s="988"/>
      <c r="BK38" s="988"/>
      <c r="BL38" s="988"/>
      <c r="BM38" s="988"/>
      <c r="BN38" s="988"/>
      <c r="BO38" s="988"/>
      <c r="BP38" s="988"/>
      <c r="BQ38" s="988"/>
      <c r="BR38" s="988"/>
      <c r="BS38" s="991"/>
      <c r="BT38" s="991"/>
      <c r="BU38" s="991"/>
      <c r="BV38" s="991"/>
      <c r="BW38" s="991"/>
      <c r="BX38" s="991"/>
      <c r="BY38" s="991"/>
      <c r="BZ38" s="991"/>
      <c r="CA38" s="640">
        <f t="shared" si="6"/>
        <v>30000000</v>
      </c>
      <c r="CB38" s="640">
        <f t="shared" si="6"/>
        <v>29311836.832342509</v>
      </c>
      <c r="CC38" s="640">
        <f t="shared" si="6"/>
        <v>201904.13711638752</v>
      </c>
      <c r="CD38" s="640">
        <f t="shared" si="6"/>
        <v>201904.13711638752</v>
      </c>
      <c r="CE38" s="641">
        <f t="shared" si="4"/>
        <v>0</v>
      </c>
      <c r="CF38" s="642">
        <f t="shared" si="5"/>
        <v>-179508.30220294744</v>
      </c>
      <c r="CG38" s="642">
        <f t="shared" si="5"/>
        <v>-304447.76470179437</v>
      </c>
      <c r="CH38" s="643">
        <f t="shared" si="5"/>
        <v>201904.13711638752</v>
      </c>
      <c r="CK38" s="1013" t="s">
        <v>204</v>
      </c>
      <c r="CL38" s="638">
        <v>29491345.134545457</v>
      </c>
      <c r="CM38" s="638">
        <v>506351.90181818185</v>
      </c>
    </row>
    <row r="39" spans="1:92" s="996" customFormat="1" ht="49.5" x14ac:dyDescent="0.3">
      <c r="A39" s="647" t="s">
        <v>1562</v>
      </c>
      <c r="B39" s="1005">
        <v>1000000000</v>
      </c>
      <c r="C39" s="1016">
        <f t="shared" si="26"/>
        <v>713688508.37705863</v>
      </c>
      <c r="D39" s="1016">
        <f t="shared" si="26"/>
        <v>693022049.54738796</v>
      </c>
      <c r="E39" s="1016">
        <f t="shared" si="26"/>
        <v>6730137.9038795847</v>
      </c>
      <c r="F39" s="1016">
        <f t="shared" si="26"/>
        <v>6730137.9038795847</v>
      </c>
      <c r="G39" s="1016">
        <f t="shared" si="26"/>
        <v>286311491.62294137</v>
      </c>
      <c r="H39" s="1016">
        <f t="shared" si="26"/>
        <v>284039178.19736248</v>
      </c>
      <c r="I39" s="1016">
        <v>0</v>
      </c>
      <c r="J39" s="1016">
        <v>0</v>
      </c>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1016">
        <v>0</v>
      </c>
      <c r="AN39" s="1016">
        <v>0</v>
      </c>
      <c r="AO39" s="1016">
        <v>0</v>
      </c>
      <c r="AP39" s="1016">
        <v>0</v>
      </c>
      <c r="AQ39" s="994"/>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4"/>
      <c r="BN39" s="994"/>
      <c r="BO39" s="994"/>
      <c r="BP39" s="994"/>
      <c r="BQ39" s="994"/>
      <c r="BR39" s="994"/>
      <c r="BS39" s="991"/>
      <c r="BT39" s="991"/>
      <c r="BU39" s="991"/>
      <c r="BV39" s="991"/>
      <c r="BW39" s="991"/>
      <c r="BX39" s="991"/>
      <c r="BY39" s="991"/>
      <c r="BZ39" s="991"/>
      <c r="CA39" s="640">
        <f t="shared" si="6"/>
        <v>1000000000</v>
      </c>
      <c r="CB39" s="640">
        <f t="shared" si="6"/>
        <v>977061227.7447505</v>
      </c>
      <c r="CC39" s="640">
        <f t="shared" si="6"/>
        <v>6730137.9038795847</v>
      </c>
      <c r="CD39" s="640">
        <f t="shared" si="6"/>
        <v>6730137.9038795847</v>
      </c>
      <c r="CE39" s="641">
        <f t="shared" si="4"/>
        <v>0</v>
      </c>
      <c r="CF39" s="642">
        <f t="shared" si="5"/>
        <v>-5983610.0734313726</v>
      </c>
      <c r="CG39" s="642">
        <f t="shared" si="5"/>
        <v>-9979474.856120415</v>
      </c>
      <c r="CH39" s="997">
        <f t="shared" si="5"/>
        <v>6730137.9038795847</v>
      </c>
      <c r="CK39" s="1013" t="s">
        <v>206</v>
      </c>
      <c r="CL39" s="638">
        <v>983044837.81818187</v>
      </c>
      <c r="CM39" s="638">
        <v>16709612.76</v>
      </c>
    </row>
    <row r="40" spans="1:92" s="996" customFormat="1" ht="33" x14ac:dyDescent="0.3">
      <c r="A40" s="647" t="s">
        <v>209</v>
      </c>
      <c r="B40" s="1005">
        <v>50000000</v>
      </c>
      <c r="C40" s="1016">
        <f t="shared" si="26"/>
        <v>35684425.418852933</v>
      </c>
      <c r="D40" s="1016">
        <f t="shared" si="26"/>
        <v>34651102.477369398</v>
      </c>
      <c r="E40" s="1016">
        <f t="shared" si="26"/>
        <v>336506.89519397926</v>
      </c>
      <c r="F40" s="1016">
        <f t="shared" si="26"/>
        <v>336506.89519397926</v>
      </c>
      <c r="G40" s="1016">
        <f t="shared" si="26"/>
        <v>14315574.581147067</v>
      </c>
      <c r="H40" s="1016">
        <f t="shared" si="26"/>
        <v>14201958.909868123</v>
      </c>
      <c r="I40" s="1016"/>
      <c r="J40" s="1016"/>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c r="AU40" s="994"/>
      <c r="AV40" s="994"/>
      <c r="AW40" s="994"/>
      <c r="AX40" s="994"/>
      <c r="AY40" s="994"/>
      <c r="AZ40" s="994"/>
      <c r="BA40" s="994"/>
      <c r="BB40" s="994"/>
      <c r="BC40" s="994"/>
      <c r="BD40" s="994"/>
      <c r="BE40" s="994"/>
      <c r="BF40" s="994"/>
      <c r="BG40" s="994"/>
      <c r="BH40" s="994"/>
      <c r="BI40" s="994"/>
      <c r="BJ40" s="994"/>
      <c r="BK40" s="994"/>
      <c r="BL40" s="994"/>
      <c r="BM40" s="994"/>
      <c r="BN40" s="994"/>
      <c r="BO40" s="994"/>
      <c r="BP40" s="994"/>
      <c r="BQ40" s="994"/>
      <c r="BR40" s="994"/>
      <c r="BS40" s="1017"/>
      <c r="BT40" s="1017"/>
      <c r="BU40" s="1017"/>
      <c r="BV40" s="1017"/>
      <c r="BW40" s="1017"/>
      <c r="BX40" s="1017"/>
      <c r="BY40" s="1017"/>
      <c r="BZ40" s="1017"/>
      <c r="CA40" s="640">
        <f t="shared" si="6"/>
        <v>50000000</v>
      </c>
      <c r="CB40" s="640">
        <f t="shared" si="6"/>
        <v>48853061.387237519</v>
      </c>
      <c r="CC40" s="640">
        <f t="shared" si="6"/>
        <v>336506.89519397926</v>
      </c>
      <c r="CD40" s="640">
        <f t="shared" si="6"/>
        <v>336506.89519397926</v>
      </c>
      <c r="CE40" s="641">
        <f t="shared" si="4"/>
        <v>0</v>
      </c>
      <c r="CF40" s="642">
        <f t="shared" si="5"/>
        <v>-49451422.394580662</v>
      </c>
      <c r="CG40" s="642">
        <f t="shared" si="5"/>
        <v>-1351332.7775332932</v>
      </c>
      <c r="CH40" s="997">
        <f t="shared" si="5"/>
        <v>336506.89519397926</v>
      </c>
      <c r="CK40" s="1013" t="s">
        <v>209</v>
      </c>
      <c r="CL40" s="638">
        <v>98304483.781818181</v>
      </c>
      <c r="CM40" s="638">
        <v>1687839.6727272726</v>
      </c>
    </row>
    <row r="41" spans="1:92" x14ac:dyDescent="0.3">
      <c r="A41" s="647" t="s">
        <v>211</v>
      </c>
      <c r="B41" s="1005">
        <v>50400677</v>
      </c>
      <c r="C41" s="1016">
        <f t="shared" si="26"/>
        <v>35970383.989323929</v>
      </c>
      <c r="D41" s="1016">
        <f t="shared" si="26"/>
        <v>34928780.473115899</v>
      </c>
      <c r="E41" s="1016">
        <f t="shared" si="26"/>
        <v>339203.50665889203</v>
      </c>
      <c r="F41" s="1016">
        <f t="shared" si="26"/>
        <v>339203.50665889203</v>
      </c>
      <c r="G41" s="1016">
        <f t="shared" si="26"/>
        <v>14430293.010676075</v>
      </c>
      <c r="H41" s="1016">
        <f t="shared" si="26"/>
        <v>14315766.875670709</v>
      </c>
      <c r="I41" s="1016"/>
      <c r="J41" s="1016"/>
      <c r="K41" s="988"/>
      <c r="L41" s="988"/>
      <c r="M41" s="988"/>
      <c r="N41" s="988"/>
      <c r="O41" s="988"/>
      <c r="P41" s="988"/>
      <c r="Q41" s="988"/>
      <c r="R41" s="988"/>
      <c r="S41" s="988"/>
      <c r="T41" s="988"/>
      <c r="U41" s="988"/>
      <c r="V41" s="988"/>
      <c r="W41" s="988"/>
      <c r="X41" s="988"/>
      <c r="Y41" s="988"/>
      <c r="Z41" s="988"/>
      <c r="AA41" s="988"/>
      <c r="AB41" s="988"/>
      <c r="AC41" s="988"/>
      <c r="AD41" s="988"/>
      <c r="AE41" s="988"/>
      <c r="AF41" s="988"/>
      <c r="AG41" s="988"/>
      <c r="AH41" s="988"/>
      <c r="AI41" s="988"/>
      <c r="AJ41" s="988"/>
      <c r="AK41" s="988"/>
      <c r="AL41" s="988"/>
      <c r="AM41" s="988"/>
      <c r="AN41" s="988"/>
      <c r="AO41" s="988"/>
      <c r="AP41" s="988"/>
      <c r="AQ41" s="988"/>
      <c r="AR41" s="988"/>
      <c r="AS41" s="988"/>
      <c r="AT41" s="988"/>
      <c r="AU41" s="988"/>
      <c r="AV41" s="988"/>
      <c r="AW41" s="988"/>
      <c r="AX41" s="988"/>
      <c r="AY41" s="988"/>
      <c r="AZ41" s="988"/>
      <c r="BA41" s="988"/>
      <c r="BB41" s="988"/>
      <c r="BC41" s="988"/>
      <c r="BD41" s="988"/>
      <c r="BE41" s="988"/>
      <c r="BF41" s="988"/>
      <c r="BG41" s="988"/>
      <c r="BH41" s="988"/>
      <c r="BI41" s="988"/>
      <c r="BJ41" s="988"/>
      <c r="BK41" s="988"/>
      <c r="BL41" s="988"/>
      <c r="BM41" s="988"/>
      <c r="BN41" s="988"/>
      <c r="BO41" s="988"/>
      <c r="BP41" s="988"/>
      <c r="BQ41" s="988"/>
      <c r="BR41" s="988"/>
      <c r="BS41" s="1017"/>
      <c r="BT41" s="1017"/>
      <c r="BU41" s="1017"/>
      <c r="BV41" s="1017"/>
      <c r="BW41" s="1017"/>
      <c r="BX41" s="1017"/>
      <c r="BY41" s="1017"/>
      <c r="BZ41" s="1017"/>
      <c r="CA41" s="640">
        <f t="shared" si="6"/>
        <v>50400677</v>
      </c>
      <c r="CB41" s="640">
        <f t="shared" si="6"/>
        <v>49244547.348786607</v>
      </c>
      <c r="CC41" s="640">
        <f t="shared" si="6"/>
        <v>339203.50665889203</v>
      </c>
      <c r="CD41" s="640">
        <f t="shared" si="6"/>
        <v>339203.50665889203</v>
      </c>
      <c r="CE41" s="641">
        <f t="shared" si="4"/>
        <v>0</v>
      </c>
      <c r="CF41" s="642">
        <f t="shared" si="5"/>
        <v>92305.457877516747</v>
      </c>
      <c r="CG41" s="642">
        <f t="shared" si="5"/>
        <v>-504716.32970474428</v>
      </c>
      <c r="CH41" s="643">
        <f t="shared" si="5"/>
        <v>339203.50665889203</v>
      </c>
      <c r="CK41" s="1013" t="s">
        <v>211</v>
      </c>
      <c r="CL41" s="638">
        <v>49152241.890909091</v>
      </c>
      <c r="CM41" s="638">
        <v>843919.83636363631</v>
      </c>
    </row>
    <row r="42" spans="1:92" ht="49.5" x14ac:dyDescent="0.3">
      <c r="A42" s="647" t="s">
        <v>214</v>
      </c>
      <c r="B42" s="1005">
        <v>300000000</v>
      </c>
      <c r="C42" s="1016">
        <f t="shared" si="26"/>
        <v>214106552.51311761</v>
      </c>
      <c r="D42" s="1016">
        <f t="shared" si="26"/>
        <v>207906614.86421639</v>
      </c>
      <c r="E42" s="1016">
        <f t="shared" si="26"/>
        <v>2019041.3711638756</v>
      </c>
      <c r="F42" s="1016">
        <f t="shared" si="26"/>
        <v>2019041.3711638756</v>
      </c>
      <c r="G42" s="1016">
        <f t="shared" si="26"/>
        <v>85893447.486882418</v>
      </c>
      <c r="H42" s="1016">
        <f t="shared" si="26"/>
        <v>85211753.459208742</v>
      </c>
      <c r="I42" s="1016"/>
      <c r="J42" s="1016"/>
      <c r="K42" s="1014"/>
      <c r="L42" s="1014"/>
      <c r="M42" s="1014"/>
      <c r="N42" s="1014"/>
      <c r="O42" s="1014"/>
      <c r="P42" s="1014"/>
      <c r="Q42" s="1014"/>
      <c r="R42" s="1014"/>
      <c r="S42" s="1014"/>
      <c r="T42" s="1014"/>
      <c r="U42" s="1014"/>
      <c r="V42" s="1014"/>
      <c r="W42" s="988"/>
      <c r="X42" s="988"/>
      <c r="Y42" s="988"/>
      <c r="Z42" s="988"/>
      <c r="AA42" s="988"/>
      <c r="AB42" s="988"/>
      <c r="AC42" s="988"/>
      <c r="AD42" s="988"/>
      <c r="AE42" s="988"/>
      <c r="AF42" s="988"/>
      <c r="AG42" s="988"/>
      <c r="AH42" s="988"/>
      <c r="AI42" s="988"/>
      <c r="AJ42" s="988"/>
      <c r="AK42" s="988"/>
      <c r="AL42" s="988"/>
      <c r="AM42" s="988"/>
      <c r="AN42" s="988"/>
      <c r="AO42" s="988"/>
      <c r="AP42" s="988"/>
      <c r="AQ42" s="988"/>
      <c r="AR42" s="988"/>
      <c r="AS42" s="988"/>
      <c r="AT42" s="988"/>
      <c r="AU42" s="988"/>
      <c r="AV42" s="988"/>
      <c r="AW42" s="988"/>
      <c r="AX42" s="988"/>
      <c r="AY42" s="988"/>
      <c r="AZ42" s="988"/>
      <c r="BA42" s="988"/>
      <c r="BB42" s="988"/>
      <c r="BC42" s="988"/>
      <c r="BD42" s="988"/>
      <c r="BE42" s="988"/>
      <c r="BF42" s="988"/>
      <c r="BG42" s="988"/>
      <c r="BH42" s="988"/>
      <c r="BI42" s="988"/>
      <c r="BJ42" s="988"/>
      <c r="BK42" s="988"/>
      <c r="BL42" s="988"/>
      <c r="BM42" s="988"/>
      <c r="BN42" s="988"/>
      <c r="BO42" s="988"/>
      <c r="BP42" s="988"/>
      <c r="BQ42" s="988"/>
      <c r="BR42" s="988"/>
      <c r="BS42" s="1017"/>
      <c r="BT42" s="1017"/>
      <c r="BU42" s="1017"/>
      <c r="BV42" s="1017"/>
      <c r="BW42" s="1017"/>
      <c r="BX42" s="1017"/>
      <c r="BY42" s="1017"/>
      <c r="BZ42" s="1017"/>
      <c r="CA42" s="640">
        <f t="shared" si="6"/>
        <v>300000000</v>
      </c>
      <c r="CB42" s="640">
        <f t="shared" si="6"/>
        <v>293118368.32342511</v>
      </c>
      <c r="CC42" s="640">
        <f t="shared" si="6"/>
        <v>2019041.3711638756</v>
      </c>
      <c r="CD42" s="640">
        <f t="shared" si="6"/>
        <v>2019041.3711638756</v>
      </c>
      <c r="CE42" s="641">
        <f t="shared" si="4"/>
        <v>0</v>
      </c>
      <c r="CF42" s="642">
        <f t="shared" si="5"/>
        <v>-1795083.0220294595</v>
      </c>
      <c r="CG42" s="642">
        <f t="shared" si="5"/>
        <v>-3044477.6470179418</v>
      </c>
      <c r="CH42" s="643">
        <f t="shared" si="5"/>
        <v>2019041.3711638756</v>
      </c>
      <c r="CK42" s="1018" t="s">
        <v>214</v>
      </c>
      <c r="CL42" s="638">
        <v>294913451.34545457</v>
      </c>
      <c r="CM42" s="638">
        <v>5063519.0181818176</v>
      </c>
    </row>
    <row r="43" spans="1:92" s="996" customFormat="1" x14ac:dyDescent="0.3">
      <c r="A43" s="647" t="s">
        <v>217</v>
      </c>
      <c r="B43" s="1005">
        <v>70000000</v>
      </c>
      <c r="C43" s="1016">
        <f t="shared" si="26"/>
        <v>49958195.586394101</v>
      </c>
      <c r="D43" s="1016">
        <f t="shared" si="26"/>
        <v>48511543.468317151</v>
      </c>
      <c r="E43" s="1016">
        <f t="shared" si="26"/>
        <v>471109.65327157092</v>
      </c>
      <c r="F43" s="1016">
        <f t="shared" si="26"/>
        <v>471109.65327157092</v>
      </c>
      <c r="G43" s="1016">
        <f t="shared" si="26"/>
        <v>20041804.413605895</v>
      </c>
      <c r="H43" s="1016">
        <f t="shared" si="26"/>
        <v>19882742.47381537</v>
      </c>
      <c r="I43" s="1016"/>
      <c r="J43" s="1016"/>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1017"/>
      <c r="BT43" s="1017"/>
      <c r="BU43" s="1017"/>
      <c r="BV43" s="1017"/>
      <c r="BW43" s="1017"/>
      <c r="BX43" s="1017"/>
      <c r="BY43" s="1017"/>
      <c r="BZ43" s="1017"/>
      <c r="CA43" s="640">
        <f t="shared" si="6"/>
        <v>70000000</v>
      </c>
      <c r="CB43" s="640">
        <f t="shared" si="6"/>
        <v>68394285.942132518</v>
      </c>
      <c r="CC43" s="640">
        <f t="shared" si="6"/>
        <v>471109.65327157092</v>
      </c>
      <c r="CD43" s="640">
        <f t="shared" si="6"/>
        <v>471109.65327157092</v>
      </c>
      <c r="CE43" s="641">
        <f t="shared" si="4"/>
        <v>0</v>
      </c>
      <c r="CF43" s="642">
        <f t="shared" si="5"/>
        <v>-418852.70514021814</v>
      </c>
      <c r="CG43" s="642">
        <f t="shared" si="5"/>
        <v>-710378.11763752007</v>
      </c>
      <c r="CH43" s="997">
        <f t="shared" si="5"/>
        <v>471109.65327157092</v>
      </c>
      <c r="CK43" s="1013" t="s">
        <v>217</v>
      </c>
      <c r="CL43" s="638">
        <v>68813138.647272736</v>
      </c>
      <c r="CM43" s="638">
        <v>1181487.770909091</v>
      </c>
    </row>
    <row r="44" spans="1:92" s="996" customFormat="1" ht="33" x14ac:dyDescent="0.3">
      <c r="A44" s="647" t="s">
        <v>219</v>
      </c>
      <c r="B44" s="1005">
        <v>400000000</v>
      </c>
      <c r="C44" s="1016">
        <f t="shared" si="26"/>
        <v>285475403.35082346</v>
      </c>
      <c r="D44" s="1016">
        <f t="shared" si="26"/>
        <v>277208819.81895518</v>
      </c>
      <c r="E44" s="1016">
        <f t="shared" si="26"/>
        <v>2692055.1615518341</v>
      </c>
      <c r="F44" s="1016">
        <f t="shared" si="26"/>
        <v>2692055.1615518341</v>
      </c>
      <c r="G44" s="1016">
        <f t="shared" si="26"/>
        <v>114524596.64917654</v>
      </c>
      <c r="H44" s="1016">
        <f t="shared" si="26"/>
        <v>113615671.27894498</v>
      </c>
      <c r="I44" s="1016"/>
      <c r="J44" s="1016"/>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c r="AU44" s="994"/>
      <c r="AV44" s="994"/>
      <c r="AW44" s="994"/>
      <c r="AX44" s="994"/>
      <c r="AY44" s="994"/>
      <c r="AZ44" s="994"/>
      <c r="BA44" s="994"/>
      <c r="BB44" s="994"/>
      <c r="BC44" s="994"/>
      <c r="BD44" s="994"/>
      <c r="BE44" s="994"/>
      <c r="BF44" s="994"/>
      <c r="BG44" s="994"/>
      <c r="BH44" s="994"/>
      <c r="BI44" s="994"/>
      <c r="BJ44" s="994"/>
      <c r="BK44" s="994"/>
      <c r="BL44" s="994"/>
      <c r="BM44" s="994"/>
      <c r="BN44" s="994"/>
      <c r="BO44" s="994"/>
      <c r="BP44" s="994"/>
      <c r="BQ44" s="994"/>
      <c r="BR44" s="994"/>
      <c r="BS44" s="1017"/>
      <c r="BT44" s="1017"/>
      <c r="BU44" s="1017"/>
      <c r="BV44" s="1017"/>
      <c r="BW44" s="1017"/>
      <c r="BX44" s="1017"/>
      <c r="BY44" s="1017"/>
      <c r="BZ44" s="1017"/>
      <c r="CA44" s="640">
        <f t="shared" si="6"/>
        <v>400000000</v>
      </c>
      <c r="CB44" s="640">
        <f t="shared" si="6"/>
        <v>390824491.09790015</v>
      </c>
      <c r="CC44" s="640">
        <f t="shared" si="6"/>
        <v>2692055.1615518341</v>
      </c>
      <c r="CD44" s="640">
        <f t="shared" si="6"/>
        <v>2692055.1615518341</v>
      </c>
      <c r="CE44" s="641">
        <f t="shared" si="4"/>
        <v>0</v>
      </c>
      <c r="CF44" s="642">
        <f t="shared" si="5"/>
        <v>-2393444.0293725729</v>
      </c>
      <c r="CG44" s="642">
        <f t="shared" si="5"/>
        <v>-4270283.4884481654</v>
      </c>
      <c r="CH44" s="997">
        <f t="shared" si="5"/>
        <v>2692055.1615518341</v>
      </c>
      <c r="CK44" s="1018" t="s">
        <v>219</v>
      </c>
      <c r="CL44" s="638">
        <v>393217935.12727273</v>
      </c>
      <c r="CM44" s="638">
        <v>6962338.6499999994</v>
      </c>
    </row>
    <row r="45" spans="1:92" s="996" customFormat="1" ht="33" x14ac:dyDescent="0.3">
      <c r="A45" s="651" t="s">
        <v>222</v>
      </c>
      <c r="B45" s="645">
        <v>200000000</v>
      </c>
      <c r="C45" s="645">
        <v>200000000</v>
      </c>
      <c r="D45" s="645">
        <v>68760500</v>
      </c>
      <c r="E45" s="645">
        <v>3760500</v>
      </c>
      <c r="F45" s="645">
        <v>3760500</v>
      </c>
      <c r="G45" s="645">
        <f t="shared" ref="G45:BR45" si="27">SUM(G46:G48)</f>
        <v>0</v>
      </c>
      <c r="H45" s="645">
        <f t="shared" si="27"/>
        <v>0</v>
      </c>
      <c r="I45" s="645">
        <f t="shared" si="27"/>
        <v>0</v>
      </c>
      <c r="J45" s="645">
        <f t="shared" si="27"/>
        <v>0</v>
      </c>
      <c r="K45" s="645">
        <f t="shared" si="27"/>
        <v>0</v>
      </c>
      <c r="L45" s="645">
        <f t="shared" si="27"/>
        <v>0</v>
      </c>
      <c r="M45" s="645">
        <f t="shared" si="27"/>
        <v>0</v>
      </c>
      <c r="N45" s="645">
        <f t="shared" si="27"/>
        <v>0</v>
      </c>
      <c r="O45" s="645">
        <f t="shared" si="27"/>
        <v>0</v>
      </c>
      <c r="P45" s="645">
        <f t="shared" si="27"/>
        <v>0</v>
      </c>
      <c r="Q45" s="645">
        <f t="shared" si="27"/>
        <v>0</v>
      </c>
      <c r="R45" s="645">
        <f t="shared" si="27"/>
        <v>0</v>
      </c>
      <c r="S45" s="645">
        <f t="shared" si="27"/>
        <v>0</v>
      </c>
      <c r="T45" s="645">
        <f t="shared" si="27"/>
        <v>0</v>
      </c>
      <c r="U45" s="645">
        <f t="shared" si="27"/>
        <v>0</v>
      </c>
      <c r="V45" s="645">
        <f t="shared" si="27"/>
        <v>0</v>
      </c>
      <c r="W45" s="645">
        <f t="shared" si="27"/>
        <v>0</v>
      </c>
      <c r="X45" s="645">
        <f t="shared" si="27"/>
        <v>0</v>
      </c>
      <c r="Y45" s="645">
        <f t="shared" si="27"/>
        <v>0</v>
      </c>
      <c r="Z45" s="645">
        <f t="shared" si="27"/>
        <v>0</v>
      </c>
      <c r="AA45" s="645">
        <f t="shared" si="27"/>
        <v>0</v>
      </c>
      <c r="AB45" s="645">
        <f t="shared" si="27"/>
        <v>0</v>
      </c>
      <c r="AC45" s="645">
        <f t="shared" si="27"/>
        <v>0</v>
      </c>
      <c r="AD45" s="645">
        <f t="shared" si="27"/>
        <v>0</v>
      </c>
      <c r="AE45" s="645">
        <f t="shared" si="27"/>
        <v>0</v>
      </c>
      <c r="AF45" s="645">
        <f t="shared" si="27"/>
        <v>0</v>
      </c>
      <c r="AG45" s="645">
        <f t="shared" si="27"/>
        <v>0</v>
      </c>
      <c r="AH45" s="645">
        <f t="shared" si="27"/>
        <v>0</v>
      </c>
      <c r="AI45" s="645">
        <f t="shared" si="27"/>
        <v>0</v>
      </c>
      <c r="AJ45" s="645">
        <f t="shared" si="27"/>
        <v>0</v>
      </c>
      <c r="AK45" s="645">
        <f t="shared" si="27"/>
        <v>0</v>
      </c>
      <c r="AL45" s="645">
        <f t="shared" si="27"/>
        <v>0</v>
      </c>
      <c r="AM45" s="645">
        <f t="shared" si="27"/>
        <v>0</v>
      </c>
      <c r="AN45" s="645">
        <f t="shared" si="27"/>
        <v>0</v>
      </c>
      <c r="AO45" s="645">
        <f t="shared" si="27"/>
        <v>0</v>
      </c>
      <c r="AP45" s="645">
        <f t="shared" si="27"/>
        <v>0</v>
      </c>
      <c r="AQ45" s="645">
        <f t="shared" si="27"/>
        <v>0</v>
      </c>
      <c r="AR45" s="645">
        <f t="shared" si="27"/>
        <v>0</v>
      </c>
      <c r="AS45" s="645">
        <f t="shared" si="27"/>
        <v>0</v>
      </c>
      <c r="AT45" s="645">
        <f t="shared" si="27"/>
        <v>0</v>
      </c>
      <c r="AU45" s="645">
        <f t="shared" si="27"/>
        <v>0</v>
      </c>
      <c r="AV45" s="645">
        <f t="shared" si="27"/>
        <v>0</v>
      </c>
      <c r="AW45" s="645">
        <f t="shared" si="27"/>
        <v>0</v>
      </c>
      <c r="AX45" s="645">
        <f t="shared" si="27"/>
        <v>0</v>
      </c>
      <c r="AY45" s="645">
        <f t="shared" si="27"/>
        <v>0</v>
      </c>
      <c r="AZ45" s="645">
        <f t="shared" si="27"/>
        <v>0</v>
      </c>
      <c r="BA45" s="645">
        <f t="shared" si="27"/>
        <v>0</v>
      </c>
      <c r="BB45" s="645">
        <f t="shared" si="27"/>
        <v>0</v>
      </c>
      <c r="BC45" s="645">
        <f t="shared" si="27"/>
        <v>0</v>
      </c>
      <c r="BD45" s="645">
        <f t="shared" si="27"/>
        <v>0</v>
      </c>
      <c r="BE45" s="645">
        <f t="shared" si="27"/>
        <v>0</v>
      </c>
      <c r="BF45" s="645">
        <f t="shared" si="27"/>
        <v>0</v>
      </c>
      <c r="BG45" s="645">
        <f t="shared" si="27"/>
        <v>0</v>
      </c>
      <c r="BH45" s="645">
        <f t="shared" si="27"/>
        <v>0</v>
      </c>
      <c r="BI45" s="645">
        <f t="shared" si="27"/>
        <v>0</v>
      </c>
      <c r="BJ45" s="645">
        <f t="shared" si="27"/>
        <v>0</v>
      </c>
      <c r="BK45" s="645">
        <f t="shared" si="27"/>
        <v>0</v>
      </c>
      <c r="BL45" s="645">
        <f t="shared" si="27"/>
        <v>0</v>
      </c>
      <c r="BM45" s="645">
        <f t="shared" si="27"/>
        <v>0</v>
      </c>
      <c r="BN45" s="645">
        <f t="shared" si="27"/>
        <v>0</v>
      </c>
      <c r="BO45" s="645">
        <f t="shared" si="27"/>
        <v>0</v>
      </c>
      <c r="BP45" s="645">
        <f t="shared" si="27"/>
        <v>0</v>
      </c>
      <c r="BQ45" s="645">
        <f t="shared" si="27"/>
        <v>0</v>
      </c>
      <c r="BR45" s="645">
        <f t="shared" si="27"/>
        <v>0</v>
      </c>
      <c r="BS45" s="645">
        <v>0</v>
      </c>
      <c r="BT45" s="645">
        <v>0</v>
      </c>
      <c r="BU45" s="645">
        <v>0</v>
      </c>
      <c r="BV45" s="645">
        <v>0</v>
      </c>
      <c r="BW45" s="645">
        <f t="shared" ref="BW45:CD45" si="28">SUM(BW46:BW48)</f>
        <v>0</v>
      </c>
      <c r="BX45" s="645">
        <f t="shared" si="28"/>
        <v>0</v>
      </c>
      <c r="BY45" s="645">
        <f t="shared" si="28"/>
        <v>0</v>
      </c>
      <c r="BZ45" s="645">
        <f t="shared" si="28"/>
        <v>0</v>
      </c>
      <c r="CA45" s="1000">
        <f t="shared" si="28"/>
        <v>200000000</v>
      </c>
      <c r="CB45" s="1000">
        <f t="shared" si="28"/>
        <v>68760500</v>
      </c>
      <c r="CC45" s="1000">
        <f t="shared" si="28"/>
        <v>3760500</v>
      </c>
      <c r="CD45" s="1000">
        <f t="shared" si="28"/>
        <v>3760500</v>
      </c>
      <c r="CE45" s="1001">
        <f t="shared" si="4"/>
        <v>0</v>
      </c>
      <c r="CF45" s="1002">
        <f t="shared" si="5"/>
        <v>68760500</v>
      </c>
      <c r="CG45" s="1002">
        <f t="shared" si="5"/>
        <v>3760500</v>
      </c>
      <c r="CH45" s="997">
        <f t="shared" si="5"/>
        <v>3760500</v>
      </c>
      <c r="CK45" s="89"/>
      <c r="CL45" s="1009">
        <f>+'[5]Anexo 5.2.A'!Z75</f>
        <v>0</v>
      </c>
      <c r="CM45" s="1009">
        <f>+'[5]Anexo 5.2.A'!AA75</f>
        <v>0</v>
      </c>
      <c r="CN45" s="1009">
        <f>+'[5]Anexo 5.2.A'!AB75</f>
        <v>0</v>
      </c>
    </row>
    <row r="46" spans="1:92" s="996" customFormat="1" ht="49.5" x14ac:dyDescent="0.3">
      <c r="A46" s="986" t="s">
        <v>223</v>
      </c>
      <c r="B46" s="998">
        <v>100000000</v>
      </c>
      <c r="C46" s="654">
        <f>C$45*(B46/B$45)</f>
        <v>100000000</v>
      </c>
      <c r="D46" s="654">
        <f t="shared" ref="D46:F46" si="29">D$45*(C46/C$45)</f>
        <v>34380250</v>
      </c>
      <c r="E46" s="654">
        <f t="shared" si="29"/>
        <v>1880250</v>
      </c>
      <c r="F46" s="654">
        <f t="shared" si="29"/>
        <v>1880250</v>
      </c>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c r="AU46" s="994"/>
      <c r="AV46" s="994"/>
      <c r="AW46" s="994"/>
      <c r="AX46" s="994"/>
      <c r="AY46" s="994"/>
      <c r="AZ46" s="994"/>
      <c r="BA46" s="994"/>
      <c r="BB46" s="994"/>
      <c r="BC46" s="994"/>
      <c r="BD46" s="994"/>
      <c r="BE46" s="994"/>
      <c r="BF46" s="994"/>
      <c r="BG46" s="994"/>
      <c r="BH46" s="994"/>
      <c r="BI46" s="994"/>
      <c r="BJ46" s="994"/>
      <c r="BK46" s="994"/>
      <c r="BL46" s="994"/>
      <c r="BM46" s="994"/>
      <c r="BN46" s="994"/>
      <c r="BO46" s="994"/>
      <c r="BP46" s="994"/>
      <c r="BQ46" s="994"/>
      <c r="BR46" s="994"/>
      <c r="BS46" s="654">
        <v>0</v>
      </c>
      <c r="BT46" s="654">
        <v>0</v>
      </c>
      <c r="BU46" s="654">
        <v>0</v>
      </c>
      <c r="BV46" s="654">
        <v>0</v>
      </c>
      <c r="BW46" s="654"/>
      <c r="BX46" s="654"/>
      <c r="BY46" s="654"/>
      <c r="BZ46" s="654"/>
      <c r="CA46" s="640">
        <f t="shared" si="6"/>
        <v>100000000</v>
      </c>
      <c r="CB46" s="640">
        <f t="shared" si="6"/>
        <v>34380250</v>
      </c>
      <c r="CC46" s="640">
        <f t="shared" si="6"/>
        <v>1880250</v>
      </c>
      <c r="CD46" s="640">
        <f t="shared" si="6"/>
        <v>1880250</v>
      </c>
      <c r="CE46" s="641">
        <f t="shared" si="4"/>
        <v>0</v>
      </c>
      <c r="CF46" s="642">
        <f t="shared" si="5"/>
        <v>-2414693027.7882509</v>
      </c>
      <c r="CG46" s="642">
        <f t="shared" si="5"/>
        <v>-2311069868.9141903</v>
      </c>
      <c r="CH46" s="643">
        <f t="shared" si="5"/>
        <v>1880250</v>
      </c>
      <c r="CI46" s="993"/>
      <c r="CK46" s="39" t="s">
        <v>223</v>
      </c>
      <c r="CL46" s="638">
        <v>2449073277.7882509</v>
      </c>
      <c r="CM46" s="638">
        <v>2312950118.9141903</v>
      </c>
    </row>
    <row r="47" spans="1:92" ht="49.5" x14ac:dyDescent="0.3">
      <c r="A47" s="986" t="s">
        <v>227</v>
      </c>
      <c r="B47" s="998">
        <v>80000000</v>
      </c>
      <c r="C47" s="654">
        <f t="shared" ref="C47:F48" si="30">C$45*(B47/B$45)</f>
        <v>80000000</v>
      </c>
      <c r="D47" s="654">
        <f t="shared" si="30"/>
        <v>27504200</v>
      </c>
      <c r="E47" s="654">
        <f t="shared" si="30"/>
        <v>1504200</v>
      </c>
      <c r="F47" s="654">
        <f t="shared" si="30"/>
        <v>1504200</v>
      </c>
      <c r="G47" s="989"/>
      <c r="H47" s="989"/>
      <c r="I47" s="989"/>
      <c r="J47" s="989"/>
      <c r="K47" s="989"/>
      <c r="L47" s="989"/>
      <c r="M47" s="989"/>
      <c r="N47" s="989"/>
      <c r="O47" s="989"/>
      <c r="P47" s="989"/>
      <c r="Q47" s="989"/>
      <c r="R47" s="989"/>
      <c r="S47" s="989"/>
      <c r="T47" s="989"/>
      <c r="U47" s="989"/>
      <c r="V47" s="989"/>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8"/>
      <c r="BJ47" s="988"/>
      <c r="BK47" s="988"/>
      <c r="BL47" s="988"/>
      <c r="BM47" s="988"/>
      <c r="BN47" s="988"/>
      <c r="BO47" s="988"/>
      <c r="BP47" s="988"/>
      <c r="BQ47" s="988"/>
      <c r="BR47" s="988"/>
      <c r="BS47" s="1017"/>
      <c r="BT47" s="1017"/>
      <c r="BU47" s="1017"/>
      <c r="BV47" s="1017"/>
      <c r="BW47" s="1017"/>
      <c r="BX47" s="1017"/>
      <c r="BY47" s="1017"/>
      <c r="BZ47" s="1017"/>
      <c r="CA47" s="640">
        <f t="shared" si="6"/>
        <v>80000000</v>
      </c>
      <c r="CB47" s="640">
        <f t="shared" si="6"/>
        <v>27504200</v>
      </c>
      <c r="CC47" s="640">
        <f t="shared" si="6"/>
        <v>1504200</v>
      </c>
      <c r="CD47" s="640">
        <f t="shared" si="6"/>
        <v>1504200</v>
      </c>
      <c r="CE47" s="641">
        <f t="shared" si="4"/>
        <v>0</v>
      </c>
      <c r="CF47" s="642">
        <f t="shared" si="5"/>
        <v>18608789.760145456</v>
      </c>
      <c r="CG47" s="642">
        <f t="shared" si="5"/>
        <v>-6896790.0229048915</v>
      </c>
      <c r="CH47" s="643">
        <f t="shared" si="5"/>
        <v>1504200</v>
      </c>
      <c r="CK47" s="39" t="s">
        <v>227</v>
      </c>
      <c r="CL47" s="638">
        <v>8895410.2398545463</v>
      </c>
      <c r="CM47" s="638">
        <v>8400990.0229048915</v>
      </c>
    </row>
    <row r="48" spans="1:92" s="996" customFormat="1" ht="33" x14ac:dyDescent="0.3">
      <c r="A48" s="986" t="s">
        <v>229</v>
      </c>
      <c r="B48" s="998">
        <v>20000000</v>
      </c>
      <c r="C48" s="654">
        <f t="shared" si="30"/>
        <v>20000000</v>
      </c>
      <c r="D48" s="654">
        <f t="shared" si="30"/>
        <v>6876050</v>
      </c>
      <c r="E48" s="654">
        <f t="shared" si="30"/>
        <v>376050</v>
      </c>
      <c r="F48" s="654">
        <f t="shared" si="30"/>
        <v>376050</v>
      </c>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c r="AU48" s="994"/>
      <c r="AV48" s="994"/>
      <c r="AW48" s="994"/>
      <c r="AX48" s="994"/>
      <c r="AY48" s="994"/>
      <c r="AZ48" s="994"/>
      <c r="BA48" s="994"/>
      <c r="BB48" s="994"/>
      <c r="BC48" s="994"/>
      <c r="BD48" s="994"/>
      <c r="BE48" s="994"/>
      <c r="BF48" s="994"/>
      <c r="BG48" s="994"/>
      <c r="BH48" s="994"/>
      <c r="BI48" s="994"/>
      <c r="BJ48" s="994"/>
      <c r="BK48" s="994"/>
      <c r="BL48" s="994"/>
      <c r="BM48" s="994"/>
      <c r="BN48" s="994"/>
      <c r="BO48" s="994"/>
      <c r="BP48" s="994"/>
      <c r="BQ48" s="994"/>
      <c r="BR48" s="994"/>
      <c r="BS48" s="1017"/>
      <c r="BT48" s="1017"/>
      <c r="BU48" s="1017"/>
      <c r="BV48" s="1017"/>
      <c r="BW48" s="1017"/>
      <c r="BX48" s="1017"/>
      <c r="BY48" s="1017"/>
      <c r="BZ48" s="1017"/>
      <c r="CA48" s="640">
        <f t="shared" si="6"/>
        <v>20000000</v>
      </c>
      <c r="CB48" s="640">
        <f t="shared" si="6"/>
        <v>6876050</v>
      </c>
      <c r="CC48" s="640">
        <f t="shared" si="6"/>
        <v>376050</v>
      </c>
      <c r="CD48" s="640">
        <f t="shared" si="6"/>
        <v>376050</v>
      </c>
      <c r="CE48" s="641">
        <f t="shared" si="4"/>
        <v>0</v>
      </c>
      <c r="CF48" s="642">
        <f t="shared" si="5"/>
        <v>-2019360.2398545463</v>
      </c>
      <c r="CG48" s="642">
        <f t="shared" si="5"/>
        <v>-8024940.0229048915</v>
      </c>
      <c r="CH48" s="997">
        <f t="shared" si="5"/>
        <v>376050</v>
      </c>
      <c r="CK48" s="39" t="s">
        <v>229</v>
      </c>
      <c r="CL48" s="638">
        <v>8895410.2398545463</v>
      </c>
      <c r="CM48" s="638">
        <v>8400990.0229048915</v>
      </c>
    </row>
    <row r="49" spans="1:92" s="996" customFormat="1" ht="33" x14ac:dyDescent="0.3">
      <c r="A49" s="651" t="s">
        <v>232</v>
      </c>
      <c r="B49" s="645">
        <v>100000000</v>
      </c>
      <c r="C49" s="645">
        <v>100000000</v>
      </c>
      <c r="D49" s="645">
        <v>36000000</v>
      </c>
      <c r="E49" s="645">
        <v>0</v>
      </c>
      <c r="F49" s="645">
        <v>0</v>
      </c>
      <c r="G49" s="1000">
        <f t="shared" ref="G49:BR49" si="31">SUM(G50:G52)</f>
        <v>0</v>
      </c>
      <c r="H49" s="1000">
        <f t="shared" si="31"/>
        <v>0</v>
      </c>
      <c r="I49" s="1000">
        <f t="shared" si="31"/>
        <v>0</v>
      </c>
      <c r="J49" s="1000">
        <f t="shared" si="31"/>
        <v>0</v>
      </c>
      <c r="K49" s="1000">
        <f t="shared" si="31"/>
        <v>0</v>
      </c>
      <c r="L49" s="1000">
        <f t="shared" si="31"/>
        <v>0</v>
      </c>
      <c r="M49" s="1000">
        <f t="shared" si="31"/>
        <v>0</v>
      </c>
      <c r="N49" s="1000">
        <f t="shared" si="31"/>
        <v>0</v>
      </c>
      <c r="O49" s="1000">
        <f t="shared" si="31"/>
        <v>0</v>
      </c>
      <c r="P49" s="1000">
        <f t="shared" si="31"/>
        <v>0</v>
      </c>
      <c r="Q49" s="1000">
        <f t="shared" si="31"/>
        <v>0</v>
      </c>
      <c r="R49" s="1000">
        <f t="shared" si="31"/>
        <v>0</v>
      </c>
      <c r="S49" s="1000">
        <f t="shared" si="31"/>
        <v>0</v>
      </c>
      <c r="T49" s="1000">
        <f t="shared" si="31"/>
        <v>0</v>
      </c>
      <c r="U49" s="1000">
        <f t="shared" si="31"/>
        <v>0</v>
      </c>
      <c r="V49" s="1000">
        <f t="shared" si="31"/>
        <v>0</v>
      </c>
      <c r="W49" s="1000">
        <f t="shared" si="31"/>
        <v>0</v>
      </c>
      <c r="X49" s="1000">
        <f t="shared" si="31"/>
        <v>0</v>
      </c>
      <c r="Y49" s="1000">
        <f t="shared" si="31"/>
        <v>0</v>
      </c>
      <c r="Z49" s="1000">
        <f t="shared" si="31"/>
        <v>0</v>
      </c>
      <c r="AA49" s="1000">
        <f t="shared" si="31"/>
        <v>0</v>
      </c>
      <c r="AB49" s="1000">
        <f t="shared" si="31"/>
        <v>0</v>
      </c>
      <c r="AC49" s="1000">
        <f t="shared" si="31"/>
        <v>0</v>
      </c>
      <c r="AD49" s="1000">
        <f t="shared" si="31"/>
        <v>0</v>
      </c>
      <c r="AE49" s="1000">
        <f t="shared" si="31"/>
        <v>0</v>
      </c>
      <c r="AF49" s="1000">
        <f t="shared" si="31"/>
        <v>0</v>
      </c>
      <c r="AG49" s="1000">
        <f t="shared" si="31"/>
        <v>0</v>
      </c>
      <c r="AH49" s="1000">
        <f t="shared" si="31"/>
        <v>0</v>
      </c>
      <c r="AI49" s="1000">
        <f t="shared" si="31"/>
        <v>0</v>
      </c>
      <c r="AJ49" s="1000">
        <f t="shared" si="31"/>
        <v>0</v>
      </c>
      <c r="AK49" s="1000">
        <f t="shared" si="31"/>
        <v>0</v>
      </c>
      <c r="AL49" s="1000">
        <f t="shared" si="31"/>
        <v>0</v>
      </c>
      <c r="AM49" s="1000">
        <f t="shared" si="31"/>
        <v>0</v>
      </c>
      <c r="AN49" s="1000">
        <f t="shared" si="31"/>
        <v>0</v>
      </c>
      <c r="AO49" s="1000">
        <f t="shared" si="31"/>
        <v>0</v>
      </c>
      <c r="AP49" s="1000">
        <f t="shared" si="31"/>
        <v>0</v>
      </c>
      <c r="AQ49" s="1000">
        <f t="shared" si="31"/>
        <v>0</v>
      </c>
      <c r="AR49" s="1000">
        <f t="shared" si="31"/>
        <v>0</v>
      </c>
      <c r="AS49" s="1000">
        <f t="shared" si="31"/>
        <v>0</v>
      </c>
      <c r="AT49" s="1000">
        <f t="shared" si="31"/>
        <v>0</v>
      </c>
      <c r="AU49" s="1000">
        <f t="shared" si="31"/>
        <v>0</v>
      </c>
      <c r="AV49" s="1000">
        <f t="shared" si="31"/>
        <v>0</v>
      </c>
      <c r="AW49" s="1000">
        <f t="shared" si="31"/>
        <v>0</v>
      </c>
      <c r="AX49" s="1000">
        <f t="shared" si="31"/>
        <v>0</v>
      </c>
      <c r="AY49" s="1000">
        <f t="shared" si="31"/>
        <v>0</v>
      </c>
      <c r="AZ49" s="1000">
        <f t="shared" si="31"/>
        <v>0</v>
      </c>
      <c r="BA49" s="1000">
        <f t="shared" si="31"/>
        <v>0</v>
      </c>
      <c r="BB49" s="1000">
        <f t="shared" si="31"/>
        <v>0</v>
      </c>
      <c r="BC49" s="1000">
        <f t="shared" si="31"/>
        <v>0</v>
      </c>
      <c r="BD49" s="1000">
        <f t="shared" si="31"/>
        <v>0</v>
      </c>
      <c r="BE49" s="1000">
        <f t="shared" si="31"/>
        <v>0</v>
      </c>
      <c r="BF49" s="1000">
        <f t="shared" si="31"/>
        <v>0</v>
      </c>
      <c r="BG49" s="1000">
        <f t="shared" si="31"/>
        <v>0</v>
      </c>
      <c r="BH49" s="1000">
        <f t="shared" si="31"/>
        <v>0</v>
      </c>
      <c r="BI49" s="1000">
        <f t="shared" si="31"/>
        <v>0</v>
      </c>
      <c r="BJ49" s="1000">
        <f t="shared" si="31"/>
        <v>0</v>
      </c>
      <c r="BK49" s="1000">
        <f t="shared" si="31"/>
        <v>0</v>
      </c>
      <c r="BL49" s="1000">
        <f t="shared" si="31"/>
        <v>0</v>
      </c>
      <c r="BM49" s="1000">
        <f t="shared" si="31"/>
        <v>0</v>
      </c>
      <c r="BN49" s="1000">
        <f t="shared" si="31"/>
        <v>0</v>
      </c>
      <c r="BO49" s="1000">
        <f t="shared" si="31"/>
        <v>0</v>
      </c>
      <c r="BP49" s="1000">
        <f t="shared" si="31"/>
        <v>0</v>
      </c>
      <c r="BQ49" s="1000">
        <f t="shared" si="31"/>
        <v>0</v>
      </c>
      <c r="BR49" s="1000">
        <f t="shared" si="31"/>
        <v>0</v>
      </c>
      <c r="BS49" s="1000">
        <f t="shared" ref="BS49:CD52" si="32">SUM(BS50:BS52)</f>
        <v>0</v>
      </c>
      <c r="BT49" s="1000">
        <f t="shared" si="32"/>
        <v>0</v>
      </c>
      <c r="BU49" s="1000">
        <f t="shared" si="32"/>
        <v>0</v>
      </c>
      <c r="BV49" s="1000">
        <f t="shared" si="32"/>
        <v>0</v>
      </c>
      <c r="BW49" s="1000">
        <f t="shared" si="32"/>
        <v>0</v>
      </c>
      <c r="BX49" s="1000">
        <f t="shared" si="32"/>
        <v>0</v>
      </c>
      <c r="BY49" s="1000">
        <f t="shared" si="32"/>
        <v>0</v>
      </c>
      <c r="BZ49" s="1000">
        <f t="shared" si="32"/>
        <v>0</v>
      </c>
      <c r="CA49" s="1000">
        <f t="shared" si="32"/>
        <v>100000000</v>
      </c>
      <c r="CB49" s="1000">
        <f t="shared" si="32"/>
        <v>36000000</v>
      </c>
      <c r="CC49" s="1000">
        <f t="shared" si="32"/>
        <v>0</v>
      </c>
      <c r="CD49" s="1000" t="e">
        <f t="shared" si="32"/>
        <v>#DIV/0!</v>
      </c>
      <c r="CE49" s="1001">
        <f t="shared" si="4"/>
        <v>0</v>
      </c>
      <c r="CF49" s="1002">
        <f t="shared" si="5"/>
        <v>36000000</v>
      </c>
      <c r="CG49" s="1002">
        <f t="shared" si="5"/>
        <v>-100000000</v>
      </c>
      <c r="CH49" s="997" t="e">
        <f t="shared" si="5"/>
        <v>#DIV/0!</v>
      </c>
      <c r="CK49" s="39"/>
      <c r="CL49" s="1009">
        <f>+'[5]Anexo 5.2.A'!Z79</f>
        <v>0</v>
      </c>
      <c r="CM49" s="1009">
        <f>+'[5]Anexo 5.2.A'!AA79</f>
        <v>100000000</v>
      </c>
      <c r="CN49" s="1009">
        <f>+'[5]Anexo 5.2.A'!AB79</f>
        <v>88635500</v>
      </c>
    </row>
    <row r="50" spans="1:92" ht="66" x14ac:dyDescent="0.3">
      <c r="A50" s="647" t="s">
        <v>233</v>
      </c>
      <c r="B50" s="647"/>
      <c r="C50" s="1019">
        <f t="shared" ref="C50:F52" si="33">C$49*(B50/B$49)</f>
        <v>0</v>
      </c>
      <c r="D50" s="1019">
        <f t="shared" si="33"/>
        <v>0</v>
      </c>
      <c r="E50" s="1019">
        <f t="shared" si="33"/>
        <v>0</v>
      </c>
      <c r="F50" s="1019" t="e">
        <f t="shared" si="33"/>
        <v>#DIV/0!</v>
      </c>
      <c r="G50" s="989"/>
      <c r="H50" s="989"/>
      <c r="I50" s="989"/>
      <c r="J50" s="989"/>
      <c r="K50" s="989"/>
      <c r="L50" s="989"/>
      <c r="M50" s="989"/>
      <c r="N50" s="989"/>
      <c r="O50" s="989"/>
      <c r="P50" s="989"/>
      <c r="Q50" s="989"/>
      <c r="R50" s="989"/>
      <c r="S50" s="989"/>
      <c r="T50" s="989"/>
      <c r="U50" s="989"/>
      <c r="V50" s="989"/>
      <c r="W50" s="988"/>
      <c r="X50" s="988"/>
      <c r="Y50" s="988"/>
      <c r="Z50" s="988"/>
      <c r="AA50" s="988"/>
      <c r="AB50" s="988"/>
      <c r="AC50" s="988"/>
      <c r="AD50" s="988"/>
      <c r="AE50" s="988"/>
      <c r="AF50" s="988"/>
      <c r="AG50" s="988"/>
      <c r="AH50" s="988"/>
      <c r="AI50" s="988"/>
      <c r="AJ50" s="988"/>
      <c r="AK50" s="988"/>
      <c r="AL50" s="988"/>
      <c r="AM50" s="988"/>
      <c r="AN50" s="988"/>
      <c r="AO50" s="988"/>
      <c r="AP50" s="988"/>
      <c r="AQ50" s="988"/>
      <c r="AR50" s="988"/>
      <c r="AS50" s="988"/>
      <c r="AT50" s="988"/>
      <c r="AU50" s="988"/>
      <c r="AV50" s="988"/>
      <c r="AW50" s="988"/>
      <c r="AX50" s="988"/>
      <c r="AY50" s="988"/>
      <c r="AZ50" s="988"/>
      <c r="BA50" s="988"/>
      <c r="BB50" s="988"/>
      <c r="BC50" s="988"/>
      <c r="BD50" s="988"/>
      <c r="BE50" s="988"/>
      <c r="BF50" s="988"/>
      <c r="BG50" s="988"/>
      <c r="BH50" s="988"/>
      <c r="BI50" s="988"/>
      <c r="BJ50" s="988"/>
      <c r="BK50" s="988"/>
      <c r="BL50" s="988"/>
      <c r="BM50" s="988"/>
      <c r="BN50" s="988"/>
      <c r="BO50" s="988"/>
      <c r="BP50" s="988"/>
      <c r="BQ50" s="988"/>
      <c r="BR50" s="988"/>
      <c r="BS50" s="1000">
        <f t="shared" si="32"/>
        <v>0</v>
      </c>
      <c r="BT50" s="1000">
        <f t="shared" si="32"/>
        <v>0</v>
      </c>
      <c r="BU50" s="1000">
        <f t="shared" si="32"/>
        <v>0</v>
      </c>
      <c r="BV50" s="1000">
        <f t="shared" si="32"/>
        <v>0</v>
      </c>
      <c r="BW50" s="1017"/>
      <c r="BX50" s="1017"/>
      <c r="BY50" s="1017"/>
      <c r="BZ50" s="1017"/>
      <c r="CA50" s="640">
        <f t="shared" si="6"/>
        <v>0</v>
      </c>
      <c r="CB50" s="640">
        <f t="shared" si="6"/>
        <v>0</v>
      </c>
      <c r="CC50" s="640">
        <f t="shared" si="6"/>
        <v>0</v>
      </c>
      <c r="CD50" s="640" t="e">
        <f t="shared" si="6"/>
        <v>#DIV/0!</v>
      </c>
      <c r="CE50" s="641">
        <f t="shared" si="4"/>
        <v>0</v>
      </c>
      <c r="CF50" s="642">
        <f t="shared" si="5"/>
        <v>-24091907.091751736</v>
      </c>
      <c r="CG50" s="642">
        <f t="shared" si="5"/>
        <v>-24091907.091751736</v>
      </c>
      <c r="CH50" s="643" t="e">
        <f t="shared" si="5"/>
        <v>#DIV/0!</v>
      </c>
      <c r="CK50" s="39" t="s">
        <v>233</v>
      </c>
      <c r="CL50" s="638">
        <v>24091907.091751736</v>
      </c>
      <c r="CM50" s="638">
        <v>24091907.091751736</v>
      </c>
    </row>
    <row r="51" spans="1:92" s="996" customFormat="1" x14ac:dyDescent="0.3">
      <c r="A51" s="647" t="s">
        <v>237</v>
      </c>
      <c r="B51" s="647"/>
      <c r="C51" s="1019">
        <f t="shared" si="33"/>
        <v>0</v>
      </c>
      <c r="D51" s="1019">
        <f t="shared" si="33"/>
        <v>0</v>
      </c>
      <c r="E51" s="1019">
        <f t="shared" si="33"/>
        <v>0</v>
      </c>
      <c r="F51" s="1019" t="e">
        <f t="shared" si="33"/>
        <v>#DIV/0!</v>
      </c>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4"/>
      <c r="AO51" s="994"/>
      <c r="AP51" s="994"/>
      <c r="AQ51" s="994"/>
      <c r="AR51" s="994"/>
      <c r="AS51" s="994"/>
      <c r="AT51" s="994"/>
      <c r="AU51" s="994"/>
      <c r="AV51" s="994"/>
      <c r="AW51" s="994"/>
      <c r="AX51" s="994"/>
      <c r="AY51" s="994"/>
      <c r="AZ51" s="994"/>
      <c r="BA51" s="994"/>
      <c r="BB51" s="994"/>
      <c r="BC51" s="994"/>
      <c r="BD51" s="994"/>
      <c r="BE51" s="994"/>
      <c r="BF51" s="994"/>
      <c r="BG51" s="994"/>
      <c r="BH51" s="994"/>
      <c r="BI51" s="994"/>
      <c r="BJ51" s="994"/>
      <c r="BK51" s="994"/>
      <c r="BL51" s="994"/>
      <c r="BM51" s="994"/>
      <c r="BN51" s="994"/>
      <c r="BO51" s="994"/>
      <c r="BP51" s="994"/>
      <c r="BQ51" s="994"/>
      <c r="BR51" s="994"/>
      <c r="BS51" s="1000">
        <f t="shared" si="32"/>
        <v>0</v>
      </c>
      <c r="BT51" s="1000">
        <f t="shared" si="32"/>
        <v>0</v>
      </c>
      <c r="BU51" s="1000">
        <f t="shared" si="32"/>
        <v>0</v>
      </c>
      <c r="BV51" s="1000">
        <f t="shared" si="32"/>
        <v>0</v>
      </c>
      <c r="BW51" s="655"/>
      <c r="BX51" s="655"/>
      <c r="BY51" s="655"/>
      <c r="BZ51" s="655"/>
      <c r="CA51" s="640">
        <f t="shared" si="6"/>
        <v>0</v>
      </c>
      <c r="CB51" s="640">
        <f t="shared" si="6"/>
        <v>0</v>
      </c>
      <c r="CC51" s="640">
        <f t="shared" si="6"/>
        <v>0</v>
      </c>
      <c r="CD51" s="640" t="e">
        <f t="shared" si="6"/>
        <v>#DIV/0!</v>
      </c>
      <c r="CE51" s="641">
        <f t="shared" si="4"/>
        <v>0</v>
      </c>
      <c r="CF51" s="642">
        <f t="shared" si="5"/>
        <v>-123213291.74093629</v>
      </c>
      <c r="CG51" s="642">
        <f t="shared" si="5"/>
        <v>-123213291.74093629</v>
      </c>
      <c r="CH51" s="997" t="e">
        <f t="shared" si="5"/>
        <v>#DIV/0!</v>
      </c>
      <c r="CK51" s="39" t="s">
        <v>237</v>
      </c>
      <c r="CL51" s="638">
        <v>123213291.74093629</v>
      </c>
      <c r="CM51" s="638">
        <v>123213291.74093629</v>
      </c>
    </row>
    <row r="52" spans="1:92" s="996" customFormat="1" ht="25.5" x14ac:dyDescent="0.3">
      <c r="A52" s="647" t="s">
        <v>240</v>
      </c>
      <c r="B52" s="647">
        <v>100000000</v>
      </c>
      <c r="C52" s="1019">
        <f>C$49*(B52/B$49)</f>
        <v>100000000</v>
      </c>
      <c r="D52" s="1019">
        <f t="shared" si="33"/>
        <v>36000000</v>
      </c>
      <c r="E52" s="1019">
        <f t="shared" si="33"/>
        <v>0</v>
      </c>
      <c r="F52" s="1019" t="e">
        <f t="shared" si="33"/>
        <v>#DIV/0!</v>
      </c>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4"/>
      <c r="AO52" s="994"/>
      <c r="AP52" s="994"/>
      <c r="AQ52" s="994"/>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4"/>
      <c r="BN52" s="994"/>
      <c r="BO52" s="994"/>
      <c r="BP52" s="994"/>
      <c r="BQ52" s="994"/>
      <c r="BR52" s="994"/>
      <c r="BS52" s="1000">
        <f t="shared" si="32"/>
        <v>0</v>
      </c>
      <c r="BT52" s="1000">
        <f t="shared" si="32"/>
        <v>0</v>
      </c>
      <c r="BU52" s="1000">
        <f t="shared" si="32"/>
        <v>0</v>
      </c>
      <c r="BV52" s="1000">
        <f t="shared" si="32"/>
        <v>0</v>
      </c>
      <c r="BW52" s="1017"/>
      <c r="BX52" s="1017"/>
      <c r="BY52" s="1017"/>
      <c r="BZ52" s="1017"/>
      <c r="CA52" s="640">
        <f t="shared" si="6"/>
        <v>100000000</v>
      </c>
      <c r="CB52" s="640">
        <f t="shared" si="6"/>
        <v>36000000</v>
      </c>
      <c r="CC52" s="640">
        <f t="shared" si="6"/>
        <v>0</v>
      </c>
      <c r="CD52" s="640" t="e">
        <f t="shared" si="6"/>
        <v>#DIV/0!</v>
      </c>
      <c r="CE52" s="641">
        <f t="shared" si="4"/>
        <v>0</v>
      </c>
      <c r="CF52" s="642">
        <f t="shared" si="5"/>
        <v>-7932301.1673119813</v>
      </c>
      <c r="CG52" s="642">
        <f t="shared" si="5"/>
        <v>-43932301.167311981</v>
      </c>
      <c r="CH52" s="997" t="e">
        <f t="shared" si="5"/>
        <v>#DIV/0!</v>
      </c>
      <c r="CK52" s="39" t="s">
        <v>240</v>
      </c>
      <c r="CL52" s="638">
        <v>43932301.167311981</v>
      </c>
      <c r="CM52" s="638">
        <v>43932301.167311981</v>
      </c>
    </row>
    <row r="53" spans="1:92" s="996" customFormat="1" ht="49.5" x14ac:dyDescent="0.3">
      <c r="A53" s="651" t="s">
        <v>242</v>
      </c>
      <c r="B53" s="645">
        <v>900000000</v>
      </c>
      <c r="C53" s="645">
        <v>900000000</v>
      </c>
      <c r="D53" s="645">
        <v>506729000</v>
      </c>
      <c r="E53" s="645">
        <v>37198346</v>
      </c>
      <c r="F53" s="645">
        <v>34017346</v>
      </c>
      <c r="G53" s="645">
        <f t="shared" ref="G53:BN53" si="34">SUM(G54:G57)</f>
        <v>0</v>
      </c>
      <c r="H53" s="645">
        <f t="shared" si="34"/>
        <v>0</v>
      </c>
      <c r="I53" s="645">
        <f t="shared" si="34"/>
        <v>0</v>
      </c>
      <c r="J53" s="645">
        <f t="shared" si="34"/>
        <v>0</v>
      </c>
      <c r="K53" s="645">
        <f t="shared" si="34"/>
        <v>0</v>
      </c>
      <c r="L53" s="645">
        <f t="shared" si="34"/>
        <v>0</v>
      </c>
      <c r="M53" s="645">
        <f t="shared" si="34"/>
        <v>0</v>
      </c>
      <c r="N53" s="645">
        <f t="shared" si="34"/>
        <v>0</v>
      </c>
      <c r="O53" s="645">
        <f t="shared" si="34"/>
        <v>0</v>
      </c>
      <c r="P53" s="645">
        <f t="shared" si="34"/>
        <v>0</v>
      </c>
      <c r="Q53" s="645">
        <f t="shared" si="34"/>
        <v>0</v>
      </c>
      <c r="R53" s="645">
        <f t="shared" si="34"/>
        <v>0</v>
      </c>
      <c r="S53" s="645">
        <f t="shared" si="34"/>
        <v>0</v>
      </c>
      <c r="T53" s="645">
        <f t="shared" si="34"/>
        <v>0</v>
      </c>
      <c r="U53" s="645">
        <f t="shared" si="34"/>
        <v>0</v>
      </c>
      <c r="V53" s="645">
        <f t="shared" si="34"/>
        <v>0</v>
      </c>
      <c r="W53" s="645">
        <f t="shared" si="34"/>
        <v>0</v>
      </c>
      <c r="X53" s="645">
        <f t="shared" si="34"/>
        <v>0</v>
      </c>
      <c r="Y53" s="645">
        <f t="shared" si="34"/>
        <v>0</v>
      </c>
      <c r="Z53" s="645">
        <f t="shared" si="34"/>
        <v>0</v>
      </c>
      <c r="AA53" s="645">
        <f t="shared" si="34"/>
        <v>0</v>
      </c>
      <c r="AB53" s="645">
        <f t="shared" si="34"/>
        <v>0</v>
      </c>
      <c r="AC53" s="645">
        <f t="shared" si="34"/>
        <v>0</v>
      </c>
      <c r="AD53" s="645">
        <f t="shared" si="34"/>
        <v>0</v>
      </c>
      <c r="AE53" s="645">
        <f t="shared" si="34"/>
        <v>0</v>
      </c>
      <c r="AF53" s="645">
        <f t="shared" si="34"/>
        <v>0</v>
      </c>
      <c r="AG53" s="645">
        <f t="shared" si="34"/>
        <v>0</v>
      </c>
      <c r="AH53" s="645">
        <f t="shared" si="34"/>
        <v>0</v>
      </c>
      <c r="AI53" s="645">
        <f t="shared" si="34"/>
        <v>0</v>
      </c>
      <c r="AJ53" s="645">
        <f t="shared" si="34"/>
        <v>0</v>
      </c>
      <c r="AK53" s="645">
        <f t="shared" si="34"/>
        <v>0</v>
      </c>
      <c r="AL53" s="645">
        <f t="shared" si="34"/>
        <v>0</v>
      </c>
      <c r="AM53" s="645">
        <f t="shared" si="34"/>
        <v>0</v>
      </c>
      <c r="AN53" s="645">
        <f t="shared" si="34"/>
        <v>0</v>
      </c>
      <c r="AO53" s="645">
        <f t="shared" si="34"/>
        <v>0</v>
      </c>
      <c r="AP53" s="645">
        <f t="shared" si="34"/>
        <v>0</v>
      </c>
      <c r="AQ53" s="645">
        <f t="shared" si="34"/>
        <v>0</v>
      </c>
      <c r="AR53" s="645">
        <f t="shared" si="34"/>
        <v>0</v>
      </c>
      <c r="AS53" s="645">
        <f t="shared" si="34"/>
        <v>0</v>
      </c>
      <c r="AT53" s="645">
        <f t="shared" si="34"/>
        <v>0</v>
      </c>
      <c r="AU53" s="645">
        <f t="shared" si="34"/>
        <v>0</v>
      </c>
      <c r="AV53" s="645">
        <f t="shared" si="34"/>
        <v>0</v>
      </c>
      <c r="AW53" s="645">
        <f t="shared" si="34"/>
        <v>0</v>
      </c>
      <c r="AX53" s="645">
        <f t="shared" si="34"/>
        <v>0</v>
      </c>
      <c r="AY53" s="645">
        <f t="shared" si="34"/>
        <v>0</v>
      </c>
      <c r="AZ53" s="645">
        <f t="shared" si="34"/>
        <v>0</v>
      </c>
      <c r="BA53" s="645">
        <f t="shared" si="34"/>
        <v>0</v>
      </c>
      <c r="BB53" s="645">
        <f t="shared" si="34"/>
        <v>0</v>
      </c>
      <c r="BC53" s="645">
        <f t="shared" si="34"/>
        <v>0</v>
      </c>
      <c r="BD53" s="645">
        <f t="shared" si="34"/>
        <v>0</v>
      </c>
      <c r="BE53" s="645">
        <f t="shared" si="34"/>
        <v>0</v>
      </c>
      <c r="BF53" s="645">
        <f t="shared" si="34"/>
        <v>0</v>
      </c>
      <c r="BG53" s="645">
        <f t="shared" si="34"/>
        <v>0</v>
      </c>
      <c r="BH53" s="645">
        <f t="shared" si="34"/>
        <v>0</v>
      </c>
      <c r="BI53" s="645">
        <f t="shared" si="34"/>
        <v>0</v>
      </c>
      <c r="BJ53" s="645">
        <f t="shared" si="34"/>
        <v>0</v>
      </c>
      <c r="BK53" s="645">
        <f t="shared" si="34"/>
        <v>0</v>
      </c>
      <c r="BL53" s="645">
        <f t="shared" si="34"/>
        <v>0</v>
      </c>
      <c r="BM53" s="645">
        <f t="shared" si="34"/>
        <v>0</v>
      </c>
      <c r="BN53" s="645">
        <f t="shared" si="34"/>
        <v>0</v>
      </c>
      <c r="BO53" s="645">
        <v>0</v>
      </c>
      <c r="BP53" s="645">
        <v>0</v>
      </c>
      <c r="BQ53" s="645">
        <v>0</v>
      </c>
      <c r="BR53" s="645">
        <v>0</v>
      </c>
      <c r="BS53" s="645">
        <f t="shared" ref="BS53:CD53" si="35">SUM(BS54:BS57)</f>
        <v>0</v>
      </c>
      <c r="BT53" s="645">
        <f t="shared" si="35"/>
        <v>0</v>
      </c>
      <c r="BU53" s="645">
        <f t="shared" si="35"/>
        <v>0</v>
      </c>
      <c r="BV53" s="645">
        <f t="shared" si="35"/>
        <v>0</v>
      </c>
      <c r="BW53" s="645">
        <f t="shared" si="35"/>
        <v>0</v>
      </c>
      <c r="BX53" s="645">
        <f t="shared" si="35"/>
        <v>0</v>
      </c>
      <c r="BY53" s="645">
        <f t="shared" si="35"/>
        <v>0</v>
      </c>
      <c r="BZ53" s="645">
        <f t="shared" si="35"/>
        <v>0</v>
      </c>
      <c r="CA53" s="1000">
        <f t="shared" si="35"/>
        <v>900000000</v>
      </c>
      <c r="CB53" s="1000">
        <f t="shared" si="35"/>
        <v>506728999.99999994</v>
      </c>
      <c r="CC53" s="1000">
        <f t="shared" si="35"/>
        <v>37198346</v>
      </c>
      <c r="CD53" s="1000">
        <f t="shared" si="35"/>
        <v>34017346</v>
      </c>
      <c r="CE53" s="1001">
        <f t="shared" si="4"/>
        <v>0</v>
      </c>
      <c r="CF53" s="1002">
        <f t="shared" si="5"/>
        <v>506728999.99999994</v>
      </c>
      <c r="CG53" s="1002">
        <f t="shared" si="5"/>
        <v>37198346</v>
      </c>
      <c r="CH53" s="997">
        <f t="shared" si="5"/>
        <v>34017346</v>
      </c>
      <c r="CK53" s="39"/>
      <c r="CL53" s="1009">
        <f>+'[5]Anexo 5.2.A'!Z83</f>
        <v>0</v>
      </c>
      <c r="CM53" s="1009">
        <f>+'[5]Anexo 5.2.A'!AA83</f>
        <v>0</v>
      </c>
      <c r="CN53" s="1009">
        <f>+'[5]Anexo 5.2.A'!AB83</f>
        <v>0</v>
      </c>
    </row>
    <row r="54" spans="1:92" s="996" customFormat="1" ht="60.75" customHeight="1" x14ac:dyDescent="0.3">
      <c r="A54" s="986" t="s">
        <v>243</v>
      </c>
      <c r="B54" s="1005"/>
      <c r="C54" s="998">
        <f t="shared" ref="C54:F57" si="36">C$53*(B54/B$53)</f>
        <v>0</v>
      </c>
      <c r="D54" s="998">
        <f t="shared" si="36"/>
        <v>0</v>
      </c>
      <c r="E54" s="998">
        <f t="shared" si="36"/>
        <v>0</v>
      </c>
      <c r="F54" s="998">
        <f t="shared" si="36"/>
        <v>0</v>
      </c>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4"/>
      <c r="AJ54" s="994"/>
      <c r="AK54" s="994"/>
      <c r="AL54" s="994"/>
      <c r="AM54" s="994"/>
      <c r="AN54" s="994"/>
      <c r="AO54" s="994"/>
      <c r="AP54" s="994"/>
      <c r="AQ54" s="994"/>
      <c r="AR54" s="994"/>
      <c r="AS54" s="994"/>
      <c r="AT54" s="994"/>
      <c r="AU54" s="994"/>
      <c r="AV54" s="994"/>
      <c r="AW54" s="994"/>
      <c r="AX54" s="994"/>
      <c r="AY54" s="994"/>
      <c r="AZ54" s="994"/>
      <c r="BA54" s="994"/>
      <c r="BB54" s="994"/>
      <c r="BC54" s="994"/>
      <c r="BD54" s="994"/>
      <c r="BE54" s="994"/>
      <c r="BF54" s="994"/>
      <c r="BG54" s="994"/>
      <c r="BH54" s="994"/>
      <c r="BI54" s="994"/>
      <c r="BJ54" s="994"/>
      <c r="BK54" s="994"/>
      <c r="BL54" s="994"/>
      <c r="BM54" s="994"/>
      <c r="BN54" s="994"/>
      <c r="BP54" s="994"/>
      <c r="BQ54" s="994"/>
      <c r="BR54" s="994"/>
      <c r="BS54" s="1017"/>
      <c r="BT54" s="1017"/>
      <c r="BU54" s="1017"/>
      <c r="BV54" s="1017"/>
      <c r="BW54" s="1017"/>
      <c r="BX54" s="1017"/>
      <c r="BY54" s="1017"/>
      <c r="BZ54" s="1017"/>
      <c r="CA54" s="640">
        <f t="shared" si="6"/>
        <v>0</v>
      </c>
      <c r="CB54" s="640">
        <f t="shared" si="6"/>
        <v>0</v>
      </c>
      <c r="CC54" s="640">
        <f t="shared" si="6"/>
        <v>0</v>
      </c>
      <c r="CD54" s="640">
        <f t="shared" si="6"/>
        <v>0</v>
      </c>
      <c r="CE54" s="641">
        <f t="shared" si="4"/>
        <v>0</v>
      </c>
      <c r="CF54" s="642">
        <f t="shared" si="5"/>
        <v>-395093736.43907392</v>
      </c>
      <c r="CG54" s="642">
        <f t="shared" si="5"/>
        <v>-185477474.71669087</v>
      </c>
      <c r="CH54" s="997">
        <f t="shared" si="5"/>
        <v>0</v>
      </c>
      <c r="CK54" s="39" t="s">
        <v>243</v>
      </c>
      <c r="CL54" s="638">
        <v>395093736.43907392</v>
      </c>
      <c r="CM54" s="638">
        <v>185477474.71669087</v>
      </c>
    </row>
    <row r="55" spans="1:92" s="996" customFormat="1" ht="33" x14ac:dyDescent="0.3">
      <c r="A55" s="986" t="s">
        <v>246</v>
      </c>
      <c r="B55" s="1005"/>
      <c r="C55" s="998">
        <f t="shared" si="36"/>
        <v>0</v>
      </c>
      <c r="D55" s="998">
        <f t="shared" si="36"/>
        <v>0</v>
      </c>
      <c r="E55" s="998">
        <f t="shared" si="36"/>
        <v>0</v>
      </c>
      <c r="F55" s="998">
        <f t="shared" si="36"/>
        <v>0</v>
      </c>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1017"/>
      <c r="BT55" s="1017"/>
      <c r="BU55" s="1017"/>
      <c r="BV55" s="1017"/>
      <c r="BW55" s="1017"/>
      <c r="BX55" s="1017"/>
      <c r="BY55" s="1017"/>
      <c r="BZ55" s="1017"/>
      <c r="CA55" s="640">
        <f t="shared" si="6"/>
        <v>0</v>
      </c>
      <c r="CB55" s="640">
        <f t="shared" si="6"/>
        <v>0</v>
      </c>
      <c r="CC55" s="640">
        <f t="shared" si="6"/>
        <v>0</v>
      </c>
      <c r="CD55" s="640">
        <f t="shared" si="6"/>
        <v>0</v>
      </c>
      <c r="CE55" s="641">
        <f t="shared" si="4"/>
        <v>0</v>
      </c>
      <c r="CF55" s="642">
        <f t="shared" si="5"/>
        <v>-25009624635.286507</v>
      </c>
      <c r="CG55" s="642">
        <f t="shared" si="5"/>
        <v>-11740813870.585377</v>
      </c>
      <c r="CH55" s="997">
        <f t="shared" si="5"/>
        <v>0</v>
      </c>
      <c r="CK55" s="39" t="s">
        <v>246</v>
      </c>
      <c r="CL55" s="638">
        <v>25009624635.286507</v>
      </c>
      <c r="CM55" s="638">
        <v>11740813870.585377</v>
      </c>
    </row>
    <row r="56" spans="1:92" s="996" customFormat="1" ht="33" x14ac:dyDescent="0.3">
      <c r="A56" s="986" t="s">
        <v>248</v>
      </c>
      <c r="B56" s="1005">
        <v>800000000</v>
      </c>
      <c r="C56" s="998">
        <f>C$53*(B56/B$53)</f>
        <v>800000000</v>
      </c>
      <c r="D56" s="998">
        <f t="shared" si="36"/>
        <v>450425777.77777773</v>
      </c>
      <c r="E56" s="998">
        <f t="shared" si="36"/>
        <v>33065196.444444444</v>
      </c>
      <c r="F56" s="998">
        <f t="shared" si="36"/>
        <v>30237640.888888888</v>
      </c>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1017"/>
      <c r="BT56" s="1017"/>
      <c r="BU56" s="1017"/>
      <c r="BV56" s="1017"/>
      <c r="BW56" s="1017"/>
      <c r="BX56" s="1017"/>
      <c r="BY56" s="1017"/>
      <c r="BZ56" s="1017"/>
      <c r="CA56" s="640">
        <f t="shared" si="6"/>
        <v>800000000</v>
      </c>
      <c r="CB56" s="640">
        <f t="shared" si="6"/>
        <v>450425777.77777773</v>
      </c>
      <c r="CC56" s="640">
        <f t="shared" si="6"/>
        <v>33065196.444444444</v>
      </c>
      <c r="CD56" s="640">
        <f t="shared" si="6"/>
        <v>30237640.888888888</v>
      </c>
      <c r="CE56" s="641">
        <f t="shared" si="4"/>
        <v>0</v>
      </c>
      <c r="CF56" s="642">
        <f t="shared" si="5"/>
        <v>318132591.06851822</v>
      </c>
      <c r="CG56" s="642">
        <f t="shared" si="5"/>
        <v>-29040081.189692337</v>
      </c>
      <c r="CH56" s="997">
        <f t="shared" si="5"/>
        <v>30237640.888888888</v>
      </c>
      <c r="CK56" s="39" t="s">
        <v>248</v>
      </c>
      <c r="CL56" s="638">
        <v>132293186.70925951</v>
      </c>
      <c r="CM56" s="638">
        <v>62105277.634136781</v>
      </c>
    </row>
    <row r="57" spans="1:92" s="996" customFormat="1" ht="23.25" customHeight="1" x14ac:dyDescent="0.3">
      <c r="A57" s="986" t="s">
        <v>250</v>
      </c>
      <c r="B57" s="1005">
        <v>100000000</v>
      </c>
      <c r="C57" s="998">
        <f t="shared" si="36"/>
        <v>100000000</v>
      </c>
      <c r="D57" s="998">
        <f t="shared" si="36"/>
        <v>56303222.222222216</v>
      </c>
      <c r="E57" s="998">
        <f t="shared" si="36"/>
        <v>4133149.5555555555</v>
      </c>
      <c r="F57" s="998">
        <f t="shared" si="36"/>
        <v>3779705.111111111</v>
      </c>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994"/>
      <c r="AQ57" s="994"/>
      <c r="AR57" s="994"/>
      <c r="AS57" s="994"/>
      <c r="AT57" s="994"/>
      <c r="AU57" s="994"/>
      <c r="AV57" s="994"/>
      <c r="AW57" s="994"/>
      <c r="AX57" s="994"/>
      <c r="AY57" s="994"/>
      <c r="AZ57" s="994"/>
      <c r="BA57" s="994"/>
      <c r="BB57" s="994"/>
      <c r="BC57" s="994"/>
      <c r="BD57" s="994"/>
      <c r="BE57" s="994"/>
      <c r="BF57" s="994"/>
      <c r="BG57" s="994"/>
      <c r="BH57" s="994"/>
      <c r="BI57" s="994"/>
      <c r="BJ57" s="994"/>
      <c r="BK57" s="994"/>
      <c r="BL57" s="994"/>
      <c r="BM57" s="994"/>
      <c r="BN57" s="994"/>
      <c r="BO57" s="994"/>
      <c r="BP57" s="994"/>
      <c r="BQ57" s="994"/>
      <c r="BR57" s="994"/>
      <c r="BS57" s="1017"/>
      <c r="BT57" s="1017"/>
      <c r="BU57" s="1017"/>
      <c r="BV57" s="1017"/>
      <c r="BW57" s="1017"/>
      <c r="BX57" s="1017"/>
      <c r="BY57" s="1017"/>
      <c r="BZ57" s="1017"/>
      <c r="CA57" s="640">
        <f t="shared" si="6"/>
        <v>100000000</v>
      </c>
      <c r="CB57" s="640">
        <f t="shared" si="6"/>
        <v>56303222.222222216</v>
      </c>
      <c r="CC57" s="640">
        <f t="shared" si="6"/>
        <v>4133149.5555555555</v>
      </c>
      <c r="CD57" s="640">
        <f t="shared" si="6"/>
        <v>3779705.111111111</v>
      </c>
      <c r="CE57" s="641">
        <f t="shared" si="4"/>
        <v>0</v>
      </c>
      <c r="CF57" s="642">
        <f t="shared" si="5"/>
        <v>-58337176.342939474</v>
      </c>
      <c r="CG57" s="642">
        <f t="shared" si="5"/>
        <v>-49684994.50823947</v>
      </c>
      <c r="CH57" s="997">
        <f t="shared" si="5"/>
        <v>3779705.111111111</v>
      </c>
      <c r="CI57" s="995"/>
      <c r="CK57" s="39" t="s">
        <v>250</v>
      </c>
      <c r="CL57" s="638">
        <v>114640398.56516169</v>
      </c>
      <c r="CM57" s="638">
        <v>53818144.063795023</v>
      </c>
    </row>
    <row r="58" spans="1:92" s="996" customFormat="1" ht="59.25" customHeight="1" x14ac:dyDescent="0.3">
      <c r="A58" s="651" t="s">
        <v>254</v>
      </c>
      <c r="B58" s="645">
        <v>200000000</v>
      </c>
      <c r="C58" s="645">
        <v>100000000</v>
      </c>
      <c r="D58" s="645">
        <v>47031040</v>
      </c>
      <c r="E58" s="645">
        <v>31040</v>
      </c>
      <c r="F58" s="645">
        <v>31040</v>
      </c>
      <c r="G58" s="645">
        <f t="shared" ref="G58:BN58" si="37">SUM(G59:G62)</f>
        <v>0</v>
      </c>
      <c r="H58" s="645">
        <f t="shared" si="37"/>
        <v>0</v>
      </c>
      <c r="I58" s="645">
        <f t="shared" si="37"/>
        <v>0</v>
      </c>
      <c r="J58" s="645">
        <f t="shared" si="37"/>
        <v>0</v>
      </c>
      <c r="K58" s="645">
        <f t="shared" si="37"/>
        <v>0</v>
      </c>
      <c r="L58" s="645">
        <f t="shared" si="37"/>
        <v>0</v>
      </c>
      <c r="M58" s="645">
        <f t="shared" si="37"/>
        <v>0</v>
      </c>
      <c r="N58" s="645">
        <f t="shared" si="37"/>
        <v>0</v>
      </c>
      <c r="O58" s="645">
        <f t="shared" si="37"/>
        <v>0</v>
      </c>
      <c r="P58" s="645">
        <f t="shared" si="37"/>
        <v>0</v>
      </c>
      <c r="Q58" s="645">
        <f t="shared" si="37"/>
        <v>0</v>
      </c>
      <c r="R58" s="645">
        <f t="shared" si="37"/>
        <v>0</v>
      </c>
      <c r="S58" s="645">
        <f t="shared" si="37"/>
        <v>0</v>
      </c>
      <c r="T58" s="645">
        <f t="shared" si="37"/>
        <v>0</v>
      </c>
      <c r="U58" s="645">
        <f t="shared" si="37"/>
        <v>0</v>
      </c>
      <c r="V58" s="645">
        <f t="shared" si="37"/>
        <v>0</v>
      </c>
      <c r="W58" s="645">
        <f t="shared" si="37"/>
        <v>0</v>
      </c>
      <c r="X58" s="645">
        <f t="shared" si="37"/>
        <v>0</v>
      </c>
      <c r="Y58" s="645">
        <f t="shared" si="37"/>
        <v>0</v>
      </c>
      <c r="Z58" s="645">
        <f t="shared" si="37"/>
        <v>0</v>
      </c>
      <c r="AA58" s="645">
        <v>100000000</v>
      </c>
      <c r="AB58" s="645">
        <v>69566667</v>
      </c>
      <c r="AC58" s="645">
        <v>13008800</v>
      </c>
      <c r="AD58" s="645">
        <v>13008800</v>
      </c>
      <c r="AE58" s="645">
        <f t="shared" si="37"/>
        <v>0</v>
      </c>
      <c r="AF58" s="645">
        <f t="shared" si="37"/>
        <v>0</v>
      </c>
      <c r="AG58" s="645">
        <f t="shared" si="37"/>
        <v>0</v>
      </c>
      <c r="AH58" s="645">
        <f t="shared" si="37"/>
        <v>0</v>
      </c>
      <c r="AI58" s="645">
        <f t="shared" si="37"/>
        <v>0</v>
      </c>
      <c r="AJ58" s="645">
        <f t="shared" si="37"/>
        <v>0</v>
      </c>
      <c r="AK58" s="645">
        <f t="shared" si="37"/>
        <v>0</v>
      </c>
      <c r="AL58" s="645">
        <f t="shared" si="37"/>
        <v>0</v>
      </c>
      <c r="AM58" s="645">
        <f t="shared" si="37"/>
        <v>0</v>
      </c>
      <c r="AN58" s="645">
        <f t="shared" si="37"/>
        <v>0</v>
      </c>
      <c r="AO58" s="645">
        <f t="shared" si="37"/>
        <v>0</v>
      </c>
      <c r="AP58" s="645">
        <f t="shared" si="37"/>
        <v>0</v>
      </c>
      <c r="AQ58" s="645">
        <f t="shared" si="37"/>
        <v>0</v>
      </c>
      <c r="AR58" s="645">
        <f t="shared" si="37"/>
        <v>0</v>
      </c>
      <c r="AS58" s="645">
        <f t="shared" si="37"/>
        <v>0</v>
      </c>
      <c r="AT58" s="645">
        <f t="shared" si="37"/>
        <v>0</v>
      </c>
      <c r="AU58" s="645">
        <f t="shared" si="37"/>
        <v>0</v>
      </c>
      <c r="AV58" s="645">
        <f t="shared" si="37"/>
        <v>0</v>
      </c>
      <c r="AW58" s="645">
        <f t="shared" si="37"/>
        <v>0</v>
      </c>
      <c r="AX58" s="645">
        <f t="shared" si="37"/>
        <v>0</v>
      </c>
      <c r="AY58" s="645">
        <f t="shared" si="37"/>
        <v>0</v>
      </c>
      <c r="AZ58" s="645">
        <f t="shared" si="37"/>
        <v>0</v>
      </c>
      <c r="BA58" s="645">
        <f t="shared" si="37"/>
        <v>0</v>
      </c>
      <c r="BB58" s="645">
        <f t="shared" si="37"/>
        <v>0</v>
      </c>
      <c r="BC58" s="645">
        <f t="shared" si="37"/>
        <v>0</v>
      </c>
      <c r="BD58" s="645">
        <f t="shared" si="37"/>
        <v>0</v>
      </c>
      <c r="BE58" s="645">
        <f t="shared" si="37"/>
        <v>0</v>
      </c>
      <c r="BF58" s="645">
        <f t="shared" si="37"/>
        <v>0</v>
      </c>
      <c r="BG58" s="645">
        <f t="shared" si="37"/>
        <v>0</v>
      </c>
      <c r="BH58" s="645">
        <f t="shared" si="37"/>
        <v>0</v>
      </c>
      <c r="BI58" s="645">
        <f t="shared" si="37"/>
        <v>0</v>
      </c>
      <c r="BJ58" s="645">
        <f t="shared" si="37"/>
        <v>0</v>
      </c>
      <c r="BK58" s="645">
        <f t="shared" si="37"/>
        <v>0</v>
      </c>
      <c r="BL58" s="645">
        <f t="shared" si="37"/>
        <v>0</v>
      </c>
      <c r="BM58" s="645">
        <f t="shared" si="37"/>
        <v>0</v>
      </c>
      <c r="BN58" s="645">
        <f t="shared" si="37"/>
        <v>0</v>
      </c>
      <c r="BO58" s="645">
        <v>0</v>
      </c>
      <c r="BP58" s="645">
        <v>0</v>
      </c>
      <c r="BQ58" s="645">
        <v>0</v>
      </c>
      <c r="BR58" s="645">
        <v>0</v>
      </c>
      <c r="BS58" s="645">
        <v>19213174783</v>
      </c>
      <c r="BT58" s="645">
        <v>2854990814</v>
      </c>
      <c r="BU58" s="645">
        <v>121067627</v>
      </c>
      <c r="BV58" s="645">
        <v>121067627</v>
      </c>
      <c r="BW58" s="645">
        <f t="shared" ref="BW58:CD58" si="38">SUM(BW59:BW62)</f>
        <v>0</v>
      </c>
      <c r="BX58" s="645">
        <f t="shared" si="38"/>
        <v>0</v>
      </c>
      <c r="BY58" s="645">
        <f t="shared" si="38"/>
        <v>0</v>
      </c>
      <c r="BZ58" s="645">
        <f t="shared" si="38"/>
        <v>0</v>
      </c>
      <c r="CA58" s="1000">
        <f t="shared" si="38"/>
        <v>100000000</v>
      </c>
      <c r="CB58" s="1000">
        <f t="shared" si="38"/>
        <v>47031040</v>
      </c>
      <c r="CC58" s="1000">
        <f t="shared" si="38"/>
        <v>31040</v>
      </c>
      <c r="CD58" s="1000">
        <f t="shared" si="38"/>
        <v>31040</v>
      </c>
      <c r="CE58" s="1001">
        <f t="shared" si="4"/>
        <v>-100000000</v>
      </c>
      <c r="CF58" s="1002">
        <f t="shared" si="5"/>
        <v>47031040</v>
      </c>
      <c r="CG58" s="1002">
        <f t="shared" si="5"/>
        <v>31040</v>
      </c>
      <c r="CH58" s="997">
        <f t="shared" si="5"/>
        <v>31040</v>
      </c>
      <c r="CI58" s="995"/>
      <c r="CK58" s="39"/>
      <c r="CL58" s="1009">
        <f>+'[5]Anexo 5.2.A'!Z89</f>
        <v>0</v>
      </c>
      <c r="CM58" s="1009">
        <f>+'[5]Anexo 5.2.A'!AA89</f>
        <v>0</v>
      </c>
      <c r="CN58" s="1009">
        <f>+'[5]Anexo 5.2.A'!AB89</f>
        <v>0</v>
      </c>
    </row>
    <row r="59" spans="1:92" ht="33" x14ac:dyDescent="0.3">
      <c r="A59" s="1020" t="s">
        <v>255</v>
      </c>
      <c r="B59" s="1021">
        <v>0</v>
      </c>
      <c r="C59" s="1016">
        <v>0</v>
      </c>
      <c r="D59" s="1016">
        <v>0</v>
      </c>
      <c r="E59" s="1016">
        <v>0</v>
      </c>
      <c r="F59" s="1016">
        <v>0</v>
      </c>
      <c r="G59" s="989"/>
      <c r="H59" s="989"/>
      <c r="I59" s="989"/>
      <c r="J59" s="989"/>
      <c r="K59" s="989"/>
      <c r="L59" s="989"/>
      <c r="M59" s="989"/>
      <c r="N59" s="989"/>
      <c r="O59" s="989"/>
      <c r="P59" s="989"/>
      <c r="Q59" s="989"/>
      <c r="R59" s="989"/>
      <c r="S59" s="989"/>
      <c r="T59" s="989"/>
      <c r="U59" s="989"/>
      <c r="V59" s="989"/>
      <c r="W59" s="988"/>
      <c r="X59" s="988"/>
      <c r="Y59" s="988"/>
      <c r="Z59" s="988"/>
      <c r="AA59" s="988"/>
      <c r="AB59" s="988"/>
      <c r="AC59" s="988"/>
      <c r="AD59" s="988"/>
      <c r="AE59" s="988"/>
      <c r="AF59" s="988"/>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1017"/>
      <c r="BT59" s="1017"/>
      <c r="BU59" s="1017"/>
      <c r="BV59" s="1017"/>
      <c r="BW59" s="1017"/>
      <c r="BX59" s="1017"/>
      <c r="BY59" s="1017"/>
      <c r="BZ59" s="1017"/>
      <c r="CA59" s="640">
        <f t="shared" si="6"/>
        <v>0</v>
      </c>
      <c r="CB59" s="640">
        <f t="shared" si="6"/>
        <v>0</v>
      </c>
      <c r="CC59" s="640">
        <f t="shared" si="6"/>
        <v>0</v>
      </c>
      <c r="CD59" s="640">
        <f t="shared" si="6"/>
        <v>0</v>
      </c>
      <c r="CE59" s="641">
        <f t="shared" si="4"/>
        <v>0</v>
      </c>
      <c r="CF59" s="642">
        <f t="shared" si="5"/>
        <v>-7256867163</v>
      </c>
      <c r="CG59" s="642">
        <f t="shared" si="5"/>
        <v>-5212329820</v>
      </c>
      <c r="CH59" s="643">
        <f t="shared" si="5"/>
        <v>0</v>
      </c>
      <c r="CI59" s="993"/>
      <c r="CK59" s="89" t="s">
        <v>255</v>
      </c>
      <c r="CL59" s="638">
        <v>7256867163</v>
      </c>
      <c r="CM59" s="638">
        <v>5212329820</v>
      </c>
    </row>
    <row r="60" spans="1:92" ht="33" x14ac:dyDescent="0.3">
      <c r="A60" s="1020" t="s">
        <v>260</v>
      </c>
      <c r="B60" s="1021">
        <v>0</v>
      </c>
      <c r="C60" s="1016">
        <v>0</v>
      </c>
      <c r="D60" s="1016">
        <v>0</v>
      </c>
      <c r="E60" s="1016">
        <v>0</v>
      </c>
      <c r="F60" s="1016">
        <v>0</v>
      </c>
      <c r="G60" s="989"/>
      <c r="H60" s="989"/>
      <c r="I60" s="989"/>
      <c r="J60" s="989"/>
      <c r="K60" s="989"/>
      <c r="L60" s="989"/>
      <c r="M60" s="989"/>
      <c r="N60" s="989"/>
      <c r="O60" s="989"/>
      <c r="P60" s="989"/>
      <c r="Q60" s="989"/>
      <c r="R60" s="989"/>
      <c r="S60" s="989"/>
      <c r="T60" s="989"/>
      <c r="U60" s="989"/>
      <c r="V60" s="989"/>
      <c r="W60" s="988"/>
      <c r="X60" s="988"/>
      <c r="Y60" s="988"/>
      <c r="Z60" s="988"/>
      <c r="AA60" s="988"/>
      <c r="AB60" s="988"/>
      <c r="AC60" s="988"/>
      <c r="AD60" s="988"/>
      <c r="AE60" s="988"/>
      <c r="AF60" s="988"/>
      <c r="AG60" s="988"/>
      <c r="AH60" s="988"/>
      <c r="AI60" s="988"/>
      <c r="AJ60" s="988"/>
      <c r="AK60" s="988"/>
      <c r="AL60" s="988"/>
      <c r="AM60" s="988"/>
      <c r="AN60" s="988"/>
      <c r="AO60" s="988"/>
      <c r="AP60" s="988"/>
      <c r="AQ60" s="988"/>
      <c r="AR60" s="988"/>
      <c r="AS60" s="988"/>
      <c r="AT60" s="988"/>
      <c r="AU60" s="988"/>
      <c r="AV60" s="988"/>
      <c r="AW60" s="988"/>
      <c r="AX60" s="988"/>
      <c r="AY60" s="988"/>
      <c r="AZ60" s="988"/>
      <c r="BA60" s="988"/>
      <c r="BB60" s="988"/>
      <c r="BC60" s="988"/>
      <c r="BD60" s="988"/>
      <c r="BE60" s="988"/>
      <c r="BF60" s="988"/>
      <c r="BG60" s="988"/>
      <c r="BH60" s="988"/>
      <c r="BI60" s="988"/>
      <c r="BJ60" s="988"/>
      <c r="BK60" s="988"/>
      <c r="BL60" s="988"/>
      <c r="BM60" s="988"/>
      <c r="BN60" s="988"/>
      <c r="BO60" s="988"/>
      <c r="BP60" s="988"/>
      <c r="BQ60" s="988"/>
      <c r="BR60" s="988"/>
      <c r="BS60" s="1017"/>
      <c r="BT60" s="1017"/>
      <c r="BU60" s="1017"/>
      <c r="BV60" s="1017"/>
      <c r="BW60" s="1017"/>
      <c r="BX60" s="1017"/>
      <c r="BY60" s="1017"/>
      <c r="BZ60" s="1017"/>
      <c r="CA60" s="640">
        <f t="shared" si="6"/>
        <v>0</v>
      </c>
      <c r="CB60" s="640">
        <f t="shared" si="6"/>
        <v>0</v>
      </c>
      <c r="CC60" s="640">
        <f t="shared" si="6"/>
        <v>0</v>
      </c>
      <c r="CD60" s="640">
        <f t="shared" si="6"/>
        <v>0</v>
      </c>
      <c r="CE60" s="641">
        <f t="shared" si="4"/>
        <v>0</v>
      </c>
      <c r="CF60" s="642">
        <f t="shared" si="5"/>
        <v>0</v>
      </c>
      <c r="CG60" s="642">
        <f t="shared" si="5"/>
        <v>0</v>
      </c>
      <c r="CH60" s="643">
        <f t="shared" si="5"/>
        <v>0</v>
      </c>
      <c r="CK60" s="39" t="s">
        <v>260</v>
      </c>
    </row>
    <row r="61" spans="1:92" ht="33" x14ac:dyDescent="0.3">
      <c r="A61" s="1020" t="s">
        <v>262</v>
      </c>
      <c r="B61" s="639">
        <v>200000000</v>
      </c>
      <c r="C61" s="1016">
        <f>C$58*(B61/B$58)</f>
        <v>100000000</v>
      </c>
      <c r="D61" s="1016">
        <f t="shared" ref="D61:F62" si="39">D$58*(C61/C$58)</f>
        <v>47031040</v>
      </c>
      <c r="E61" s="1016">
        <f t="shared" si="39"/>
        <v>31040</v>
      </c>
      <c r="F61" s="1016">
        <f t="shared" si="39"/>
        <v>31040</v>
      </c>
      <c r="G61" s="989"/>
      <c r="H61" s="989"/>
      <c r="I61" s="989"/>
      <c r="J61" s="989"/>
      <c r="K61" s="989"/>
      <c r="L61" s="989"/>
      <c r="M61" s="989"/>
      <c r="N61" s="989"/>
      <c r="O61" s="989"/>
      <c r="P61" s="989"/>
      <c r="Q61" s="989"/>
      <c r="R61" s="989"/>
      <c r="S61" s="989"/>
      <c r="T61" s="989"/>
      <c r="U61" s="989"/>
      <c r="V61" s="989"/>
      <c r="W61" s="988"/>
      <c r="X61" s="988"/>
      <c r="Y61" s="988"/>
      <c r="Z61" s="988"/>
      <c r="AA61" s="988"/>
      <c r="AB61" s="988"/>
      <c r="AC61" s="988"/>
      <c r="AD61" s="988"/>
      <c r="AE61" s="988"/>
      <c r="AF61" s="988"/>
      <c r="AG61" s="988"/>
      <c r="AH61" s="988"/>
      <c r="AI61" s="988"/>
      <c r="AJ61" s="988"/>
      <c r="AK61" s="988"/>
      <c r="AL61" s="988"/>
      <c r="AM61" s="988"/>
      <c r="AN61" s="988"/>
      <c r="AO61" s="988"/>
      <c r="AP61" s="988"/>
      <c r="AQ61" s="988"/>
      <c r="AR61" s="988"/>
      <c r="AS61" s="988"/>
      <c r="AT61" s="988"/>
      <c r="AU61" s="988"/>
      <c r="AV61" s="988"/>
      <c r="AW61" s="988"/>
      <c r="AX61" s="988"/>
      <c r="AY61" s="988"/>
      <c r="AZ61" s="988"/>
      <c r="BA61" s="988"/>
      <c r="BB61" s="988"/>
      <c r="BC61" s="988"/>
      <c r="BD61" s="988"/>
      <c r="BE61" s="988"/>
      <c r="BF61" s="988"/>
      <c r="BG61" s="988"/>
      <c r="BH61" s="988"/>
      <c r="BI61" s="988"/>
      <c r="BJ61" s="988"/>
      <c r="BK61" s="988"/>
      <c r="BL61" s="988"/>
      <c r="BM61" s="988"/>
      <c r="BN61" s="988"/>
      <c r="BO61" s="988"/>
      <c r="BP61" s="988"/>
      <c r="BQ61" s="988"/>
      <c r="BR61" s="988"/>
      <c r="BS61" s="1017"/>
      <c r="BT61" s="1017"/>
      <c r="BU61" s="1017"/>
      <c r="BV61" s="1017"/>
      <c r="BW61" s="1017"/>
      <c r="BX61" s="1017"/>
      <c r="BY61" s="1017"/>
      <c r="BZ61" s="1017"/>
      <c r="CA61" s="640">
        <f t="shared" si="6"/>
        <v>100000000</v>
      </c>
      <c r="CB61" s="640">
        <f t="shared" si="6"/>
        <v>47031040</v>
      </c>
      <c r="CC61" s="640">
        <f t="shared" si="6"/>
        <v>31040</v>
      </c>
      <c r="CD61" s="640">
        <f t="shared" si="6"/>
        <v>31040</v>
      </c>
      <c r="CE61" s="641">
        <f t="shared" si="4"/>
        <v>-100000000</v>
      </c>
      <c r="CF61" s="642">
        <f t="shared" si="5"/>
        <v>47031040</v>
      </c>
      <c r="CG61" s="642">
        <f t="shared" si="5"/>
        <v>31040</v>
      </c>
      <c r="CH61" s="643">
        <f t="shared" si="5"/>
        <v>31040</v>
      </c>
      <c r="CK61" s="39" t="s">
        <v>262</v>
      </c>
    </row>
    <row r="62" spans="1:92" ht="33" x14ac:dyDescent="0.3">
      <c r="A62" s="1020" t="s">
        <v>264</v>
      </c>
      <c r="B62" s="1021">
        <v>0</v>
      </c>
      <c r="C62" s="1016">
        <f>C$58*(B62/B$58)</f>
        <v>0</v>
      </c>
      <c r="D62" s="1016">
        <f t="shared" si="39"/>
        <v>0</v>
      </c>
      <c r="E62" s="1016">
        <f t="shared" si="39"/>
        <v>0</v>
      </c>
      <c r="F62" s="1016">
        <f t="shared" si="39"/>
        <v>0</v>
      </c>
      <c r="G62" s="989"/>
      <c r="H62" s="989"/>
      <c r="I62" s="989"/>
      <c r="J62" s="989"/>
      <c r="K62" s="989"/>
      <c r="L62" s="989"/>
      <c r="M62" s="989"/>
      <c r="N62" s="989"/>
      <c r="O62" s="989"/>
      <c r="P62" s="989"/>
      <c r="Q62" s="989"/>
      <c r="R62" s="989"/>
      <c r="S62" s="989"/>
      <c r="T62" s="989"/>
      <c r="U62" s="989"/>
      <c r="V62" s="989"/>
      <c r="W62" s="988"/>
      <c r="X62" s="988"/>
      <c r="Y62" s="988"/>
      <c r="Z62" s="988"/>
      <c r="AA62" s="988"/>
      <c r="AB62" s="988"/>
      <c r="AC62" s="988"/>
      <c r="AD62" s="988"/>
      <c r="AE62" s="988"/>
      <c r="AF62" s="988"/>
      <c r="AG62" s="988"/>
      <c r="AH62" s="988"/>
      <c r="AI62" s="988"/>
      <c r="AJ62" s="988"/>
      <c r="AK62" s="988"/>
      <c r="AL62" s="988"/>
      <c r="AM62" s="988"/>
      <c r="AN62" s="988"/>
      <c r="AO62" s="988"/>
      <c r="AP62" s="988"/>
      <c r="AQ62" s="988"/>
      <c r="AR62" s="988"/>
      <c r="AS62" s="988"/>
      <c r="AT62" s="988"/>
      <c r="AU62" s="988"/>
      <c r="AV62" s="988"/>
      <c r="AW62" s="988"/>
      <c r="AX62" s="988"/>
      <c r="AY62" s="988"/>
      <c r="AZ62" s="988"/>
      <c r="BA62" s="988"/>
      <c r="BB62" s="988"/>
      <c r="BC62" s="988"/>
      <c r="BD62" s="988"/>
      <c r="BE62" s="988"/>
      <c r="BF62" s="988"/>
      <c r="BG62" s="988"/>
      <c r="BH62" s="988"/>
      <c r="BI62" s="988"/>
      <c r="BJ62" s="988"/>
      <c r="BK62" s="988"/>
      <c r="BL62" s="988"/>
      <c r="BM62" s="988"/>
      <c r="BN62" s="988"/>
      <c r="BO62" s="988"/>
      <c r="BP62" s="988"/>
      <c r="BQ62" s="988"/>
      <c r="BR62" s="988"/>
      <c r="BS62" s="1017"/>
      <c r="BT62" s="1017"/>
      <c r="BU62" s="1017"/>
      <c r="BV62" s="1017"/>
      <c r="BW62" s="1017"/>
      <c r="BX62" s="1017"/>
      <c r="BY62" s="1017"/>
      <c r="BZ62" s="1017"/>
      <c r="CA62" s="640">
        <f t="shared" si="6"/>
        <v>0</v>
      </c>
      <c r="CB62" s="640">
        <f t="shared" si="6"/>
        <v>0</v>
      </c>
      <c r="CC62" s="640">
        <f t="shared" si="6"/>
        <v>0</v>
      </c>
      <c r="CD62" s="640">
        <f t="shared" si="6"/>
        <v>0</v>
      </c>
      <c r="CE62" s="641">
        <f t="shared" si="4"/>
        <v>0</v>
      </c>
      <c r="CF62" s="642">
        <f t="shared" si="5"/>
        <v>0</v>
      </c>
      <c r="CG62" s="642">
        <f t="shared" si="5"/>
        <v>0</v>
      </c>
      <c r="CH62" s="643">
        <f t="shared" si="5"/>
        <v>0</v>
      </c>
      <c r="CK62" s="39" t="s">
        <v>264</v>
      </c>
    </row>
    <row r="63" spans="1:92" ht="84.75" customHeight="1" x14ac:dyDescent="0.25">
      <c r="A63" s="651" t="s">
        <v>266</v>
      </c>
      <c r="B63" s="645">
        <v>100000000</v>
      </c>
      <c r="C63" s="645">
        <v>100000000</v>
      </c>
      <c r="D63" s="645">
        <v>78385350</v>
      </c>
      <c r="E63" s="645">
        <v>385350</v>
      </c>
      <c r="F63" s="645">
        <v>385350</v>
      </c>
      <c r="G63" s="645">
        <f t="shared" ref="G63:BN63" si="40">SUM(G64:G67)</f>
        <v>0</v>
      </c>
      <c r="H63" s="645">
        <f t="shared" si="40"/>
        <v>0</v>
      </c>
      <c r="I63" s="645">
        <f t="shared" si="40"/>
        <v>0</v>
      </c>
      <c r="J63" s="645">
        <f t="shared" si="40"/>
        <v>0</v>
      </c>
      <c r="K63" s="645">
        <f t="shared" si="40"/>
        <v>0</v>
      </c>
      <c r="L63" s="645">
        <f t="shared" si="40"/>
        <v>0</v>
      </c>
      <c r="M63" s="645">
        <f t="shared" si="40"/>
        <v>0</v>
      </c>
      <c r="N63" s="645">
        <f t="shared" si="40"/>
        <v>0</v>
      </c>
      <c r="O63" s="645">
        <f t="shared" si="40"/>
        <v>0</v>
      </c>
      <c r="P63" s="645">
        <f t="shared" si="40"/>
        <v>0</v>
      </c>
      <c r="Q63" s="645">
        <f t="shared" si="40"/>
        <v>0</v>
      </c>
      <c r="R63" s="645">
        <f t="shared" si="40"/>
        <v>0</v>
      </c>
      <c r="S63" s="645">
        <f t="shared" si="40"/>
        <v>0</v>
      </c>
      <c r="T63" s="645">
        <f t="shared" si="40"/>
        <v>0</v>
      </c>
      <c r="U63" s="645">
        <f t="shared" si="40"/>
        <v>0</v>
      </c>
      <c r="V63" s="645">
        <f t="shared" si="40"/>
        <v>0</v>
      </c>
      <c r="W63" s="645">
        <f t="shared" si="40"/>
        <v>0</v>
      </c>
      <c r="X63" s="645">
        <f t="shared" si="40"/>
        <v>0</v>
      </c>
      <c r="Y63" s="645">
        <f t="shared" si="40"/>
        <v>0</v>
      </c>
      <c r="Z63" s="645">
        <f t="shared" si="40"/>
        <v>0</v>
      </c>
      <c r="AA63" s="645">
        <f t="shared" si="40"/>
        <v>0</v>
      </c>
      <c r="AB63" s="645">
        <f t="shared" si="40"/>
        <v>0</v>
      </c>
      <c r="AC63" s="645">
        <f t="shared" si="40"/>
        <v>0</v>
      </c>
      <c r="AD63" s="645">
        <f t="shared" si="40"/>
        <v>0</v>
      </c>
      <c r="AE63" s="645">
        <f t="shared" si="40"/>
        <v>0</v>
      </c>
      <c r="AF63" s="645">
        <f t="shared" si="40"/>
        <v>0</v>
      </c>
      <c r="AG63" s="645">
        <f t="shared" si="40"/>
        <v>0</v>
      </c>
      <c r="AH63" s="645">
        <f t="shared" si="40"/>
        <v>0</v>
      </c>
      <c r="AI63" s="645">
        <f t="shared" si="40"/>
        <v>0</v>
      </c>
      <c r="AJ63" s="645">
        <f t="shared" si="40"/>
        <v>0</v>
      </c>
      <c r="AK63" s="645">
        <f t="shared" si="40"/>
        <v>0</v>
      </c>
      <c r="AL63" s="645">
        <f t="shared" si="40"/>
        <v>0</v>
      </c>
      <c r="AM63" s="645">
        <f t="shared" si="40"/>
        <v>0</v>
      </c>
      <c r="AN63" s="645">
        <f t="shared" si="40"/>
        <v>0</v>
      </c>
      <c r="AO63" s="645">
        <f t="shared" si="40"/>
        <v>0</v>
      </c>
      <c r="AP63" s="645">
        <f t="shared" si="40"/>
        <v>0</v>
      </c>
      <c r="AQ63" s="645">
        <f t="shared" si="40"/>
        <v>0</v>
      </c>
      <c r="AR63" s="645">
        <f t="shared" si="40"/>
        <v>0</v>
      </c>
      <c r="AS63" s="645">
        <f t="shared" si="40"/>
        <v>0</v>
      </c>
      <c r="AT63" s="645">
        <f t="shared" si="40"/>
        <v>0</v>
      </c>
      <c r="AU63" s="645">
        <f t="shared" si="40"/>
        <v>0</v>
      </c>
      <c r="AV63" s="645">
        <f t="shared" si="40"/>
        <v>0</v>
      </c>
      <c r="AW63" s="645">
        <f t="shared" si="40"/>
        <v>0</v>
      </c>
      <c r="AX63" s="645">
        <f t="shared" si="40"/>
        <v>0</v>
      </c>
      <c r="AY63" s="645">
        <f t="shared" si="40"/>
        <v>0</v>
      </c>
      <c r="AZ63" s="645">
        <f t="shared" si="40"/>
        <v>0</v>
      </c>
      <c r="BA63" s="645">
        <f t="shared" si="40"/>
        <v>0</v>
      </c>
      <c r="BB63" s="645">
        <f t="shared" si="40"/>
        <v>0</v>
      </c>
      <c r="BC63" s="645">
        <f t="shared" si="40"/>
        <v>0</v>
      </c>
      <c r="BD63" s="645">
        <f t="shared" si="40"/>
        <v>0</v>
      </c>
      <c r="BE63" s="645">
        <f t="shared" si="40"/>
        <v>0</v>
      </c>
      <c r="BF63" s="645">
        <f t="shared" si="40"/>
        <v>0</v>
      </c>
      <c r="BG63" s="645">
        <f t="shared" si="40"/>
        <v>0</v>
      </c>
      <c r="BH63" s="645">
        <f t="shared" si="40"/>
        <v>0</v>
      </c>
      <c r="BI63" s="645">
        <f t="shared" si="40"/>
        <v>0</v>
      </c>
      <c r="BJ63" s="645">
        <f t="shared" si="40"/>
        <v>0</v>
      </c>
      <c r="BK63" s="645">
        <f t="shared" si="40"/>
        <v>0</v>
      </c>
      <c r="BL63" s="645">
        <f t="shared" si="40"/>
        <v>0</v>
      </c>
      <c r="BM63" s="645">
        <f t="shared" si="40"/>
        <v>0</v>
      </c>
      <c r="BN63" s="645">
        <f t="shared" si="40"/>
        <v>0</v>
      </c>
      <c r="BO63" s="645">
        <v>0</v>
      </c>
      <c r="BP63" s="645">
        <v>0</v>
      </c>
      <c r="BQ63" s="645">
        <v>0</v>
      </c>
      <c r="BR63" s="645">
        <v>0</v>
      </c>
      <c r="BS63" s="1000">
        <v>0</v>
      </c>
      <c r="BT63" s="1000">
        <v>0</v>
      </c>
      <c r="BU63" s="1000">
        <v>0</v>
      </c>
      <c r="BV63" s="1000">
        <v>0</v>
      </c>
      <c r="BW63" s="1000">
        <v>0</v>
      </c>
      <c r="BX63" s="1000">
        <v>0</v>
      </c>
      <c r="BY63" s="1000">
        <v>0</v>
      </c>
      <c r="BZ63" s="1000">
        <f t="shared" ref="BZ63:CD63" si="41">SUM(BZ64:BZ67)</f>
        <v>0</v>
      </c>
      <c r="CA63" s="1000">
        <f t="shared" si="41"/>
        <v>100000000</v>
      </c>
      <c r="CB63" s="1000">
        <f t="shared" si="41"/>
        <v>78385350</v>
      </c>
      <c r="CC63" s="1000">
        <f t="shared" si="41"/>
        <v>385350</v>
      </c>
      <c r="CD63" s="1000">
        <f t="shared" si="41"/>
        <v>385350</v>
      </c>
      <c r="CE63" s="1001">
        <f t="shared" si="4"/>
        <v>0</v>
      </c>
      <c r="CF63" s="1002">
        <f t="shared" si="5"/>
        <v>78385350</v>
      </c>
      <c r="CG63" s="1002">
        <f t="shared" si="5"/>
        <v>385350</v>
      </c>
      <c r="CH63" s="643">
        <f t="shared" si="5"/>
        <v>385350</v>
      </c>
      <c r="CK63" s="39"/>
      <c r="CL63" s="1009">
        <f>+'[5]Anexo 5.2.A'!Z93</f>
        <v>0</v>
      </c>
      <c r="CM63" s="1009">
        <f>+'[5]Anexo 5.2.A'!AA93</f>
        <v>0</v>
      </c>
      <c r="CN63" s="1009">
        <f>+'[5]Anexo 5.2.A'!AB93</f>
        <v>0</v>
      </c>
    </row>
    <row r="64" spans="1:92" s="996" customFormat="1" ht="33" x14ac:dyDescent="0.3">
      <c r="A64" s="1022" t="s">
        <v>267</v>
      </c>
      <c r="B64" s="654">
        <v>0</v>
      </c>
      <c r="C64" s="654">
        <v>0</v>
      </c>
      <c r="D64" s="654">
        <v>0</v>
      </c>
      <c r="E64" s="654">
        <v>0</v>
      </c>
      <c r="F64" s="654">
        <v>0</v>
      </c>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c r="AO64" s="994"/>
      <c r="AP64" s="994"/>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c r="BT64" s="994"/>
      <c r="BU64" s="994"/>
      <c r="BV64" s="994"/>
      <c r="BW64" s="994"/>
      <c r="BX64" s="994"/>
      <c r="BY64" s="994"/>
      <c r="BZ64" s="994"/>
      <c r="CA64" s="640">
        <f t="shared" si="6"/>
        <v>0</v>
      </c>
      <c r="CB64" s="640">
        <f t="shared" si="6"/>
        <v>0</v>
      </c>
      <c r="CC64" s="640">
        <f t="shared" si="6"/>
        <v>0</v>
      </c>
      <c r="CD64" s="640">
        <f t="shared" si="6"/>
        <v>0</v>
      </c>
      <c r="CE64" s="641">
        <f t="shared" si="4"/>
        <v>0</v>
      </c>
      <c r="CF64" s="642">
        <f t="shared" si="5"/>
        <v>-37133268.259202696</v>
      </c>
      <c r="CG64" s="642">
        <f t="shared" si="5"/>
        <v>-61875.466940348473</v>
      </c>
      <c r="CH64" s="643">
        <f t="shared" si="5"/>
        <v>0</v>
      </c>
      <c r="CI64" s="993"/>
      <c r="CK64" s="39" t="s">
        <v>267</v>
      </c>
      <c r="CL64" s="638">
        <v>37133268.259202696</v>
      </c>
      <c r="CM64" s="638">
        <v>61875.466940348473</v>
      </c>
    </row>
    <row r="65" spans="1:92" ht="33" x14ac:dyDescent="0.3">
      <c r="A65" s="1022" t="s">
        <v>270</v>
      </c>
      <c r="B65" s="654">
        <v>0</v>
      </c>
      <c r="C65" s="654">
        <v>0</v>
      </c>
      <c r="D65" s="654">
        <v>0</v>
      </c>
      <c r="E65" s="654">
        <v>0</v>
      </c>
      <c r="F65" s="654">
        <v>0</v>
      </c>
      <c r="G65" s="989"/>
      <c r="H65" s="989"/>
      <c r="I65" s="989"/>
      <c r="J65" s="989"/>
      <c r="K65" s="989"/>
      <c r="L65" s="989"/>
      <c r="M65" s="989"/>
      <c r="N65" s="989"/>
      <c r="O65" s="989"/>
      <c r="P65" s="989"/>
      <c r="Q65" s="989"/>
      <c r="R65" s="989"/>
      <c r="S65" s="989"/>
      <c r="T65" s="989"/>
      <c r="U65" s="989"/>
      <c r="V65" s="989"/>
      <c r="W65" s="988"/>
      <c r="X65" s="988"/>
      <c r="Y65" s="988"/>
      <c r="Z65" s="988"/>
      <c r="AA65" s="988"/>
      <c r="AB65" s="988"/>
      <c r="AC65" s="988"/>
      <c r="AD65" s="988"/>
      <c r="AE65" s="988"/>
      <c r="AF65" s="988"/>
      <c r="AG65" s="988"/>
      <c r="AH65" s="988"/>
      <c r="AI65" s="988"/>
      <c r="AJ65" s="988"/>
      <c r="AK65" s="988"/>
      <c r="AL65" s="988"/>
      <c r="AM65" s="988"/>
      <c r="AN65" s="988"/>
      <c r="AO65" s="988"/>
      <c r="AP65" s="988"/>
      <c r="AQ65" s="988"/>
      <c r="AR65" s="988"/>
      <c r="AS65" s="988"/>
      <c r="AT65" s="988"/>
      <c r="AU65" s="988"/>
      <c r="AV65" s="988"/>
      <c r="AW65" s="988"/>
      <c r="AX65" s="988"/>
      <c r="AY65" s="988"/>
      <c r="AZ65" s="988"/>
      <c r="BA65" s="988"/>
      <c r="BB65" s="988"/>
      <c r="BC65" s="988"/>
      <c r="BD65" s="988"/>
      <c r="BE65" s="988"/>
      <c r="BF65" s="988"/>
      <c r="BG65" s="988"/>
      <c r="BH65" s="988"/>
      <c r="BI65" s="988"/>
      <c r="BJ65" s="988"/>
      <c r="BK65" s="988"/>
      <c r="BL65" s="988"/>
      <c r="BM65" s="988"/>
      <c r="BN65" s="988"/>
      <c r="BO65" s="988"/>
      <c r="BP65" s="988"/>
      <c r="BQ65" s="988"/>
      <c r="BR65" s="988"/>
      <c r="BS65" s="1023"/>
      <c r="BT65" s="1023"/>
      <c r="BU65" s="1023"/>
      <c r="BV65" s="1023"/>
      <c r="BW65" s="1023"/>
      <c r="BX65" s="1023"/>
      <c r="BY65" s="1023"/>
      <c r="BZ65" s="1023"/>
      <c r="CA65" s="640">
        <f t="shared" si="6"/>
        <v>0</v>
      </c>
      <c r="CB65" s="640">
        <f t="shared" si="6"/>
        <v>0</v>
      </c>
      <c r="CC65" s="640">
        <f t="shared" si="6"/>
        <v>0</v>
      </c>
      <c r="CD65" s="640">
        <f t="shared" si="6"/>
        <v>0</v>
      </c>
      <c r="CE65" s="641">
        <f t="shared" si="4"/>
        <v>0</v>
      </c>
      <c r="CF65" s="642">
        <f t="shared" si="5"/>
        <v>0</v>
      </c>
      <c r="CG65" s="642">
        <f t="shared" si="5"/>
        <v>0</v>
      </c>
      <c r="CH65" s="643">
        <f t="shared" si="5"/>
        <v>0</v>
      </c>
      <c r="CK65" s="39" t="s">
        <v>270</v>
      </c>
      <c r="CL65" s="638">
        <v>0</v>
      </c>
      <c r="CM65" s="638">
        <v>0</v>
      </c>
    </row>
    <row r="66" spans="1:92" s="996" customFormat="1" ht="33" x14ac:dyDescent="0.3">
      <c r="A66" s="1022" t="s">
        <v>272</v>
      </c>
      <c r="B66" s="653">
        <v>50000000</v>
      </c>
      <c r="C66" s="654">
        <f>C$63*(B66/B$63)</f>
        <v>50000000</v>
      </c>
      <c r="D66" s="654">
        <f t="shared" ref="D66:F67" si="42">D$63*(C66/C$63)</f>
        <v>39192675</v>
      </c>
      <c r="E66" s="654">
        <f t="shared" si="42"/>
        <v>192675</v>
      </c>
      <c r="F66" s="654">
        <f t="shared" si="42"/>
        <v>192675</v>
      </c>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c r="AJ66" s="994"/>
      <c r="AK66" s="994"/>
      <c r="AL66" s="994"/>
      <c r="AM66" s="994"/>
      <c r="AN66" s="994"/>
      <c r="AO66" s="994"/>
      <c r="AP66" s="994"/>
      <c r="AQ66" s="994"/>
      <c r="AR66" s="994"/>
      <c r="AS66" s="994"/>
      <c r="AT66" s="994"/>
      <c r="AU66" s="994"/>
      <c r="AV66" s="994"/>
      <c r="AW66" s="994"/>
      <c r="AX66" s="994"/>
      <c r="AY66" s="994"/>
      <c r="AZ66" s="994"/>
      <c r="BA66" s="994"/>
      <c r="BB66" s="994"/>
      <c r="BC66" s="994"/>
      <c r="BD66" s="994"/>
      <c r="BE66" s="994"/>
      <c r="BF66" s="994"/>
      <c r="BG66" s="994"/>
      <c r="BH66" s="994"/>
      <c r="BI66" s="994"/>
      <c r="BJ66" s="994"/>
      <c r="BK66" s="994"/>
      <c r="BL66" s="994"/>
      <c r="BM66" s="994"/>
      <c r="BN66" s="994"/>
      <c r="BO66" s="994"/>
      <c r="BP66" s="994"/>
      <c r="BQ66" s="994"/>
      <c r="BR66" s="994"/>
      <c r="BS66" s="1024"/>
      <c r="BT66" s="1024"/>
      <c r="BU66" s="1024"/>
      <c r="BV66" s="1024"/>
      <c r="BW66" s="1024"/>
      <c r="BX66" s="1024"/>
      <c r="BY66" s="1024"/>
      <c r="BZ66" s="1024"/>
      <c r="CA66" s="640">
        <f t="shared" si="6"/>
        <v>50000000</v>
      </c>
      <c r="CB66" s="640">
        <f t="shared" si="6"/>
        <v>39192675</v>
      </c>
      <c r="CC66" s="640">
        <f t="shared" si="6"/>
        <v>192675</v>
      </c>
      <c r="CD66" s="640">
        <f t="shared" si="6"/>
        <v>192675</v>
      </c>
      <c r="CE66" s="641">
        <f t="shared" si="4"/>
        <v>0</v>
      </c>
      <c r="CF66" s="642">
        <f t="shared" si="5"/>
        <v>-146473666.2960135</v>
      </c>
      <c r="CG66" s="642">
        <f t="shared" si="5"/>
        <v>-116702.33470174239</v>
      </c>
      <c r="CH66" s="997">
        <f t="shared" si="5"/>
        <v>192675</v>
      </c>
      <c r="CK66" s="39" t="s">
        <v>272</v>
      </c>
      <c r="CL66" s="638">
        <v>185666341.2960135</v>
      </c>
      <c r="CM66" s="638">
        <v>309377.33470174239</v>
      </c>
    </row>
    <row r="67" spans="1:92" ht="33" x14ac:dyDescent="0.25">
      <c r="A67" s="1022" t="s">
        <v>275</v>
      </c>
      <c r="B67" s="653">
        <v>50000000</v>
      </c>
      <c r="C67" s="654">
        <f>C$63*(B67/B$63)</f>
        <v>50000000</v>
      </c>
      <c r="D67" s="654">
        <f t="shared" si="42"/>
        <v>39192675</v>
      </c>
      <c r="E67" s="654">
        <f t="shared" si="42"/>
        <v>192675</v>
      </c>
      <c r="F67" s="654">
        <f t="shared" si="42"/>
        <v>192675</v>
      </c>
      <c r="G67" s="989"/>
      <c r="H67" s="989"/>
      <c r="I67" s="989"/>
      <c r="J67" s="989"/>
      <c r="K67" s="989"/>
      <c r="L67" s="989"/>
      <c r="M67" s="989"/>
      <c r="N67" s="989"/>
      <c r="O67" s="989"/>
      <c r="P67" s="989"/>
      <c r="Q67" s="989"/>
      <c r="R67" s="989"/>
      <c r="S67" s="989"/>
      <c r="T67" s="989"/>
      <c r="U67" s="989"/>
      <c r="V67" s="989"/>
      <c r="W67" s="988"/>
      <c r="X67" s="988"/>
      <c r="Y67" s="988"/>
      <c r="Z67" s="988"/>
      <c r="AA67" s="988"/>
      <c r="AB67" s="988"/>
      <c r="AC67" s="988"/>
      <c r="AD67" s="988"/>
      <c r="AE67" s="988"/>
      <c r="AF67" s="988"/>
      <c r="AG67" s="988"/>
      <c r="AH67" s="988"/>
      <c r="AI67" s="988"/>
      <c r="AJ67" s="988"/>
      <c r="AK67" s="988"/>
      <c r="AL67" s="988"/>
      <c r="AM67" s="988"/>
      <c r="AN67" s="988"/>
      <c r="AO67" s="988"/>
      <c r="AP67" s="988"/>
      <c r="AQ67" s="988"/>
      <c r="AR67" s="988"/>
      <c r="AS67" s="988"/>
      <c r="AT67" s="988"/>
      <c r="AU67" s="988"/>
      <c r="AV67" s="988"/>
      <c r="AW67" s="988"/>
      <c r="AX67" s="988"/>
      <c r="AY67" s="988"/>
      <c r="AZ67" s="988"/>
      <c r="BA67" s="988"/>
      <c r="BB67" s="988"/>
      <c r="BC67" s="988"/>
      <c r="BD67" s="988"/>
      <c r="BE67" s="988"/>
      <c r="BF67" s="988"/>
      <c r="BG67" s="988"/>
      <c r="BH67" s="988"/>
      <c r="BI67" s="988"/>
      <c r="BJ67" s="988"/>
      <c r="BK67" s="988"/>
      <c r="BL67" s="988"/>
      <c r="BM67" s="988"/>
      <c r="BN67" s="988"/>
      <c r="BO67" s="654">
        <v>0</v>
      </c>
      <c r="BP67" s="1016"/>
      <c r="BQ67" s="1016"/>
      <c r="BR67" s="1016"/>
      <c r="BS67" s="654">
        <v>0</v>
      </c>
      <c r="BT67" s="654">
        <v>0</v>
      </c>
      <c r="BU67" s="654">
        <v>0</v>
      </c>
      <c r="BV67" s="654">
        <v>0</v>
      </c>
      <c r="BW67" s="654"/>
      <c r="BX67" s="654"/>
      <c r="BY67" s="654"/>
      <c r="BZ67" s="654"/>
      <c r="CA67" s="640">
        <f t="shared" si="6"/>
        <v>50000000</v>
      </c>
      <c r="CB67" s="640">
        <f t="shared" si="6"/>
        <v>39192675</v>
      </c>
      <c r="CC67" s="640">
        <f t="shared" si="6"/>
        <v>192675</v>
      </c>
      <c r="CD67" s="640">
        <f t="shared" si="6"/>
        <v>192675</v>
      </c>
      <c r="CE67" s="641">
        <f t="shared" ref="CE67:CE130" si="43">+CA67-B67</f>
        <v>0</v>
      </c>
      <c r="CF67" s="642">
        <f t="shared" ref="CF67:CH130" si="44">+CB67-CL67</f>
        <v>-10962822393.444782</v>
      </c>
      <c r="CG67" s="642">
        <f t="shared" si="44"/>
        <v>-18140072.19835791</v>
      </c>
      <c r="CH67" s="643">
        <f t="shared" si="44"/>
        <v>192675</v>
      </c>
      <c r="CK67" s="39" t="s">
        <v>275</v>
      </c>
      <c r="CL67" s="638">
        <v>11002015068.444782</v>
      </c>
      <c r="CM67" s="638">
        <v>18332747.19835791</v>
      </c>
    </row>
    <row r="68" spans="1:92" s="1029" customFormat="1" ht="68.25" customHeight="1" x14ac:dyDescent="0.25">
      <c r="A68" s="651" t="s">
        <v>277</v>
      </c>
      <c r="B68" s="645">
        <v>200000000</v>
      </c>
      <c r="C68" s="659">
        <v>100000000</v>
      </c>
      <c r="D68" s="659">
        <v>41630246</v>
      </c>
      <c r="E68" s="659">
        <v>11598580</v>
      </c>
      <c r="F68" s="659">
        <v>7755580</v>
      </c>
      <c r="G68" s="659">
        <f t="shared" ref="G68:BR68" si="45">SUM(G69:G78)</f>
        <v>0</v>
      </c>
      <c r="H68" s="659">
        <f t="shared" si="45"/>
        <v>0</v>
      </c>
      <c r="I68" s="659">
        <f t="shared" si="45"/>
        <v>0</v>
      </c>
      <c r="J68" s="659">
        <f t="shared" si="45"/>
        <v>0</v>
      </c>
      <c r="K68" s="659">
        <f t="shared" si="45"/>
        <v>0</v>
      </c>
      <c r="L68" s="659">
        <f t="shared" si="45"/>
        <v>0</v>
      </c>
      <c r="M68" s="659">
        <f t="shared" si="45"/>
        <v>0</v>
      </c>
      <c r="N68" s="659">
        <f t="shared" si="45"/>
        <v>0</v>
      </c>
      <c r="O68" s="659">
        <f t="shared" si="45"/>
        <v>0</v>
      </c>
      <c r="P68" s="659">
        <f t="shared" si="45"/>
        <v>0</v>
      </c>
      <c r="Q68" s="659">
        <f t="shared" si="45"/>
        <v>0</v>
      </c>
      <c r="R68" s="659">
        <f t="shared" si="45"/>
        <v>0</v>
      </c>
      <c r="S68" s="659">
        <f t="shared" si="45"/>
        <v>0</v>
      </c>
      <c r="T68" s="659">
        <f t="shared" si="45"/>
        <v>0</v>
      </c>
      <c r="U68" s="659">
        <f t="shared" si="45"/>
        <v>0</v>
      </c>
      <c r="V68" s="659">
        <f t="shared" si="45"/>
        <v>0</v>
      </c>
      <c r="W68" s="659">
        <f t="shared" si="45"/>
        <v>0</v>
      </c>
      <c r="X68" s="659">
        <f t="shared" si="45"/>
        <v>0</v>
      </c>
      <c r="Y68" s="659">
        <f t="shared" si="45"/>
        <v>0</v>
      </c>
      <c r="Z68" s="659">
        <f t="shared" si="45"/>
        <v>0</v>
      </c>
      <c r="AA68" s="659">
        <v>100000000</v>
      </c>
      <c r="AB68" s="659">
        <v>33607000</v>
      </c>
      <c r="AC68" s="659">
        <v>0</v>
      </c>
      <c r="AD68" s="659">
        <v>0</v>
      </c>
      <c r="AE68" s="659">
        <f t="shared" si="45"/>
        <v>0</v>
      </c>
      <c r="AF68" s="659">
        <f t="shared" si="45"/>
        <v>0</v>
      </c>
      <c r="AG68" s="659">
        <f t="shared" si="45"/>
        <v>0</v>
      </c>
      <c r="AH68" s="659">
        <f t="shared" si="45"/>
        <v>0</v>
      </c>
      <c r="AI68" s="659">
        <f t="shared" si="45"/>
        <v>0</v>
      </c>
      <c r="AJ68" s="659">
        <f t="shared" si="45"/>
        <v>0</v>
      </c>
      <c r="AK68" s="659">
        <f t="shared" si="45"/>
        <v>0</v>
      </c>
      <c r="AL68" s="659">
        <f t="shared" si="45"/>
        <v>0</v>
      </c>
      <c r="AM68" s="659">
        <f t="shared" si="45"/>
        <v>0</v>
      </c>
      <c r="AN68" s="659">
        <f t="shared" si="45"/>
        <v>0</v>
      </c>
      <c r="AO68" s="659">
        <f t="shared" si="45"/>
        <v>0</v>
      </c>
      <c r="AP68" s="659">
        <f t="shared" si="45"/>
        <v>0</v>
      </c>
      <c r="AQ68" s="659">
        <f t="shared" si="45"/>
        <v>0</v>
      </c>
      <c r="AR68" s="659">
        <f t="shared" si="45"/>
        <v>0</v>
      </c>
      <c r="AS68" s="659">
        <f t="shared" si="45"/>
        <v>0</v>
      </c>
      <c r="AT68" s="659">
        <f t="shared" si="45"/>
        <v>0</v>
      </c>
      <c r="AU68" s="659">
        <f t="shared" si="45"/>
        <v>0</v>
      </c>
      <c r="AV68" s="659">
        <f t="shared" si="45"/>
        <v>0</v>
      </c>
      <c r="AW68" s="659">
        <f t="shared" si="45"/>
        <v>0</v>
      </c>
      <c r="AX68" s="659">
        <f t="shared" si="45"/>
        <v>0</v>
      </c>
      <c r="AY68" s="659">
        <f t="shared" si="45"/>
        <v>0</v>
      </c>
      <c r="AZ68" s="659">
        <f t="shared" si="45"/>
        <v>0</v>
      </c>
      <c r="BA68" s="659">
        <f t="shared" si="45"/>
        <v>0</v>
      </c>
      <c r="BB68" s="659">
        <f t="shared" si="45"/>
        <v>0</v>
      </c>
      <c r="BC68" s="1025">
        <v>0</v>
      </c>
      <c r="BD68" s="1025">
        <v>0</v>
      </c>
      <c r="BE68" s="1025">
        <v>0</v>
      </c>
      <c r="BF68" s="1025">
        <v>0</v>
      </c>
      <c r="BG68" s="659">
        <f t="shared" si="45"/>
        <v>0</v>
      </c>
      <c r="BH68" s="659">
        <f t="shared" si="45"/>
        <v>0</v>
      </c>
      <c r="BI68" s="659">
        <f t="shared" si="45"/>
        <v>0</v>
      </c>
      <c r="BJ68" s="659">
        <f t="shared" si="45"/>
        <v>0</v>
      </c>
      <c r="BK68" s="659">
        <f t="shared" si="45"/>
        <v>0</v>
      </c>
      <c r="BL68" s="659">
        <f t="shared" si="45"/>
        <v>0</v>
      </c>
      <c r="BM68" s="659">
        <f t="shared" si="45"/>
        <v>0</v>
      </c>
      <c r="BN68" s="659">
        <f t="shared" si="45"/>
        <v>0</v>
      </c>
      <c r="BO68" s="659">
        <f t="shared" si="45"/>
        <v>0</v>
      </c>
      <c r="BP68" s="659">
        <f t="shared" si="45"/>
        <v>0</v>
      </c>
      <c r="BQ68" s="659">
        <f t="shared" si="45"/>
        <v>0</v>
      </c>
      <c r="BR68" s="659">
        <f t="shared" si="45"/>
        <v>0</v>
      </c>
      <c r="BS68" s="659">
        <v>0</v>
      </c>
      <c r="BT68" s="659">
        <v>0</v>
      </c>
      <c r="BU68" s="659">
        <v>0</v>
      </c>
      <c r="BV68" s="659">
        <v>0</v>
      </c>
      <c r="BW68" s="1025">
        <f t="shared" ref="BW68:CD68" si="46">SUM(BW69:BW78)</f>
        <v>0</v>
      </c>
      <c r="BX68" s="1025">
        <f t="shared" si="46"/>
        <v>0</v>
      </c>
      <c r="BY68" s="1025">
        <f t="shared" si="46"/>
        <v>0</v>
      </c>
      <c r="BZ68" s="1025">
        <f t="shared" si="46"/>
        <v>0</v>
      </c>
      <c r="CA68" s="1025">
        <f t="shared" si="46"/>
        <v>100000000</v>
      </c>
      <c r="CB68" s="1025">
        <f t="shared" si="46"/>
        <v>41630246</v>
      </c>
      <c r="CC68" s="1025">
        <f t="shared" si="46"/>
        <v>11598580</v>
      </c>
      <c r="CD68" s="1025">
        <f t="shared" si="46"/>
        <v>7755580</v>
      </c>
      <c r="CE68" s="1026">
        <f t="shared" si="43"/>
        <v>-100000000</v>
      </c>
      <c r="CF68" s="1027">
        <f t="shared" si="44"/>
        <v>41630246</v>
      </c>
      <c r="CG68" s="1027">
        <f t="shared" si="44"/>
        <v>11598580</v>
      </c>
      <c r="CH68" s="1028">
        <f t="shared" si="44"/>
        <v>7755580</v>
      </c>
      <c r="CJ68" s="793"/>
      <c r="CK68" s="1030"/>
      <c r="CL68" s="1009">
        <f>+'[5]Anexo 5.2.A'!Z97</f>
        <v>0</v>
      </c>
      <c r="CM68" s="1009">
        <f>+'[5]Anexo 5.2.A'!AA97</f>
        <v>0</v>
      </c>
      <c r="CN68" s="1009">
        <f>+'[5]Anexo 5.2.A'!AB97</f>
        <v>0</v>
      </c>
    </row>
    <row r="69" spans="1:92" ht="33" x14ac:dyDescent="0.25">
      <c r="A69" s="1031" t="s">
        <v>278</v>
      </c>
      <c r="B69" s="1032">
        <v>50000000</v>
      </c>
      <c r="C69" s="1032">
        <f>C$68*(B69/B$68)</f>
        <v>25000000</v>
      </c>
      <c r="D69" s="1032">
        <f t="shared" ref="D69:F69" si="47">D$68*(C69/C$68)</f>
        <v>10407561.5</v>
      </c>
      <c r="E69" s="1032">
        <f t="shared" si="47"/>
        <v>2899645</v>
      </c>
      <c r="F69" s="1032">
        <f t="shared" si="47"/>
        <v>1938895</v>
      </c>
      <c r="G69" s="989"/>
      <c r="H69" s="989"/>
      <c r="I69" s="989"/>
      <c r="J69" s="989"/>
      <c r="K69" s="989"/>
      <c r="L69" s="989"/>
      <c r="M69" s="989"/>
      <c r="N69" s="989"/>
      <c r="O69" s="989"/>
      <c r="P69" s="989"/>
      <c r="Q69" s="989"/>
      <c r="R69" s="989"/>
      <c r="S69" s="989"/>
      <c r="T69" s="989"/>
      <c r="U69" s="989"/>
      <c r="V69" s="989"/>
      <c r="W69" s="988"/>
      <c r="X69" s="988"/>
      <c r="Y69" s="988"/>
      <c r="Z69" s="988"/>
      <c r="AA69" s="988"/>
      <c r="AB69" s="988"/>
      <c r="AC69" s="988"/>
      <c r="AD69" s="988"/>
      <c r="AE69" s="988"/>
      <c r="AF69" s="988"/>
      <c r="AG69" s="988"/>
      <c r="AH69" s="988"/>
      <c r="AI69" s="988"/>
      <c r="AJ69" s="988"/>
      <c r="AK69" s="988"/>
      <c r="AL69" s="988"/>
      <c r="AM69" s="988"/>
      <c r="AN69" s="988"/>
      <c r="AO69" s="988"/>
      <c r="AP69" s="988"/>
      <c r="AQ69" s="988"/>
      <c r="AR69" s="988"/>
      <c r="AS69" s="988"/>
      <c r="AT69" s="988"/>
      <c r="AU69" s="988"/>
      <c r="AV69" s="988"/>
      <c r="AW69" s="988"/>
      <c r="AX69" s="988"/>
      <c r="AY69" s="988"/>
      <c r="AZ69" s="988"/>
      <c r="BA69" s="988"/>
      <c r="BB69" s="988"/>
      <c r="BC69" s="988"/>
      <c r="BD69" s="988"/>
      <c r="BE69" s="988"/>
      <c r="BF69" s="988"/>
      <c r="BG69" s="988"/>
      <c r="BH69" s="988"/>
      <c r="BI69" s="988"/>
      <c r="BJ69" s="988"/>
      <c r="BK69" s="988"/>
      <c r="BL69" s="988"/>
      <c r="BM69" s="988"/>
      <c r="BN69" s="988"/>
      <c r="BO69" s="988"/>
      <c r="BP69" s="988"/>
      <c r="BQ69" s="988"/>
      <c r="BR69" s="988"/>
      <c r="BS69" s="1024"/>
      <c r="BT69" s="1024"/>
      <c r="BU69" s="1024"/>
      <c r="BV69" s="1024"/>
      <c r="BW69" s="1024"/>
      <c r="BX69" s="1024"/>
      <c r="BY69" s="1024"/>
      <c r="BZ69" s="1024"/>
      <c r="CA69" s="640">
        <f t="shared" si="6"/>
        <v>25000000</v>
      </c>
      <c r="CB69" s="640">
        <f t="shared" si="6"/>
        <v>10407561.5</v>
      </c>
      <c r="CC69" s="640">
        <f t="shared" si="6"/>
        <v>2899645</v>
      </c>
      <c r="CD69" s="640">
        <f t="shared" si="6"/>
        <v>1938895</v>
      </c>
      <c r="CE69" s="641">
        <f t="shared" si="43"/>
        <v>-25000000</v>
      </c>
      <c r="CF69" s="642">
        <f t="shared" si="44"/>
        <v>10407561.5</v>
      </c>
      <c r="CG69" s="642">
        <f t="shared" si="44"/>
        <v>2899645</v>
      </c>
      <c r="CH69" s="643">
        <f t="shared" si="44"/>
        <v>1938895</v>
      </c>
      <c r="CI69" s="993"/>
      <c r="CK69" s="39" t="s">
        <v>278</v>
      </c>
      <c r="CL69" s="638">
        <v>0</v>
      </c>
      <c r="CM69" s="638">
        <v>0</v>
      </c>
    </row>
    <row r="70" spans="1:92" x14ac:dyDescent="0.25">
      <c r="A70" s="1033" t="s">
        <v>1563</v>
      </c>
      <c r="B70" s="1032"/>
      <c r="C70" s="1032">
        <f t="shared" ref="C70:F78" si="48">C$68*(B70/B$68)</f>
        <v>0</v>
      </c>
      <c r="D70" s="1032">
        <f t="shared" si="48"/>
        <v>0</v>
      </c>
      <c r="E70" s="1032">
        <f t="shared" si="48"/>
        <v>0</v>
      </c>
      <c r="F70" s="1032">
        <f t="shared" si="48"/>
        <v>0</v>
      </c>
      <c r="G70" s="989"/>
      <c r="H70" s="989"/>
      <c r="I70" s="989"/>
      <c r="J70" s="989"/>
      <c r="K70" s="989"/>
      <c r="L70" s="989"/>
      <c r="M70" s="989"/>
      <c r="N70" s="989"/>
      <c r="O70" s="989"/>
      <c r="P70" s="989"/>
      <c r="Q70" s="989"/>
      <c r="R70" s="989"/>
      <c r="S70" s="989"/>
      <c r="T70" s="989"/>
      <c r="U70" s="989"/>
      <c r="V70" s="989"/>
      <c r="W70" s="988"/>
      <c r="X70" s="988"/>
      <c r="Y70" s="988"/>
      <c r="Z70" s="988"/>
      <c r="AA70" s="988"/>
      <c r="AB70" s="988"/>
      <c r="AC70" s="988"/>
      <c r="AD70" s="988"/>
      <c r="AE70" s="988"/>
      <c r="AF70" s="988"/>
      <c r="AG70" s="988"/>
      <c r="AH70" s="988"/>
      <c r="AI70" s="988"/>
      <c r="AJ70" s="988"/>
      <c r="AK70" s="988"/>
      <c r="AL70" s="988"/>
      <c r="AM70" s="988"/>
      <c r="AN70" s="988"/>
      <c r="AO70" s="988"/>
      <c r="AP70" s="988"/>
      <c r="AQ70" s="988"/>
      <c r="AR70" s="988"/>
      <c r="AS70" s="988"/>
      <c r="AT70" s="988"/>
      <c r="AU70" s="988"/>
      <c r="AV70" s="988"/>
      <c r="AW70" s="988"/>
      <c r="AX70" s="988"/>
      <c r="AY70" s="988"/>
      <c r="AZ70" s="988"/>
      <c r="BA70" s="988"/>
      <c r="BB70" s="988"/>
      <c r="BC70" s="988"/>
      <c r="BD70" s="988"/>
      <c r="BE70" s="988"/>
      <c r="BF70" s="988"/>
      <c r="BG70" s="988"/>
      <c r="BH70" s="988"/>
      <c r="BI70" s="988"/>
      <c r="BJ70" s="988"/>
      <c r="BK70" s="988"/>
      <c r="BL70" s="988"/>
      <c r="BM70" s="988"/>
      <c r="BN70" s="988"/>
      <c r="BO70" s="988"/>
      <c r="BP70" s="988"/>
      <c r="BQ70" s="988"/>
      <c r="BR70" s="988"/>
      <c r="BS70" s="1024"/>
      <c r="BT70" s="1024"/>
      <c r="BU70" s="1024"/>
      <c r="BV70" s="1024"/>
      <c r="BW70" s="1024"/>
      <c r="BX70" s="1024"/>
      <c r="BY70" s="1024"/>
      <c r="BZ70" s="1024"/>
      <c r="CA70" s="640">
        <f t="shared" si="6"/>
        <v>0</v>
      </c>
      <c r="CB70" s="640">
        <f t="shared" si="6"/>
        <v>0</v>
      </c>
      <c r="CC70" s="640">
        <f t="shared" si="6"/>
        <v>0</v>
      </c>
      <c r="CD70" s="640">
        <f t="shared" si="6"/>
        <v>0</v>
      </c>
      <c r="CE70" s="641">
        <f t="shared" si="43"/>
        <v>0</v>
      </c>
      <c r="CF70" s="642">
        <f t="shared" si="44"/>
        <v>0</v>
      </c>
      <c r="CG70" s="642">
        <f t="shared" si="44"/>
        <v>0</v>
      </c>
      <c r="CH70" s="643">
        <f t="shared" si="44"/>
        <v>0</v>
      </c>
      <c r="CK70" s="39" t="s">
        <v>281</v>
      </c>
      <c r="CL70" s="638">
        <v>0</v>
      </c>
      <c r="CM70" s="638">
        <v>0</v>
      </c>
    </row>
    <row r="71" spans="1:92" s="996" customFormat="1" x14ac:dyDescent="0.3">
      <c r="A71" s="1033" t="s">
        <v>1564</v>
      </c>
      <c r="B71" s="1032"/>
      <c r="C71" s="1032">
        <f t="shared" si="48"/>
        <v>0</v>
      </c>
      <c r="D71" s="1032">
        <f t="shared" si="48"/>
        <v>0</v>
      </c>
      <c r="E71" s="1032">
        <f t="shared" si="48"/>
        <v>0</v>
      </c>
      <c r="F71" s="1032">
        <f t="shared" si="48"/>
        <v>0</v>
      </c>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994"/>
      <c r="AK71" s="994"/>
      <c r="AL71" s="994"/>
      <c r="AM71" s="994"/>
      <c r="AN71" s="994"/>
      <c r="AO71" s="994"/>
      <c r="AP71" s="994"/>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1024"/>
      <c r="BT71" s="1024"/>
      <c r="BU71" s="1024"/>
      <c r="BV71" s="1024"/>
      <c r="BW71" s="1024"/>
      <c r="BX71" s="1024"/>
      <c r="BY71" s="1024"/>
      <c r="BZ71" s="1024"/>
      <c r="CA71" s="640">
        <f t="shared" si="6"/>
        <v>0</v>
      </c>
      <c r="CB71" s="640">
        <f t="shared" si="6"/>
        <v>0</v>
      </c>
      <c r="CC71" s="640">
        <f t="shared" si="6"/>
        <v>0</v>
      </c>
      <c r="CD71" s="640">
        <f t="shared" si="6"/>
        <v>0</v>
      </c>
      <c r="CE71" s="641">
        <f t="shared" si="43"/>
        <v>0</v>
      </c>
      <c r="CF71" s="642">
        <f t="shared" si="44"/>
        <v>0</v>
      </c>
      <c r="CG71" s="642">
        <f t="shared" si="44"/>
        <v>0</v>
      </c>
      <c r="CH71" s="997">
        <f t="shared" si="44"/>
        <v>0</v>
      </c>
      <c r="CK71" s="39" t="s">
        <v>283</v>
      </c>
    </row>
    <row r="72" spans="1:92" ht="38.25" x14ac:dyDescent="0.3">
      <c r="A72" s="1033" t="s">
        <v>1565</v>
      </c>
      <c r="B72" s="1032"/>
      <c r="C72" s="1032">
        <f t="shared" si="48"/>
        <v>0</v>
      </c>
      <c r="D72" s="1032">
        <f t="shared" si="48"/>
        <v>0</v>
      </c>
      <c r="E72" s="1032">
        <f t="shared" si="48"/>
        <v>0</v>
      </c>
      <c r="F72" s="1032">
        <f t="shared" si="48"/>
        <v>0</v>
      </c>
      <c r="G72" s="989"/>
      <c r="H72" s="989"/>
      <c r="I72" s="989"/>
      <c r="J72" s="989"/>
      <c r="K72" s="989"/>
      <c r="L72" s="989"/>
      <c r="M72" s="989"/>
      <c r="N72" s="989"/>
      <c r="O72" s="989"/>
      <c r="P72" s="989"/>
      <c r="Q72" s="989"/>
      <c r="R72" s="989"/>
      <c r="S72" s="989"/>
      <c r="T72" s="989"/>
      <c r="U72" s="989"/>
      <c r="V72" s="989"/>
      <c r="W72" s="988"/>
      <c r="X72" s="988"/>
      <c r="Y72" s="988"/>
      <c r="Z72" s="988"/>
      <c r="AA72" s="991">
        <v>0</v>
      </c>
      <c r="AB72" s="991">
        <v>0</v>
      </c>
      <c r="AC72" s="991">
        <v>0</v>
      </c>
      <c r="AD72" s="991">
        <v>0</v>
      </c>
      <c r="AE72" s="988"/>
      <c r="AF72" s="988"/>
      <c r="AG72" s="988"/>
      <c r="AH72" s="988"/>
      <c r="AI72" s="988"/>
      <c r="AJ72" s="988"/>
      <c r="AK72" s="988"/>
      <c r="AL72" s="988"/>
      <c r="AM72" s="988"/>
      <c r="AN72" s="988"/>
      <c r="AO72" s="988"/>
      <c r="AP72" s="988"/>
      <c r="AQ72" s="988"/>
      <c r="AR72" s="988"/>
      <c r="AS72" s="988"/>
      <c r="AT72" s="988"/>
      <c r="AU72" s="988"/>
      <c r="AV72" s="988"/>
      <c r="AW72" s="988"/>
      <c r="AX72" s="988"/>
      <c r="AY72" s="988"/>
      <c r="AZ72" s="988"/>
      <c r="BA72" s="988"/>
      <c r="BB72" s="988"/>
      <c r="BC72" s="988"/>
      <c r="BD72" s="988"/>
      <c r="BE72" s="988"/>
      <c r="BF72" s="988"/>
      <c r="BG72" s="988"/>
      <c r="BH72" s="988"/>
      <c r="BI72" s="988"/>
      <c r="BJ72" s="988"/>
      <c r="BK72" s="988"/>
      <c r="BL72" s="988"/>
      <c r="BM72" s="988"/>
      <c r="BN72" s="988"/>
      <c r="BO72" s="988"/>
      <c r="BP72" s="988"/>
      <c r="BQ72" s="988"/>
      <c r="BR72" s="988"/>
      <c r="BS72" s="1034"/>
      <c r="BT72" s="1034"/>
      <c r="BU72" s="1034"/>
      <c r="BV72" s="1034"/>
      <c r="BW72" s="1034"/>
      <c r="BX72" s="1034"/>
      <c r="BY72" s="1034"/>
      <c r="BZ72" s="1034"/>
      <c r="CA72" s="640">
        <f t="shared" si="6"/>
        <v>0</v>
      </c>
      <c r="CB72" s="640">
        <f t="shared" si="6"/>
        <v>0</v>
      </c>
      <c r="CC72" s="640">
        <f t="shared" si="6"/>
        <v>0</v>
      </c>
      <c r="CD72" s="640">
        <f t="shared" si="6"/>
        <v>0</v>
      </c>
      <c r="CE72" s="641">
        <f t="shared" si="43"/>
        <v>0</v>
      </c>
      <c r="CF72" s="642">
        <f t="shared" si="44"/>
        <v>-502685567.384</v>
      </c>
      <c r="CG72" s="642">
        <f t="shared" si="44"/>
        <v>-429518125.45951998</v>
      </c>
      <c r="CH72" s="643">
        <f t="shared" si="44"/>
        <v>0</v>
      </c>
      <c r="CK72" s="1013" t="s">
        <v>285</v>
      </c>
      <c r="CL72" s="638">
        <v>502685567.384</v>
      </c>
      <c r="CM72" s="638">
        <v>429518125.45951998</v>
      </c>
    </row>
    <row r="73" spans="1:92" ht="33" x14ac:dyDescent="0.25">
      <c r="A73" s="1033" t="s">
        <v>1566</v>
      </c>
      <c r="B73" s="1032">
        <v>50000000</v>
      </c>
      <c r="C73" s="1032">
        <f t="shared" si="48"/>
        <v>25000000</v>
      </c>
      <c r="D73" s="1032">
        <f t="shared" si="48"/>
        <v>10407561.5</v>
      </c>
      <c r="E73" s="1032">
        <f t="shared" si="48"/>
        <v>2899645</v>
      </c>
      <c r="F73" s="1032">
        <f t="shared" si="48"/>
        <v>1938895</v>
      </c>
      <c r="G73" s="989"/>
      <c r="H73" s="989"/>
      <c r="I73" s="989"/>
      <c r="J73" s="989"/>
      <c r="K73" s="989"/>
      <c r="L73" s="989"/>
      <c r="M73" s="989"/>
      <c r="N73" s="989"/>
      <c r="O73" s="989"/>
      <c r="P73" s="989"/>
      <c r="Q73" s="989"/>
      <c r="R73" s="989"/>
      <c r="S73" s="989"/>
      <c r="T73" s="989"/>
      <c r="U73" s="989"/>
      <c r="V73" s="989"/>
      <c r="W73" s="988"/>
      <c r="X73" s="988"/>
      <c r="Y73" s="988"/>
      <c r="Z73" s="988"/>
      <c r="AA73" s="988"/>
      <c r="AB73" s="988"/>
      <c r="AC73" s="988"/>
      <c r="AD73" s="988"/>
      <c r="AE73" s="988"/>
      <c r="AF73" s="988"/>
      <c r="AG73" s="988"/>
      <c r="AH73" s="988"/>
      <c r="AI73" s="988"/>
      <c r="AJ73" s="988"/>
      <c r="AK73" s="988"/>
      <c r="AL73" s="988"/>
      <c r="AM73" s="988"/>
      <c r="AN73" s="988"/>
      <c r="AO73" s="988"/>
      <c r="AP73" s="988"/>
      <c r="AQ73" s="988"/>
      <c r="AR73" s="988"/>
      <c r="AS73" s="988"/>
      <c r="AT73" s="988"/>
      <c r="AU73" s="988"/>
      <c r="AV73" s="988"/>
      <c r="AW73" s="988"/>
      <c r="AX73" s="988"/>
      <c r="AY73" s="988"/>
      <c r="AZ73" s="988"/>
      <c r="BA73" s="988"/>
      <c r="BB73" s="988"/>
      <c r="BC73" s="988"/>
      <c r="BD73" s="988"/>
      <c r="BE73" s="988"/>
      <c r="BF73" s="988"/>
      <c r="BG73" s="988"/>
      <c r="BH73" s="988"/>
      <c r="BI73" s="988"/>
      <c r="BJ73" s="988"/>
      <c r="BK73" s="988"/>
      <c r="BL73" s="988"/>
      <c r="BM73" s="988"/>
      <c r="BN73" s="988"/>
      <c r="BO73" s="988"/>
      <c r="BP73" s="988"/>
      <c r="BQ73" s="988"/>
      <c r="BR73" s="988"/>
      <c r="BS73" s="660"/>
      <c r="BT73" s="660"/>
      <c r="BU73" s="660"/>
      <c r="BV73" s="660"/>
      <c r="BW73" s="660"/>
      <c r="BX73" s="660"/>
      <c r="BY73" s="660"/>
      <c r="BZ73" s="660"/>
      <c r="CA73" s="640">
        <f t="shared" si="6"/>
        <v>25000000</v>
      </c>
      <c r="CB73" s="640">
        <f t="shared" si="6"/>
        <v>10407561.5</v>
      </c>
      <c r="CC73" s="640">
        <f t="shared" si="6"/>
        <v>2899645</v>
      </c>
      <c r="CD73" s="640">
        <f t="shared" si="6"/>
        <v>1938895</v>
      </c>
      <c r="CE73" s="641">
        <f t="shared" si="43"/>
        <v>-25000000</v>
      </c>
      <c r="CF73" s="642">
        <f t="shared" si="44"/>
        <v>10407561.5</v>
      </c>
      <c r="CG73" s="642">
        <f t="shared" si="44"/>
        <v>2899645</v>
      </c>
      <c r="CH73" s="643">
        <f t="shared" si="44"/>
        <v>1938895</v>
      </c>
      <c r="CK73" s="1035"/>
    </row>
    <row r="74" spans="1:92" ht="33" x14ac:dyDescent="0.25">
      <c r="A74" s="1031" t="s">
        <v>1567</v>
      </c>
      <c r="B74" s="1032">
        <v>40000000</v>
      </c>
      <c r="C74" s="1032">
        <f t="shared" si="48"/>
        <v>20000000</v>
      </c>
      <c r="D74" s="1032">
        <f t="shared" si="48"/>
        <v>8326049.2000000002</v>
      </c>
      <c r="E74" s="1032">
        <f t="shared" si="48"/>
        <v>2319716</v>
      </c>
      <c r="F74" s="1032">
        <f t="shared" si="48"/>
        <v>1551116</v>
      </c>
      <c r="G74" s="989"/>
      <c r="H74" s="989"/>
      <c r="I74" s="989"/>
      <c r="J74" s="989"/>
      <c r="K74" s="989"/>
      <c r="L74" s="989"/>
      <c r="M74" s="989"/>
      <c r="N74" s="989"/>
      <c r="O74" s="989"/>
      <c r="P74" s="989"/>
      <c r="Q74" s="989"/>
      <c r="R74" s="989"/>
      <c r="S74" s="989"/>
      <c r="T74" s="989"/>
      <c r="U74" s="989"/>
      <c r="V74" s="989"/>
      <c r="W74" s="988"/>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c r="AU74" s="988"/>
      <c r="AV74" s="988"/>
      <c r="AW74" s="988"/>
      <c r="AX74" s="988"/>
      <c r="AY74" s="988"/>
      <c r="AZ74" s="988"/>
      <c r="BA74" s="988"/>
      <c r="BB74" s="988"/>
      <c r="BC74" s="988"/>
      <c r="BD74" s="988"/>
      <c r="BE74" s="988"/>
      <c r="BF74" s="988"/>
      <c r="BG74" s="988"/>
      <c r="BH74" s="988"/>
      <c r="BI74" s="988"/>
      <c r="BJ74" s="988"/>
      <c r="BK74" s="988"/>
      <c r="BL74" s="988"/>
      <c r="BM74" s="988"/>
      <c r="BN74" s="988"/>
      <c r="BO74" s="988"/>
      <c r="BP74" s="988"/>
      <c r="BQ74" s="988"/>
      <c r="BR74" s="988"/>
      <c r="BS74" s="660"/>
      <c r="BT74" s="660"/>
      <c r="BU74" s="660"/>
      <c r="BV74" s="660"/>
      <c r="BW74" s="660"/>
      <c r="BX74" s="660"/>
      <c r="BY74" s="660"/>
      <c r="BZ74" s="660"/>
      <c r="CA74" s="640">
        <f t="shared" si="6"/>
        <v>20000000</v>
      </c>
      <c r="CB74" s="640">
        <f t="shared" si="6"/>
        <v>8326049.2000000002</v>
      </c>
      <c r="CC74" s="640">
        <f t="shared" si="6"/>
        <v>2319716</v>
      </c>
      <c r="CD74" s="640">
        <f t="shared" si="6"/>
        <v>1551116</v>
      </c>
      <c r="CE74" s="641">
        <f t="shared" si="43"/>
        <v>-20000000</v>
      </c>
      <c r="CF74" s="642">
        <f t="shared" si="44"/>
        <v>8326049.2000000002</v>
      </c>
      <c r="CG74" s="642">
        <f t="shared" si="44"/>
        <v>2319716</v>
      </c>
      <c r="CH74" s="643">
        <f t="shared" si="44"/>
        <v>1551116</v>
      </c>
    </row>
    <row r="75" spans="1:92" ht="38.25" x14ac:dyDescent="0.25">
      <c r="A75" s="1036" t="s">
        <v>1568</v>
      </c>
      <c r="B75" s="1032">
        <v>50000000</v>
      </c>
      <c r="C75" s="1032">
        <f t="shared" si="48"/>
        <v>25000000</v>
      </c>
      <c r="D75" s="1032">
        <f t="shared" si="48"/>
        <v>10407561.5</v>
      </c>
      <c r="E75" s="1032">
        <f t="shared" si="48"/>
        <v>2899645</v>
      </c>
      <c r="F75" s="1032">
        <f t="shared" si="48"/>
        <v>1938895</v>
      </c>
      <c r="G75" s="989"/>
      <c r="H75" s="989"/>
      <c r="I75" s="989"/>
      <c r="J75" s="989"/>
      <c r="K75" s="989"/>
      <c r="L75" s="989"/>
      <c r="M75" s="989"/>
      <c r="N75" s="989"/>
      <c r="O75" s="989"/>
      <c r="P75" s="989"/>
      <c r="Q75" s="989"/>
      <c r="R75" s="989"/>
      <c r="S75" s="989"/>
      <c r="T75" s="989"/>
      <c r="U75" s="989"/>
      <c r="V75" s="989"/>
      <c r="W75" s="988"/>
      <c r="X75" s="988"/>
      <c r="Y75" s="988"/>
      <c r="Z75" s="988"/>
      <c r="AA75" s="988"/>
      <c r="AB75" s="988"/>
      <c r="AC75" s="988"/>
      <c r="AD75" s="988"/>
      <c r="AE75" s="988"/>
      <c r="AF75" s="988"/>
      <c r="AG75" s="988"/>
      <c r="AH75" s="988"/>
      <c r="AI75" s="988"/>
      <c r="AJ75" s="988"/>
      <c r="AK75" s="988"/>
      <c r="AL75" s="988"/>
      <c r="AM75" s="988"/>
      <c r="AN75" s="988"/>
      <c r="AO75" s="988"/>
      <c r="AP75" s="988"/>
      <c r="AQ75" s="988"/>
      <c r="AR75" s="988"/>
      <c r="AS75" s="988"/>
      <c r="AT75" s="988"/>
      <c r="AU75" s="988"/>
      <c r="AV75" s="988"/>
      <c r="AW75" s="988"/>
      <c r="AX75" s="988"/>
      <c r="AY75" s="988"/>
      <c r="AZ75" s="988"/>
      <c r="BA75" s="988"/>
      <c r="BB75" s="988"/>
      <c r="BC75" s="991">
        <v>0</v>
      </c>
      <c r="BD75" s="991">
        <v>0</v>
      </c>
      <c r="BE75" s="991">
        <v>0</v>
      </c>
      <c r="BF75" s="991">
        <v>0</v>
      </c>
      <c r="BG75" s="988"/>
      <c r="BH75" s="988"/>
      <c r="BI75" s="988"/>
      <c r="BJ75" s="988"/>
      <c r="BK75" s="988"/>
      <c r="BL75" s="988"/>
      <c r="BM75" s="988"/>
      <c r="BN75" s="988"/>
      <c r="BO75" s="988"/>
      <c r="BP75" s="988"/>
      <c r="BQ75" s="988"/>
      <c r="BR75" s="988"/>
      <c r="BS75" s="660"/>
      <c r="BT75" s="660"/>
      <c r="BU75" s="660"/>
      <c r="BV75" s="660"/>
      <c r="BW75" s="660"/>
      <c r="BX75" s="660"/>
      <c r="BY75" s="660"/>
      <c r="BZ75" s="660"/>
      <c r="CA75" s="640">
        <f t="shared" si="6"/>
        <v>25000000</v>
      </c>
      <c r="CB75" s="640">
        <f t="shared" si="6"/>
        <v>10407561.5</v>
      </c>
      <c r="CC75" s="640">
        <f t="shared" si="6"/>
        <v>2899645</v>
      </c>
      <c r="CD75" s="640">
        <f t="shared" si="6"/>
        <v>1938895</v>
      </c>
      <c r="CE75" s="641">
        <f t="shared" si="43"/>
        <v>-25000000</v>
      </c>
      <c r="CF75" s="642">
        <f t="shared" si="44"/>
        <v>-800375611.70000005</v>
      </c>
      <c r="CG75" s="642">
        <f t="shared" si="44"/>
        <v>-689871525.09600008</v>
      </c>
      <c r="CH75" s="643">
        <f t="shared" si="44"/>
        <v>1938895</v>
      </c>
      <c r="CK75" s="1013" t="s">
        <v>287</v>
      </c>
      <c r="CL75" s="638">
        <v>810783173.20000005</v>
      </c>
      <c r="CM75" s="638">
        <v>692771170.09600008</v>
      </c>
    </row>
    <row r="76" spans="1:92" s="996" customFormat="1" ht="33" x14ac:dyDescent="0.3">
      <c r="A76" s="1037" t="s">
        <v>1569</v>
      </c>
      <c r="B76" s="1032">
        <v>10000000</v>
      </c>
      <c r="C76" s="1032">
        <f t="shared" si="48"/>
        <v>5000000</v>
      </c>
      <c r="D76" s="1032">
        <f t="shared" si="48"/>
        <v>2081512.3</v>
      </c>
      <c r="E76" s="1032">
        <f t="shared" si="48"/>
        <v>579929</v>
      </c>
      <c r="F76" s="1032">
        <f t="shared" si="48"/>
        <v>387779</v>
      </c>
      <c r="G76" s="994"/>
      <c r="H76" s="994"/>
      <c r="I76" s="994"/>
      <c r="J76" s="994"/>
      <c r="K76" s="994"/>
      <c r="L76" s="994"/>
      <c r="M76" s="994"/>
      <c r="N76" s="994"/>
      <c r="O76" s="994"/>
      <c r="P76" s="994"/>
      <c r="Q76" s="994"/>
      <c r="R76" s="994"/>
      <c r="S76" s="994"/>
      <c r="T76" s="994"/>
      <c r="U76" s="994"/>
      <c r="V76" s="994"/>
      <c r="W76" s="994"/>
      <c r="X76" s="994"/>
      <c r="Y76" s="994"/>
      <c r="Z76" s="994"/>
      <c r="AA76" s="991">
        <v>0</v>
      </c>
      <c r="AB76" s="991">
        <v>0</v>
      </c>
      <c r="AC76" s="991">
        <v>0</v>
      </c>
      <c r="AD76" s="991">
        <v>0</v>
      </c>
      <c r="AE76" s="994"/>
      <c r="AF76" s="994"/>
      <c r="AG76" s="994"/>
      <c r="AH76" s="994"/>
      <c r="AI76" s="994"/>
      <c r="AJ76" s="994"/>
      <c r="AK76" s="994"/>
      <c r="AL76" s="994"/>
      <c r="AM76" s="994"/>
      <c r="AN76" s="994"/>
      <c r="AO76" s="994"/>
      <c r="AP76" s="994"/>
      <c r="AQ76" s="994"/>
      <c r="AR76" s="994"/>
      <c r="AS76" s="994"/>
      <c r="AT76" s="994"/>
      <c r="AU76" s="994"/>
      <c r="AV76" s="994"/>
      <c r="AW76" s="994"/>
      <c r="AX76" s="994"/>
      <c r="AY76" s="994"/>
      <c r="AZ76" s="994"/>
      <c r="BA76" s="994"/>
      <c r="BB76" s="994"/>
      <c r="BC76" s="994"/>
      <c r="BD76" s="994"/>
      <c r="BE76" s="994"/>
      <c r="BF76" s="994"/>
      <c r="BG76" s="994"/>
      <c r="BH76" s="994"/>
      <c r="BI76" s="994"/>
      <c r="BJ76" s="994"/>
      <c r="BK76" s="994"/>
      <c r="BL76" s="994"/>
      <c r="BM76" s="994"/>
      <c r="BN76" s="994"/>
      <c r="BO76" s="994"/>
      <c r="BP76" s="994"/>
      <c r="BQ76" s="994"/>
      <c r="BR76" s="994"/>
      <c r="BS76" s="660"/>
      <c r="BT76" s="660"/>
      <c r="BU76" s="660"/>
      <c r="BV76" s="660"/>
      <c r="BW76" s="660"/>
      <c r="BX76" s="660"/>
      <c r="BY76" s="660"/>
      <c r="BZ76" s="660"/>
      <c r="CA76" s="640">
        <f t="shared" si="6"/>
        <v>5000000</v>
      </c>
      <c r="CB76" s="640">
        <f t="shared" si="6"/>
        <v>2081512.3</v>
      </c>
      <c r="CC76" s="640">
        <f t="shared" si="6"/>
        <v>579929</v>
      </c>
      <c r="CD76" s="640">
        <f t="shared" si="6"/>
        <v>387779</v>
      </c>
      <c r="CE76" s="641">
        <f t="shared" si="43"/>
        <v>-5000000</v>
      </c>
      <c r="CF76" s="642">
        <f t="shared" si="44"/>
        <v>-711407680.11600006</v>
      </c>
      <c r="CG76" s="642">
        <f t="shared" si="44"/>
        <v>-609058700.68447995</v>
      </c>
      <c r="CH76" s="997">
        <f t="shared" si="44"/>
        <v>387779</v>
      </c>
      <c r="CK76" s="39" t="s">
        <v>289</v>
      </c>
      <c r="CL76" s="638">
        <v>713489192.41600001</v>
      </c>
      <c r="CM76" s="638">
        <v>609638629.68447995</v>
      </c>
    </row>
    <row r="77" spans="1:92" ht="33" x14ac:dyDescent="0.25">
      <c r="A77" s="1037" t="s">
        <v>1570</v>
      </c>
      <c r="B77" s="1032">
        <v>0</v>
      </c>
      <c r="C77" s="1032">
        <f t="shared" si="48"/>
        <v>0</v>
      </c>
      <c r="D77" s="1032">
        <f t="shared" si="48"/>
        <v>0</v>
      </c>
      <c r="E77" s="1032">
        <f t="shared" si="48"/>
        <v>0</v>
      </c>
      <c r="F77" s="1032">
        <f t="shared" si="48"/>
        <v>0</v>
      </c>
      <c r="G77" s="989"/>
      <c r="H77" s="989"/>
      <c r="I77" s="989"/>
      <c r="J77" s="989"/>
      <c r="K77" s="989"/>
      <c r="L77" s="989"/>
      <c r="M77" s="989"/>
      <c r="N77" s="989"/>
      <c r="O77" s="989"/>
      <c r="P77" s="989"/>
      <c r="Q77" s="989"/>
      <c r="R77" s="989"/>
      <c r="S77" s="989"/>
      <c r="T77" s="989"/>
      <c r="U77" s="989"/>
      <c r="V77" s="989"/>
      <c r="W77" s="988"/>
      <c r="X77" s="988"/>
      <c r="Y77" s="988"/>
      <c r="Z77" s="988"/>
      <c r="AA77" s="988"/>
      <c r="AB77" s="988"/>
      <c r="AC77" s="988"/>
      <c r="AD77" s="988"/>
      <c r="AE77" s="988"/>
      <c r="AF77" s="988"/>
      <c r="AG77" s="988"/>
      <c r="AH77" s="988"/>
      <c r="AI77" s="988"/>
      <c r="AJ77" s="988"/>
      <c r="AK77" s="988"/>
      <c r="AL77" s="988"/>
      <c r="AM77" s="988"/>
      <c r="AN77" s="988"/>
      <c r="AO77" s="988"/>
      <c r="AP77" s="988"/>
      <c r="AQ77" s="988"/>
      <c r="AR77" s="988"/>
      <c r="AS77" s="988"/>
      <c r="AT77" s="988"/>
      <c r="AU77" s="988"/>
      <c r="AV77" s="988"/>
      <c r="AW77" s="988"/>
      <c r="AX77" s="988"/>
      <c r="AY77" s="988"/>
      <c r="AZ77" s="988"/>
      <c r="BA77" s="988"/>
      <c r="BB77" s="988"/>
      <c r="BC77" s="988"/>
      <c r="BD77" s="988"/>
      <c r="BE77" s="988"/>
      <c r="BF77" s="988"/>
      <c r="BG77" s="988"/>
      <c r="BH77" s="988"/>
      <c r="BI77" s="988"/>
      <c r="BJ77" s="988"/>
      <c r="BK77" s="988"/>
      <c r="BL77" s="988"/>
      <c r="BM77" s="988"/>
      <c r="BN77" s="988"/>
      <c r="BO77" s="988"/>
      <c r="BP77" s="988"/>
      <c r="BQ77" s="988"/>
      <c r="BR77" s="988"/>
      <c r="BS77" s="660"/>
      <c r="BT77" s="660"/>
      <c r="BU77" s="660"/>
      <c r="BV77" s="660"/>
      <c r="BW77" s="660"/>
      <c r="BX77" s="660"/>
      <c r="BY77" s="660"/>
      <c r="BZ77" s="660"/>
      <c r="CA77" s="640">
        <f t="shared" si="6"/>
        <v>0</v>
      </c>
      <c r="CB77" s="640">
        <f t="shared" si="6"/>
        <v>0</v>
      </c>
      <c r="CC77" s="640">
        <f t="shared" si="6"/>
        <v>0</v>
      </c>
      <c r="CD77" s="640">
        <f t="shared" si="6"/>
        <v>0</v>
      </c>
      <c r="CE77" s="641">
        <f t="shared" si="43"/>
        <v>0</v>
      </c>
      <c r="CF77" s="642">
        <f t="shared" si="44"/>
        <v>0</v>
      </c>
      <c r="CG77" s="642">
        <f t="shared" si="44"/>
        <v>0</v>
      </c>
      <c r="CH77" s="643">
        <f t="shared" si="44"/>
        <v>0</v>
      </c>
      <c r="CK77" s="39" t="s">
        <v>291</v>
      </c>
    </row>
    <row r="78" spans="1:92" s="996" customFormat="1" ht="49.5" x14ac:dyDescent="0.3">
      <c r="A78" s="1037" t="s">
        <v>1571</v>
      </c>
      <c r="B78" s="1032">
        <v>0</v>
      </c>
      <c r="C78" s="1032">
        <f t="shared" si="48"/>
        <v>0</v>
      </c>
      <c r="D78" s="1032">
        <f t="shared" si="48"/>
        <v>0</v>
      </c>
      <c r="E78" s="1032">
        <f t="shared" si="48"/>
        <v>0</v>
      </c>
      <c r="F78" s="1032">
        <f t="shared" si="48"/>
        <v>0</v>
      </c>
      <c r="G78" s="994"/>
      <c r="H78" s="994"/>
      <c r="I78" s="994"/>
      <c r="J78" s="994"/>
      <c r="K78" s="994"/>
      <c r="L78" s="994"/>
      <c r="M78" s="994"/>
      <c r="N78" s="994"/>
      <c r="O78" s="994"/>
      <c r="P78" s="994"/>
      <c r="Q78" s="994"/>
      <c r="R78" s="994"/>
      <c r="S78" s="994"/>
      <c r="T78" s="994"/>
      <c r="U78" s="994"/>
      <c r="V78" s="994"/>
      <c r="W78" s="994"/>
      <c r="X78" s="994"/>
      <c r="Y78" s="994"/>
      <c r="Z78" s="994"/>
      <c r="AA78" s="994"/>
      <c r="AB78" s="994"/>
      <c r="AC78" s="994"/>
      <c r="AD78" s="994"/>
      <c r="AE78" s="994"/>
      <c r="AF78" s="994"/>
      <c r="AG78" s="994"/>
      <c r="AH78" s="994"/>
      <c r="AI78" s="994"/>
      <c r="AJ78" s="994"/>
      <c r="AK78" s="994"/>
      <c r="AL78" s="994"/>
      <c r="AM78" s="994"/>
      <c r="AN78" s="994"/>
      <c r="AO78" s="994"/>
      <c r="AP78" s="994"/>
      <c r="AQ78" s="994"/>
      <c r="AR78" s="994"/>
      <c r="AS78" s="994"/>
      <c r="AT78" s="994"/>
      <c r="AU78" s="994"/>
      <c r="AV78" s="994"/>
      <c r="AW78" s="994"/>
      <c r="AX78" s="994"/>
      <c r="AY78" s="994"/>
      <c r="AZ78" s="994"/>
      <c r="BA78" s="994"/>
      <c r="BB78" s="994"/>
      <c r="BC78" s="994"/>
      <c r="BD78" s="994"/>
      <c r="BE78" s="994"/>
      <c r="BF78" s="994"/>
      <c r="BG78" s="994"/>
      <c r="BH78" s="994"/>
      <c r="BI78" s="994"/>
      <c r="BJ78" s="994"/>
      <c r="BK78" s="994"/>
      <c r="BL78" s="994"/>
      <c r="BM78" s="994"/>
      <c r="BN78" s="994"/>
      <c r="BO78" s="994"/>
      <c r="BP78" s="994"/>
      <c r="BQ78" s="994"/>
      <c r="BR78" s="994"/>
      <c r="BS78" s="1017"/>
      <c r="BT78" s="1017"/>
      <c r="BU78" s="1017"/>
      <c r="BV78" s="1017"/>
      <c r="BW78" s="1017"/>
      <c r="BX78" s="1017"/>
      <c r="BY78" s="1017"/>
      <c r="BZ78" s="1017"/>
      <c r="CA78" s="640">
        <f t="shared" si="6"/>
        <v>0</v>
      </c>
      <c r="CB78" s="640">
        <f t="shared" si="6"/>
        <v>0</v>
      </c>
      <c r="CC78" s="640">
        <f t="shared" si="6"/>
        <v>0</v>
      </c>
      <c r="CD78" s="640">
        <f t="shared" si="6"/>
        <v>0</v>
      </c>
      <c r="CE78" s="641">
        <f t="shared" si="43"/>
        <v>0</v>
      </c>
      <c r="CF78" s="642">
        <f t="shared" si="44"/>
        <v>0</v>
      </c>
      <c r="CG78" s="642">
        <f t="shared" si="44"/>
        <v>0</v>
      </c>
      <c r="CH78" s="997">
        <f t="shared" si="44"/>
        <v>0</v>
      </c>
      <c r="CK78" s="39" t="s">
        <v>293</v>
      </c>
      <c r="CL78" s="638">
        <v>0</v>
      </c>
      <c r="CM78" s="638">
        <v>0</v>
      </c>
    </row>
    <row r="79" spans="1:92" s="996" customFormat="1" ht="33" x14ac:dyDescent="0.3">
      <c r="A79" s="651" t="s">
        <v>295</v>
      </c>
      <c r="B79" s="645">
        <v>200000000</v>
      </c>
      <c r="C79" s="645">
        <v>100000000</v>
      </c>
      <c r="D79" s="645">
        <v>94385670</v>
      </c>
      <c r="E79" s="645">
        <v>27993035</v>
      </c>
      <c r="F79" s="645">
        <v>21379835</v>
      </c>
      <c r="G79" s="645">
        <f t="shared" ref="G79:BR79" si="49">SUM(G80:G84)</f>
        <v>0</v>
      </c>
      <c r="H79" s="645">
        <f t="shared" si="49"/>
        <v>0</v>
      </c>
      <c r="I79" s="645">
        <f t="shared" si="49"/>
        <v>0</v>
      </c>
      <c r="J79" s="645">
        <f t="shared" si="49"/>
        <v>0</v>
      </c>
      <c r="K79" s="645">
        <f t="shared" si="49"/>
        <v>0</v>
      </c>
      <c r="L79" s="645">
        <f t="shared" si="49"/>
        <v>0</v>
      </c>
      <c r="M79" s="645">
        <f t="shared" si="49"/>
        <v>0</v>
      </c>
      <c r="N79" s="645">
        <f t="shared" si="49"/>
        <v>0</v>
      </c>
      <c r="O79" s="645">
        <f t="shared" si="49"/>
        <v>0</v>
      </c>
      <c r="P79" s="645">
        <f t="shared" si="49"/>
        <v>0</v>
      </c>
      <c r="Q79" s="645">
        <f t="shared" si="49"/>
        <v>0</v>
      </c>
      <c r="R79" s="645">
        <f t="shared" si="49"/>
        <v>0</v>
      </c>
      <c r="S79" s="645">
        <f t="shared" si="49"/>
        <v>0</v>
      </c>
      <c r="T79" s="645">
        <f t="shared" si="49"/>
        <v>0</v>
      </c>
      <c r="U79" s="645">
        <f t="shared" si="49"/>
        <v>0</v>
      </c>
      <c r="V79" s="645">
        <f t="shared" si="49"/>
        <v>0</v>
      </c>
      <c r="W79" s="645">
        <f t="shared" si="49"/>
        <v>0</v>
      </c>
      <c r="X79" s="645">
        <f t="shared" si="49"/>
        <v>0</v>
      </c>
      <c r="Y79" s="645">
        <f t="shared" si="49"/>
        <v>0</v>
      </c>
      <c r="Z79" s="645">
        <f t="shared" si="49"/>
        <v>0</v>
      </c>
      <c r="AA79" s="645">
        <v>100000000</v>
      </c>
      <c r="AB79" s="645">
        <v>88635500</v>
      </c>
      <c r="AC79" s="645">
        <v>25578433</v>
      </c>
      <c r="AD79" s="645">
        <v>20630433</v>
      </c>
      <c r="AE79" s="645">
        <f t="shared" si="49"/>
        <v>0</v>
      </c>
      <c r="AF79" s="645">
        <f t="shared" si="49"/>
        <v>0</v>
      </c>
      <c r="AG79" s="645">
        <f t="shared" si="49"/>
        <v>0</v>
      </c>
      <c r="AH79" s="645">
        <f t="shared" si="49"/>
        <v>0</v>
      </c>
      <c r="AI79" s="645">
        <f t="shared" si="49"/>
        <v>0</v>
      </c>
      <c r="AJ79" s="645">
        <f t="shared" si="49"/>
        <v>0</v>
      </c>
      <c r="AK79" s="645">
        <f t="shared" si="49"/>
        <v>0</v>
      </c>
      <c r="AL79" s="645">
        <f t="shared" si="49"/>
        <v>0</v>
      </c>
      <c r="AM79" s="645">
        <f t="shared" si="49"/>
        <v>0</v>
      </c>
      <c r="AN79" s="645">
        <f t="shared" si="49"/>
        <v>0</v>
      </c>
      <c r="AO79" s="645">
        <f t="shared" si="49"/>
        <v>0</v>
      </c>
      <c r="AP79" s="645">
        <f t="shared" si="49"/>
        <v>0</v>
      </c>
      <c r="AQ79" s="645">
        <f t="shared" si="49"/>
        <v>0</v>
      </c>
      <c r="AR79" s="645">
        <f t="shared" si="49"/>
        <v>0</v>
      </c>
      <c r="AS79" s="645">
        <f t="shared" si="49"/>
        <v>0</v>
      </c>
      <c r="AT79" s="645">
        <f t="shared" si="49"/>
        <v>0</v>
      </c>
      <c r="AU79" s="645">
        <f t="shared" si="49"/>
        <v>0</v>
      </c>
      <c r="AV79" s="645">
        <f t="shared" si="49"/>
        <v>0</v>
      </c>
      <c r="AW79" s="645">
        <f t="shared" si="49"/>
        <v>0</v>
      </c>
      <c r="AX79" s="645">
        <f t="shared" si="49"/>
        <v>0</v>
      </c>
      <c r="AY79" s="645">
        <f t="shared" si="49"/>
        <v>0</v>
      </c>
      <c r="AZ79" s="645">
        <f t="shared" si="49"/>
        <v>0</v>
      </c>
      <c r="BA79" s="645">
        <f t="shared" si="49"/>
        <v>0</v>
      </c>
      <c r="BB79" s="645">
        <f t="shared" si="49"/>
        <v>0</v>
      </c>
      <c r="BC79" s="645">
        <v>0</v>
      </c>
      <c r="BD79" s="645">
        <v>0</v>
      </c>
      <c r="BE79" s="645">
        <v>0</v>
      </c>
      <c r="BF79" s="645">
        <v>0</v>
      </c>
      <c r="BG79" s="645">
        <f t="shared" si="49"/>
        <v>0</v>
      </c>
      <c r="BH79" s="645">
        <f t="shared" si="49"/>
        <v>0</v>
      </c>
      <c r="BI79" s="645">
        <f t="shared" si="49"/>
        <v>0</v>
      </c>
      <c r="BJ79" s="645">
        <f t="shared" si="49"/>
        <v>0</v>
      </c>
      <c r="BK79" s="645">
        <f t="shared" si="49"/>
        <v>0</v>
      </c>
      <c r="BL79" s="645">
        <f t="shared" si="49"/>
        <v>0</v>
      </c>
      <c r="BM79" s="645">
        <f t="shared" si="49"/>
        <v>0</v>
      </c>
      <c r="BN79" s="645">
        <f t="shared" si="49"/>
        <v>0</v>
      </c>
      <c r="BO79" s="645">
        <f t="shared" si="49"/>
        <v>0</v>
      </c>
      <c r="BP79" s="645">
        <f t="shared" si="49"/>
        <v>0</v>
      </c>
      <c r="BQ79" s="645">
        <f t="shared" si="49"/>
        <v>0</v>
      </c>
      <c r="BR79" s="645">
        <f t="shared" si="49"/>
        <v>0</v>
      </c>
      <c r="BS79" s="645">
        <f t="shared" ref="BS79:CD79" si="50">SUM(BS80:BS84)</f>
        <v>0</v>
      </c>
      <c r="BT79" s="645">
        <f t="shared" si="50"/>
        <v>0</v>
      </c>
      <c r="BU79" s="645">
        <f t="shared" si="50"/>
        <v>0</v>
      </c>
      <c r="BV79" s="645">
        <f t="shared" si="50"/>
        <v>0</v>
      </c>
      <c r="BW79" s="645">
        <f t="shared" si="50"/>
        <v>0</v>
      </c>
      <c r="BX79" s="645">
        <f t="shared" si="50"/>
        <v>0</v>
      </c>
      <c r="BY79" s="645">
        <f t="shared" si="50"/>
        <v>0</v>
      </c>
      <c r="BZ79" s="645">
        <f t="shared" si="50"/>
        <v>0</v>
      </c>
      <c r="CA79" s="1000">
        <f t="shared" si="50"/>
        <v>100000000</v>
      </c>
      <c r="CB79" s="1000">
        <f t="shared" si="50"/>
        <v>94385670</v>
      </c>
      <c r="CC79" s="1000">
        <f t="shared" si="50"/>
        <v>27993035</v>
      </c>
      <c r="CD79" s="1000">
        <f t="shared" si="50"/>
        <v>21379835</v>
      </c>
      <c r="CE79" s="1001">
        <f t="shared" si="43"/>
        <v>-100000000</v>
      </c>
      <c r="CF79" s="1002">
        <f t="shared" si="44"/>
        <v>12508611</v>
      </c>
      <c r="CG79" s="1002">
        <f t="shared" si="44"/>
        <v>27993035</v>
      </c>
      <c r="CH79" s="997">
        <f t="shared" si="44"/>
        <v>21379835</v>
      </c>
      <c r="CK79" s="39"/>
      <c r="CL79" s="1009">
        <f>+'[5]Anexo 5.2.A'!Z101</f>
        <v>81877059</v>
      </c>
      <c r="CM79" s="1009">
        <f>+'[5]Anexo 5.2.A'!AA101</f>
        <v>0</v>
      </c>
      <c r="CN79" s="1009">
        <f>+'[5]Anexo 5.2.A'!AB101</f>
        <v>0</v>
      </c>
    </row>
    <row r="80" spans="1:92" ht="33" x14ac:dyDescent="0.3">
      <c r="A80" s="1022" t="s">
        <v>1767</v>
      </c>
      <c r="B80" s="1005">
        <v>50000000</v>
      </c>
      <c r="C80" s="1006">
        <f>C$79*(B80/B$79)</f>
        <v>25000000</v>
      </c>
      <c r="D80" s="1006">
        <f t="shared" ref="D80:F80" si="51">D$79*(C80/C$79)</f>
        <v>23596417.5</v>
      </c>
      <c r="E80" s="1006">
        <f t="shared" si="51"/>
        <v>6998258.75</v>
      </c>
      <c r="F80" s="1006">
        <f t="shared" si="51"/>
        <v>5344958.75</v>
      </c>
      <c r="G80" s="989"/>
      <c r="H80" s="989"/>
      <c r="I80" s="989"/>
      <c r="J80" s="989"/>
      <c r="K80" s="989"/>
      <c r="L80" s="989"/>
      <c r="M80" s="989"/>
      <c r="N80" s="989"/>
      <c r="O80" s="989"/>
      <c r="P80" s="989"/>
      <c r="Q80" s="989"/>
      <c r="R80" s="989"/>
      <c r="S80" s="989"/>
      <c r="T80" s="989"/>
      <c r="U80" s="989"/>
      <c r="V80" s="989"/>
      <c r="W80" s="988"/>
      <c r="X80" s="988"/>
      <c r="Y80" s="988"/>
      <c r="Z80" s="988"/>
      <c r="AA80" s="991">
        <v>0</v>
      </c>
      <c r="AB80" s="991">
        <v>0</v>
      </c>
      <c r="AC80" s="991">
        <v>0</v>
      </c>
      <c r="AD80" s="991">
        <v>0</v>
      </c>
      <c r="AE80" s="988"/>
      <c r="AF80" s="988"/>
      <c r="AG80" s="988"/>
      <c r="AH80" s="988"/>
      <c r="AI80" s="988"/>
      <c r="AJ80" s="988"/>
      <c r="AK80" s="988"/>
      <c r="AL80" s="988"/>
      <c r="AM80" s="988"/>
      <c r="AN80" s="988"/>
      <c r="AO80" s="988"/>
      <c r="AP80" s="988"/>
      <c r="AQ80" s="988"/>
      <c r="AR80" s="988"/>
      <c r="AS80" s="988"/>
      <c r="AT80" s="988"/>
      <c r="AU80" s="988"/>
      <c r="AV80" s="988"/>
      <c r="AW80" s="988"/>
      <c r="AX80" s="988"/>
      <c r="AY80" s="988"/>
      <c r="AZ80" s="988"/>
      <c r="BA80" s="988"/>
      <c r="BB80" s="988"/>
      <c r="BC80" s="988"/>
      <c r="BD80" s="988"/>
      <c r="BE80" s="988"/>
      <c r="BF80" s="988"/>
      <c r="BG80" s="988"/>
      <c r="BH80" s="988"/>
      <c r="BI80" s="988"/>
      <c r="BJ80" s="988"/>
      <c r="BK80" s="988"/>
      <c r="BL80" s="988"/>
      <c r="BM80" s="988"/>
      <c r="BN80" s="988"/>
      <c r="BO80" s="988"/>
      <c r="BP80" s="988"/>
      <c r="BQ80" s="988"/>
      <c r="BR80" s="988"/>
      <c r="BS80" s="1034"/>
      <c r="BT80" s="1034"/>
      <c r="BU80" s="1034"/>
      <c r="BV80" s="1034"/>
      <c r="BW80" s="1034"/>
      <c r="BX80" s="1034"/>
      <c r="BY80" s="1034"/>
      <c r="BZ80" s="1034"/>
      <c r="CA80" s="640">
        <f t="shared" ref="CA80:CD153" si="52">+C80+G80+K80+O80+S80+W80+AA80+AE80+AI80+AM80+AQ80+AU80+AY80+BC80+BG80+BK80+BO80+BS80+BW80</f>
        <v>25000000</v>
      </c>
      <c r="CB80" s="640">
        <f t="shared" si="52"/>
        <v>23596417.5</v>
      </c>
      <c r="CC80" s="640">
        <f t="shared" si="52"/>
        <v>6998258.75</v>
      </c>
      <c r="CD80" s="640">
        <f t="shared" si="52"/>
        <v>5344958.75</v>
      </c>
      <c r="CE80" s="641">
        <f t="shared" si="43"/>
        <v>-25000000</v>
      </c>
      <c r="CF80" s="642">
        <f t="shared" si="44"/>
        <v>-60851080.890666679</v>
      </c>
      <c r="CG80" s="642">
        <f t="shared" si="44"/>
        <v>-111441742.58898667</v>
      </c>
      <c r="CH80" s="643">
        <f t="shared" si="44"/>
        <v>5344958.75</v>
      </c>
      <c r="CI80" s="993"/>
      <c r="CK80" s="39" t="s">
        <v>296</v>
      </c>
      <c r="CL80" s="638">
        <v>84447498.390666679</v>
      </c>
      <c r="CM80" s="638">
        <v>118440001.33898667</v>
      </c>
    </row>
    <row r="81" spans="1:92" ht="49.5" x14ac:dyDescent="0.3">
      <c r="A81" s="1022" t="s">
        <v>298</v>
      </c>
      <c r="B81" s="1005">
        <v>100000000</v>
      </c>
      <c r="C81" s="1006">
        <f t="shared" ref="C81:F84" si="53">C$79*(B81/B$79)</f>
        <v>50000000</v>
      </c>
      <c r="D81" s="1006">
        <f t="shared" si="53"/>
        <v>47192835</v>
      </c>
      <c r="E81" s="1006">
        <f t="shared" si="53"/>
        <v>13996517.5</v>
      </c>
      <c r="F81" s="1006">
        <f t="shared" si="53"/>
        <v>10689917.5</v>
      </c>
      <c r="G81" s="989"/>
      <c r="H81" s="989"/>
      <c r="I81" s="989"/>
      <c r="J81" s="989"/>
      <c r="K81" s="989"/>
      <c r="L81" s="989"/>
      <c r="M81" s="989"/>
      <c r="N81" s="989"/>
      <c r="O81" s="989"/>
      <c r="P81" s="989"/>
      <c r="Q81" s="989"/>
      <c r="R81" s="989"/>
      <c r="S81" s="989"/>
      <c r="T81" s="989"/>
      <c r="U81" s="989"/>
      <c r="V81" s="989"/>
      <c r="W81" s="988"/>
      <c r="X81" s="988"/>
      <c r="Y81" s="988"/>
      <c r="Z81" s="988"/>
      <c r="AA81" s="991">
        <v>0</v>
      </c>
      <c r="AB81" s="991">
        <v>0</v>
      </c>
      <c r="AC81" s="991">
        <v>0</v>
      </c>
      <c r="AD81" s="991">
        <v>0</v>
      </c>
      <c r="AE81" s="988"/>
      <c r="AF81" s="988"/>
      <c r="AG81" s="988"/>
      <c r="AH81" s="988"/>
      <c r="AI81" s="988"/>
      <c r="AJ81" s="988"/>
      <c r="AK81" s="988"/>
      <c r="AL81" s="988"/>
      <c r="AM81" s="988"/>
      <c r="AN81" s="988"/>
      <c r="AO81" s="988"/>
      <c r="AP81" s="988"/>
      <c r="AQ81" s="988"/>
      <c r="AR81" s="988"/>
      <c r="AS81" s="988"/>
      <c r="AT81" s="988"/>
      <c r="AU81" s="988"/>
      <c r="AV81" s="988"/>
      <c r="AW81" s="988"/>
      <c r="AX81" s="988"/>
      <c r="AY81" s="988"/>
      <c r="AZ81" s="988"/>
      <c r="BA81" s="988"/>
      <c r="BB81" s="988"/>
      <c r="BC81" s="988"/>
      <c r="BD81" s="988"/>
      <c r="BE81" s="988"/>
      <c r="BF81" s="988"/>
      <c r="BG81" s="988"/>
      <c r="BH81" s="988"/>
      <c r="BI81" s="988"/>
      <c r="BJ81" s="988"/>
      <c r="BK81" s="988"/>
      <c r="BL81" s="988"/>
      <c r="BM81" s="988"/>
      <c r="BN81" s="988"/>
      <c r="BO81" s="988"/>
      <c r="BP81" s="988"/>
      <c r="BQ81" s="988"/>
      <c r="BR81" s="988"/>
      <c r="BS81" s="1017"/>
      <c r="BT81" s="1017"/>
      <c r="BU81" s="1017"/>
      <c r="BV81" s="1017"/>
      <c r="BW81" s="1017"/>
      <c r="BX81" s="1017"/>
      <c r="BY81" s="1017"/>
      <c r="BZ81" s="1017"/>
      <c r="CA81" s="640">
        <f t="shared" si="52"/>
        <v>50000000</v>
      </c>
      <c r="CB81" s="640">
        <f t="shared" si="52"/>
        <v>47192835</v>
      </c>
      <c r="CC81" s="640">
        <f t="shared" si="52"/>
        <v>13996517.5</v>
      </c>
      <c r="CD81" s="640">
        <f t="shared" si="52"/>
        <v>10689917.5</v>
      </c>
      <c r="CE81" s="641">
        <f t="shared" si="43"/>
        <v>-50000000</v>
      </c>
      <c r="CF81" s="642">
        <f t="shared" si="44"/>
        <v>47192835</v>
      </c>
      <c r="CG81" s="642">
        <f t="shared" si="44"/>
        <v>13996517.5</v>
      </c>
      <c r="CH81" s="643">
        <f t="shared" si="44"/>
        <v>10689917.5</v>
      </c>
      <c r="CK81" s="39" t="s">
        <v>298</v>
      </c>
    </row>
    <row r="82" spans="1:92" ht="33" x14ac:dyDescent="0.3">
      <c r="A82" s="1022" t="s">
        <v>1572</v>
      </c>
      <c r="B82" s="1005">
        <v>10000000</v>
      </c>
      <c r="C82" s="1006">
        <f t="shared" si="53"/>
        <v>5000000</v>
      </c>
      <c r="D82" s="1006">
        <f t="shared" si="53"/>
        <v>4719283.5</v>
      </c>
      <c r="E82" s="1006">
        <f t="shared" si="53"/>
        <v>1399651.75</v>
      </c>
      <c r="F82" s="1006">
        <f t="shared" si="53"/>
        <v>1068991.75</v>
      </c>
      <c r="G82" s="989"/>
      <c r="H82" s="989"/>
      <c r="I82" s="989"/>
      <c r="J82" s="989"/>
      <c r="K82" s="989"/>
      <c r="L82" s="989"/>
      <c r="M82" s="989"/>
      <c r="N82" s="989"/>
      <c r="O82" s="989"/>
      <c r="P82" s="989"/>
      <c r="Q82" s="989"/>
      <c r="R82" s="989"/>
      <c r="S82" s="989"/>
      <c r="T82" s="989"/>
      <c r="U82" s="989"/>
      <c r="V82" s="989"/>
      <c r="W82" s="988"/>
      <c r="X82" s="988"/>
      <c r="Y82" s="988"/>
      <c r="Z82" s="988"/>
      <c r="AA82" s="991">
        <v>0</v>
      </c>
      <c r="AB82" s="991">
        <v>0</v>
      </c>
      <c r="AC82" s="991">
        <v>0</v>
      </c>
      <c r="AD82" s="991">
        <v>0</v>
      </c>
      <c r="AE82" s="988"/>
      <c r="AF82" s="988"/>
      <c r="AG82" s="988"/>
      <c r="AH82" s="988"/>
      <c r="AI82" s="988"/>
      <c r="AJ82" s="988"/>
      <c r="AK82" s="988"/>
      <c r="AL82" s="988"/>
      <c r="AM82" s="988"/>
      <c r="AN82" s="988"/>
      <c r="AO82" s="988"/>
      <c r="AP82" s="988"/>
      <c r="AQ82" s="988"/>
      <c r="AR82" s="988"/>
      <c r="AS82" s="988"/>
      <c r="AT82" s="988"/>
      <c r="AU82" s="988"/>
      <c r="AV82" s="988"/>
      <c r="AW82" s="988"/>
      <c r="AX82" s="988"/>
      <c r="AY82" s="988"/>
      <c r="AZ82" s="988"/>
      <c r="BA82" s="988"/>
      <c r="BB82" s="988"/>
      <c r="BC82" s="988"/>
      <c r="BD82" s="988"/>
      <c r="BE82" s="988"/>
      <c r="BF82" s="988"/>
      <c r="BG82" s="988"/>
      <c r="BH82" s="988"/>
      <c r="BI82" s="988"/>
      <c r="BJ82" s="988"/>
      <c r="BK82" s="988"/>
      <c r="BL82" s="988"/>
      <c r="BM82" s="988"/>
      <c r="BN82" s="988"/>
      <c r="BO82" s="988"/>
      <c r="BP82" s="988"/>
      <c r="BQ82" s="988"/>
      <c r="BR82" s="988"/>
      <c r="BS82" s="1017"/>
      <c r="BT82" s="1017"/>
      <c r="BU82" s="1017"/>
      <c r="BV82" s="1017"/>
      <c r="BW82" s="1017"/>
      <c r="BX82" s="1017"/>
      <c r="BY82" s="1017"/>
      <c r="BZ82" s="1017"/>
      <c r="CA82" s="640">
        <f t="shared" si="52"/>
        <v>5000000</v>
      </c>
      <c r="CB82" s="640">
        <f t="shared" si="52"/>
        <v>4719283.5</v>
      </c>
      <c r="CC82" s="640">
        <f t="shared" si="52"/>
        <v>1399651.75</v>
      </c>
      <c r="CD82" s="640">
        <f t="shared" si="52"/>
        <v>1068991.75</v>
      </c>
      <c r="CE82" s="641">
        <f t="shared" si="43"/>
        <v>-5000000</v>
      </c>
      <c r="CF82" s="642">
        <f t="shared" si="44"/>
        <v>4719283.5</v>
      </c>
      <c r="CG82" s="642">
        <f t="shared" si="44"/>
        <v>1399651.75</v>
      </c>
      <c r="CH82" s="643">
        <f t="shared" si="44"/>
        <v>1068991.75</v>
      </c>
    </row>
    <row r="83" spans="1:92" ht="49.5" x14ac:dyDescent="0.3">
      <c r="A83" s="1038" t="s">
        <v>299</v>
      </c>
      <c r="B83" s="1005">
        <v>40000000</v>
      </c>
      <c r="C83" s="1006">
        <f t="shared" si="53"/>
        <v>20000000</v>
      </c>
      <c r="D83" s="1006">
        <f t="shared" si="53"/>
        <v>18877134</v>
      </c>
      <c r="E83" s="1006">
        <f t="shared" si="53"/>
        <v>5598607</v>
      </c>
      <c r="F83" s="1006">
        <f t="shared" si="53"/>
        <v>4275967</v>
      </c>
      <c r="G83" s="989"/>
      <c r="H83" s="989"/>
      <c r="I83" s="989"/>
      <c r="J83" s="989"/>
      <c r="K83" s="989"/>
      <c r="L83" s="989"/>
      <c r="M83" s="989"/>
      <c r="N83" s="989"/>
      <c r="O83" s="989"/>
      <c r="P83" s="989"/>
      <c r="Q83" s="989"/>
      <c r="R83" s="989"/>
      <c r="S83" s="989"/>
      <c r="T83" s="989"/>
      <c r="U83" s="989"/>
      <c r="V83" s="989"/>
      <c r="W83" s="988"/>
      <c r="X83" s="988"/>
      <c r="Y83" s="988"/>
      <c r="Z83" s="988"/>
      <c r="AA83" s="991">
        <v>0</v>
      </c>
      <c r="AB83" s="991">
        <v>0</v>
      </c>
      <c r="AC83" s="991">
        <v>0</v>
      </c>
      <c r="AD83" s="991">
        <v>0</v>
      </c>
      <c r="AE83" s="988"/>
      <c r="AF83" s="988"/>
      <c r="AG83" s="988"/>
      <c r="AH83" s="988"/>
      <c r="AI83" s="988"/>
      <c r="AJ83" s="988"/>
      <c r="AK83" s="988"/>
      <c r="AL83" s="988"/>
      <c r="AM83" s="988"/>
      <c r="AN83" s="988"/>
      <c r="AO83" s="988"/>
      <c r="AP83" s="988"/>
      <c r="AQ83" s="988"/>
      <c r="AR83" s="988"/>
      <c r="AS83" s="988"/>
      <c r="AT83" s="988"/>
      <c r="AU83" s="988"/>
      <c r="AV83" s="988"/>
      <c r="AW83" s="988"/>
      <c r="AX83" s="988"/>
      <c r="AY83" s="988"/>
      <c r="AZ83" s="988"/>
      <c r="BA83" s="988"/>
      <c r="BB83" s="988"/>
      <c r="BC83" s="988"/>
      <c r="BD83" s="988"/>
      <c r="BE83" s="988"/>
      <c r="BF83" s="988"/>
      <c r="BG83" s="988"/>
      <c r="BH83" s="988"/>
      <c r="BI83" s="988"/>
      <c r="BJ83" s="988"/>
      <c r="BK83" s="988"/>
      <c r="BL83" s="988"/>
      <c r="BM83" s="988"/>
      <c r="BN83" s="988"/>
      <c r="BO83" s="988"/>
      <c r="BP83" s="988"/>
      <c r="BQ83" s="988"/>
      <c r="BR83" s="988"/>
      <c r="BS83" s="1017"/>
      <c r="BT83" s="1017"/>
      <c r="BU83" s="1017"/>
      <c r="BV83" s="1017"/>
      <c r="BW83" s="1017"/>
      <c r="BX83" s="1017"/>
      <c r="BY83" s="1017"/>
      <c r="BZ83" s="1017"/>
      <c r="CA83" s="640">
        <f t="shared" si="52"/>
        <v>20000000</v>
      </c>
      <c r="CB83" s="640">
        <f t="shared" si="52"/>
        <v>18877134</v>
      </c>
      <c r="CC83" s="640">
        <f t="shared" si="52"/>
        <v>5598607</v>
      </c>
      <c r="CD83" s="640">
        <f t="shared" si="52"/>
        <v>4275967</v>
      </c>
      <c r="CE83" s="641">
        <f t="shared" si="43"/>
        <v>-20000000</v>
      </c>
      <c r="CF83" s="642">
        <f t="shared" si="44"/>
        <v>17296134.666666668</v>
      </c>
      <c r="CG83" s="642">
        <f t="shared" si="44"/>
        <v>3381210.7866666666</v>
      </c>
      <c r="CH83" s="643">
        <f t="shared" si="44"/>
        <v>4275967</v>
      </c>
      <c r="CK83" s="39" t="s">
        <v>299</v>
      </c>
      <c r="CL83" s="638">
        <v>1580999.3333333335</v>
      </c>
      <c r="CM83" s="638">
        <v>2217396.2133333334</v>
      </c>
    </row>
    <row r="84" spans="1:92" x14ac:dyDescent="0.3">
      <c r="A84" s="1022" t="s">
        <v>301</v>
      </c>
      <c r="B84" s="1039">
        <v>0</v>
      </c>
      <c r="C84" s="1006">
        <f t="shared" si="53"/>
        <v>0</v>
      </c>
      <c r="D84" s="1006">
        <f t="shared" si="53"/>
        <v>0</v>
      </c>
      <c r="E84" s="1006">
        <f t="shared" si="53"/>
        <v>0</v>
      </c>
      <c r="F84" s="1006">
        <f t="shared" si="53"/>
        <v>0</v>
      </c>
      <c r="G84" s="989"/>
      <c r="H84" s="989"/>
      <c r="I84" s="989"/>
      <c r="J84" s="989"/>
      <c r="K84" s="989"/>
      <c r="L84" s="989"/>
      <c r="M84" s="989"/>
      <c r="N84" s="989"/>
      <c r="O84" s="989"/>
      <c r="P84" s="989"/>
      <c r="Q84" s="989"/>
      <c r="R84" s="989"/>
      <c r="S84" s="989"/>
      <c r="T84" s="989"/>
      <c r="U84" s="989"/>
      <c r="V84" s="989"/>
      <c r="W84" s="988"/>
      <c r="X84" s="988"/>
      <c r="Y84" s="988"/>
      <c r="Z84" s="988"/>
      <c r="AA84" s="991">
        <v>0</v>
      </c>
      <c r="AB84" s="991">
        <v>0</v>
      </c>
      <c r="AC84" s="991">
        <v>0</v>
      </c>
      <c r="AD84" s="991">
        <v>0</v>
      </c>
      <c r="AE84" s="988"/>
      <c r="AF84" s="988"/>
      <c r="AG84" s="988"/>
      <c r="AH84" s="988"/>
      <c r="AI84" s="988"/>
      <c r="AJ84" s="988"/>
      <c r="AK84" s="988"/>
      <c r="AL84" s="988"/>
      <c r="AM84" s="988"/>
      <c r="AN84" s="988"/>
      <c r="AO84" s="988"/>
      <c r="AP84" s="988"/>
      <c r="AQ84" s="988"/>
      <c r="AR84" s="988"/>
      <c r="AS84" s="988"/>
      <c r="AT84" s="988"/>
      <c r="AU84" s="988"/>
      <c r="AV84" s="988"/>
      <c r="AW84" s="988"/>
      <c r="AX84" s="988"/>
      <c r="AY84" s="988"/>
      <c r="AZ84" s="988"/>
      <c r="BA84" s="988"/>
      <c r="BB84" s="988"/>
      <c r="BC84" s="988"/>
      <c r="BD84" s="988"/>
      <c r="BE84" s="988"/>
      <c r="BF84" s="988"/>
      <c r="BG84" s="988"/>
      <c r="BH84" s="988"/>
      <c r="BI84" s="988"/>
      <c r="BJ84" s="988"/>
      <c r="BK84" s="988"/>
      <c r="BL84" s="988"/>
      <c r="BM84" s="988"/>
      <c r="BN84" s="988"/>
      <c r="BO84" s="988"/>
      <c r="BP84" s="988"/>
      <c r="BQ84" s="988"/>
      <c r="BR84" s="988"/>
      <c r="BS84" s="1017"/>
      <c r="BT84" s="1017"/>
      <c r="BU84" s="1017"/>
      <c r="BV84" s="1017"/>
      <c r="BW84" s="1017"/>
      <c r="BX84" s="1017"/>
      <c r="BY84" s="1017"/>
      <c r="BZ84" s="1017"/>
      <c r="CA84" s="640">
        <f t="shared" si="52"/>
        <v>0</v>
      </c>
      <c r="CB84" s="640">
        <f t="shared" si="52"/>
        <v>0</v>
      </c>
      <c r="CC84" s="640">
        <f t="shared" si="52"/>
        <v>0</v>
      </c>
      <c r="CD84" s="640">
        <f t="shared" si="52"/>
        <v>0</v>
      </c>
      <c r="CE84" s="641">
        <f t="shared" si="43"/>
        <v>0</v>
      </c>
      <c r="CF84" s="642">
        <f t="shared" si="44"/>
        <v>-32546452.276000001</v>
      </c>
      <c r="CG84" s="642">
        <f t="shared" si="44"/>
        <v>-45647318.447680004</v>
      </c>
      <c r="CH84" s="643">
        <f t="shared" si="44"/>
        <v>0</v>
      </c>
      <c r="CK84" s="39" t="s">
        <v>301</v>
      </c>
      <c r="CL84" s="638">
        <v>32546452.276000001</v>
      </c>
      <c r="CM84" s="638">
        <v>45647318.447680004</v>
      </c>
    </row>
    <row r="85" spans="1:92" s="1029" customFormat="1" ht="72" customHeight="1" x14ac:dyDescent="0.25">
      <c r="A85" s="651" t="s">
        <v>303</v>
      </c>
      <c r="B85" s="645">
        <v>1800000000</v>
      </c>
      <c r="C85" s="645">
        <v>1160000000</v>
      </c>
      <c r="D85" s="645">
        <v>57243667</v>
      </c>
      <c r="E85" s="645">
        <v>12250000</v>
      </c>
      <c r="F85" s="645">
        <v>8350950</v>
      </c>
      <c r="G85" s="645">
        <f t="shared" ref="G85:BJ85" si="54">SUM(G86:G96)</f>
        <v>0</v>
      </c>
      <c r="H85" s="645">
        <f t="shared" si="54"/>
        <v>0</v>
      </c>
      <c r="I85" s="645">
        <f t="shared" si="54"/>
        <v>0</v>
      </c>
      <c r="J85" s="645">
        <f t="shared" si="54"/>
        <v>0</v>
      </c>
      <c r="K85" s="645">
        <f t="shared" si="54"/>
        <v>0</v>
      </c>
      <c r="L85" s="645">
        <f t="shared" si="54"/>
        <v>0</v>
      </c>
      <c r="M85" s="645">
        <f t="shared" si="54"/>
        <v>0</v>
      </c>
      <c r="N85" s="645">
        <f t="shared" si="54"/>
        <v>0</v>
      </c>
      <c r="O85" s="645">
        <f t="shared" si="54"/>
        <v>0</v>
      </c>
      <c r="P85" s="645">
        <f t="shared" si="54"/>
        <v>0</v>
      </c>
      <c r="Q85" s="645">
        <f t="shared" si="54"/>
        <v>0</v>
      </c>
      <c r="R85" s="645">
        <f t="shared" si="54"/>
        <v>0</v>
      </c>
      <c r="S85" s="645">
        <f t="shared" si="54"/>
        <v>0</v>
      </c>
      <c r="T85" s="645">
        <f t="shared" si="54"/>
        <v>0</v>
      </c>
      <c r="U85" s="645">
        <f t="shared" si="54"/>
        <v>0</v>
      </c>
      <c r="V85" s="645">
        <f t="shared" si="54"/>
        <v>0</v>
      </c>
      <c r="W85" s="645">
        <f t="shared" si="54"/>
        <v>0</v>
      </c>
      <c r="X85" s="645">
        <f t="shared" si="54"/>
        <v>0</v>
      </c>
      <c r="Y85" s="645">
        <f t="shared" si="54"/>
        <v>0</v>
      </c>
      <c r="Z85" s="645">
        <f t="shared" si="54"/>
        <v>0</v>
      </c>
      <c r="AA85" s="645">
        <v>640000000</v>
      </c>
      <c r="AB85" s="645">
        <v>128878000</v>
      </c>
      <c r="AC85" s="645">
        <v>19875633</v>
      </c>
      <c r="AD85" s="645">
        <v>15280633</v>
      </c>
      <c r="AE85" s="645">
        <f t="shared" si="54"/>
        <v>0</v>
      </c>
      <c r="AF85" s="645">
        <f t="shared" si="54"/>
        <v>0</v>
      </c>
      <c r="AG85" s="645">
        <f t="shared" si="54"/>
        <v>0</v>
      </c>
      <c r="AH85" s="645">
        <f t="shared" si="54"/>
        <v>0</v>
      </c>
      <c r="AI85" s="645">
        <f t="shared" si="54"/>
        <v>0</v>
      </c>
      <c r="AJ85" s="645">
        <f t="shared" si="54"/>
        <v>0</v>
      </c>
      <c r="AK85" s="645">
        <f t="shared" si="54"/>
        <v>0</v>
      </c>
      <c r="AL85" s="645">
        <f t="shared" si="54"/>
        <v>0</v>
      </c>
      <c r="AM85" s="645">
        <v>0</v>
      </c>
      <c r="AN85" s="645">
        <v>0</v>
      </c>
      <c r="AO85" s="645">
        <v>0</v>
      </c>
      <c r="AP85" s="645">
        <f t="shared" si="54"/>
        <v>0</v>
      </c>
      <c r="AQ85" s="645">
        <f t="shared" si="54"/>
        <v>0</v>
      </c>
      <c r="AR85" s="645">
        <f t="shared" si="54"/>
        <v>0</v>
      </c>
      <c r="AS85" s="645">
        <f t="shared" si="54"/>
        <v>0</v>
      </c>
      <c r="AT85" s="645">
        <f t="shared" si="54"/>
        <v>0</v>
      </c>
      <c r="AU85" s="645">
        <v>0</v>
      </c>
      <c r="AV85" s="645">
        <v>0</v>
      </c>
      <c r="AW85" s="645">
        <f t="shared" si="54"/>
        <v>0</v>
      </c>
      <c r="AX85" s="645">
        <f t="shared" si="54"/>
        <v>0</v>
      </c>
      <c r="AY85" s="645">
        <f t="shared" si="54"/>
        <v>0</v>
      </c>
      <c r="AZ85" s="645">
        <f t="shared" si="54"/>
        <v>0</v>
      </c>
      <c r="BA85" s="645">
        <f t="shared" si="54"/>
        <v>0</v>
      </c>
      <c r="BB85" s="645">
        <f t="shared" si="54"/>
        <v>0</v>
      </c>
      <c r="BC85" s="645">
        <v>0</v>
      </c>
      <c r="BD85" s="645">
        <v>0</v>
      </c>
      <c r="BE85" s="645">
        <v>0</v>
      </c>
      <c r="BF85" s="645">
        <v>0</v>
      </c>
      <c r="BG85" s="645">
        <f t="shared" si="54"/>
        <v>0</v>
      </c>
      <c r="BH85" s="645">
        <f t="shared" si="54"/>
        <v>0</v>
      </c>
      <c r="BI85" s="645">
        <f t="shared" si="54"/>
        <v>0</v>
      </c>
      <c r="BJ85" s="645">
        <f t="shared" si="54"/>
        <v>0</v>
      </c>
      <c r="BK85" s="645">
        <v>0</v>
      </c>
      <c r="BL85" s="645">
        <v>0</v>
      </c>
      <c r="BM85" s="645">
        <v>0</v>
      </c>
      <c r="BN85" s="645">
        <v>0</v>
      </c>
      <c r="BO85" s="645">
        <f t="shared" ref="BO85:CD85" si="55">SUM(BO86:BO96)</f>
        <v>0</v>
      </c>
      <c r="BP85" s="645">
        <f t="shared" si="55"/>
        <v>0</v>
      </c>
      <c r="BQ85" s="645">
        <f t="shared" si="55"/>
        <v>0</v>
      </c>
      <c r="BR85" s="645">
        <f t="shared" si="55"/>
        <v>0</v>
      </c>
      <c r="BS85" s="645">
        <v>0</v>
      </c>
      <c r="BT85" s="645">
        <v>0</v>
      </c>
      <c r="BU85" s="645">
        <v>0</v>
      </c>
      <c r="BV85" s="645">
        <v>0</v>
      </c>
      <c r="BW85" s="645">
        <f t="shared" si="55"/>
        <v>0</v>
      </c>
      <c r="BX85" s="645">
        <f t="shared" si="55"/>
        <v>0</v>
      </c>
      <c r="BY85" s="645">
        <f t="shared" si="55"/>
        <v>0</v>
      </c>
      <c r="BZ85" s="645">
        <f t="shared" si="55"/>
        <v>0</v>
      </c>
      <c r="CA85" s="1000">
        <f t="shared" si="55"/>
        <v>1159999999.9999998</v>
      </c>
      <c r="CB85" s="1000">
        <f t="shared" si="55"/>
        <v>57243666.999999993</v>
      </c>
      <c r="CC85" s="1000">
        <f t="shared" si="55"/>
        <v>12249999.999999998</v>
      </c>
      <c r="CD85" s="1000">
        <f t="shared" si="55"/>
        <v>8350950</v>
      </c>
      <c r="CE85" s="1026">
        <f t="shared" si="43"/>
        <v>-640000000.00000024</v>
      </c>
      <c r="CF85" s="1027">
        <f t="shared" si="44"/>
        <v>57243666.999999993</v>
      </c>
      <c r="CG85" s="1027">
        <f t="shared" si="44"/>
        <v>12249999.999999998</v>
      </c>
      <c r="CH85" s="1028">
        <f t="shared" si="44"/>
        <v>8350950</v>
      </c>
      <c r="CJ85" s="793"/>
      <c r="CK85" s="1030"/>
      <c r="CL85" s="1009">
        <f>+'[5]Anexo 5.2.A'!Z105</f>
        <v>0</v>
      </c>
      <c r="CM85" s="1009">
        <f>+'[5]Anexo 5.2.A'!AA105</f>
        <v>0</v>
      </c>
      <c r="CN85" s="1009">
        <f>+'[5]Anexo 5.2.A'!AB105</f>
        <v>0</v>
      </c>
    </row>
    <row r="86" spans="1:92" s="996" customFormat="1" ht="33" x14ac:dyDescent="0.3">
      <c r="A86" s="1020" t="s">
        <v>1573</v>
      </c>
      <c r="B86" s="1021">
        <v>0</v>
      </c>
      <c r="C86" s="1040"/>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c r="AU86" s="994"/>
      <c r="AV86" s="994"/>
      <c r="AW86" s="994"/>
      <c r="AX86" s="994"/>
      <c r="AY86" s="994"/>
      <c r="AZ86" s="994"/>
      <c r="BA86" s="994"/>
      <c r="BB86" s="994"/>
      <c r="BC86" s="994"/>
      <c r="BD86" s="994"/>
      <c r="BE86" s="994"/>
      <c r="BF86" s="994"/>
      <c r="BG86" s="994"/>
      <c r="BH86" s="994"/>
      <c r="BI86" s="994"/>
      <c r="BJ86" s="994"/>
      <c r="BK86" s="994"/>
      <c r="BL86" s="994"/>
      <c r="BM86" s="994"/>
      <c r="BN86" s="994"/>
      <c r="BO86" s="994"/>
      <c r="BP86" s="994"/>
      <c r="BQ86" s="994"/>
      <c r="BR86" s="994"/>
      <c r="BS86" s="1017"/>
      <c r="BT86" s="1017"/>
      <c r="BU86" s="1017"/>
      <c r="BV86" s="1017"/>
      <c r="BW86" s="1017"/>
      <c r="BX86" s="1017"/>
      <c r="BY86" s="1017"/>
      <c r="BZ86" s="1017"/>
      <c r="CA86" s="640">
        <f t="shared" si="52"/>
        <v>0</v>
      </c>
      <c r="CB86" s="640">
        <f t="shared" si="52"/>
        <v>0</v>
      </c>
      <c r="CC86" s="640">
        <f t="shared" si="52"/>
        <v>0</v>
      </c>
      <c r="CD86" s="640">
        <f t="shared" si="52"/>
        <v>0</v>
      </c>
      <c r="CE86" s="641">
        <f t="shared" si="43"/>
        <v>0</v>
      </c>
      <c r="CF86" s="642">
        <f t="shared" si="44"/>
        <v>0</v>
      </c>
      <c r="CG86" s="642">
        <f t="shared" si="44"/>
        <v>0</v>
      </c>
      <c r="CH86" s="643">
        <f t="shared" si="44"/>
        <v>0</v>
      </c>
      <c r="CI86" s="993"/>
      <c r="CK86" s="1013" t="s">
        <v>1466</v>
      </c>
      <c r="CL86" s="638"/>
      <c r="CM86" s="638"/>
    </row>
    <row r="87" spans="1:92" ht="33" x14ac:dyDescent="0.25">
      <c r="A87" s="1041" t="s">
        <v>1768</v>
      </c>
      <c r="B87" s="639">
        <v>300000000</v>
      </c>
      <c r="C87" s="661">
        <f>C$85*(B87/B$85)</f>
        <v>193333333.33333331</v>
      </c>
      <c r="D87" s="661">
        <f t="shared" ref="D87:F87" si="56">D$85*(C87/C$85)</f>
        <v>9540611.166666666</v>
      </c>
      <c r="E87" s="661">
        <f t="shared" si="56"/>
        <v>2041666.6666666665</v>
      </c>
      <c r="F87" s="661">
        <f t="shared" si="56"/>
        <v>1391825</v>
      </c>
      <c r="G87" s="989"/>
      <c r="H87" s="989"/>
      <c r="I87" s="989"/>
      <c r="J87" s="989"/>
      <c r="K87" s="989"/>
      <c r="L87" s="989"/>
      <c r="M87" s="989"/>
      <c r="N87" s="989"/>
      <c r="O87" s="989"/>
      <c r="P87" s="989"/>
      <c r="Q87" s="989"/>
      <c r="R87" s="989"/>
      <c r="S87" s="989"/>
      <c r="T87" s="989"/>
      <c r="U87" s="989"/>
      <c r="V87" s="989"/>
      <c r="W87" s="988"/>
      <c r="X87" s="988"/>
      <c r="Y87" s="988"/>
      <c r="Z87" s="988"/>
      <c r="AA87" s="991"/>
      <c r="AB87" s="991"/>
      <c r="AC87" s="991"/>
      <c r="AD87" s="991"/>
      <c r="AE87" s="988"/>
      <c r="AF87" s="988"/>
      <c r="AG87" s="988"/>
      <c r="AH87" s="988"/>
      <c r="AI87" s="988"/>
      <c r="AJ87" s="988"/>
      <c r="AK87" s="988"/>
      <c r="AL87" s="988"/>
      <c r="AM87" s="988"/>
      <c r="AN87" s="988"/>
      <c r="AO87" s="988"/>
      <c r="AP87" s="988"/>
      <c r="AQ87" s="988"/>
      <c r="AR87" s="988"/>
      <c r="AS87" s="988"/>
      <c r="AT87" s="988"/>
      <c r="AU87" s="988"/>
      <c r="AV87" s="988"/>
      <c r="AW87" s="988"/>
      <c r="AX87" s="988"/>
      <c r="AY87" s="988"/>
      <c r="AZ87" s="988"/>
      <c r="BA87" s="988"/>
      <c r="BB87" s="988"/>
      <c r="BC87" s="988"/>
      <c r="BD87" s="988"/>
      <c r="BE87" s="988"/>
      <c r="BF87" s="988"/>
      <c r="BG87" s="988"/>
      <c r="BH87" s="988"/>
      <c r="BI87" s="988"/>
      <c r="BJ87" s="988"/>
      <c r="BK87" s="658"/>
      <c r="BL87" s="658"/>
      <c r="BM87" s="658"/>
      <c r="BN87" s="658"/>
      <c r="BO87" s="988"/>
      <c r="BP87" s="988"/>
      <c r="BQ87" s="988"/>
      <c r="BR87" s="988"/>
      <c r="BS87" s="661"/>
      <c r="BT87" s="661"/>
      <c r="BU87" s="661"/>
      <c r="BV87" s="661"/>
      <c r="BW87" s="661"/>
      <c r="BX87" s="661"/>
      <c r="BY87" s="661"/>
      <c r="BZ87" s="661"/>
      <c r="CA87" s="640">
        <f t="shared" si="52"/>
        <v>193333333.33333331</v>
      </c>
      <c r="CB87" s="640">
        <f t="shared" si="52"/>
        <v>9540611.166666666</v>
      </c>
      <c r="CC87" s="640">
        <f t="shared" si="52"/>
        <v>2041666.6666666665</v>
      </c>
      <c r="CD87" s="640">
        <f t="shared" si="52"/>
        <v>1391825</v>
      </c>
      <c r="CE87" s="641">
        <f t="shared" si="43"/>
        <v>-106666666.66666669</v>
      </c>
      <c r="CF87" s="642">
        <f t="shared" si="44"/>
        <v>-4139859404.6183414</v>
      </c>
      <c r="CG87" s="642">
        <f t="shared" si="44"/>
        <v>-1862738251.3040702</v>
      </c>
      <c r="CH87" s="643">
        <f t="shared" si="44"/>
        <v>1391825</v>
      </c>
      <c r="CK87" s="1013" t="s">
        <v>308</v>
      </c>
      <c r="CL87" s="638">
        <v>4149400015.785008</v>
      </c>
      <c r="CM87" s="638">
        <v>1864779917.970737</v>
      </c>
    </row>
    <row r="88" spans="1:92" s="996" customFormat="1" ht="33" x14ac:dyDescent="0.3">
      <c r="A88" s="1041" t="s">
        <v>1574</v>
      </c>
      <c r="B88" s="1021">
        <v>0</v>
      </c>
      <c r="C88" s="661">
        <f t="shared" ref="C88:F96" si="57">C$85*(B88/B$85)</f>
        <v>0</v>
      </c>
      <c r="D88" s="661">
        <f t="shared" si="57"/>
        <v>0</v>
      </c>
      <c r="E88" s="661">
        <f t="shared" si="57"/>
        <v>0</v>
      </c>
      <c r="F88" s="661">
        <f t="shared" si="57"/>
        <v>0</v>
      </c>
      <c r="G88" s="994"/>
      <c r="H88" s="994"/>
      <c r="I88" s="994"/>
      <c r="J88" s="994"/>
      <c r="K88" s="994"/>
      <c r="L88" s="994"/>
      <c r="M88" s="994"/>
      <c r="N88" s="994"/>
      <c r="O88" s="994"/>
      <c r="P88" s="994"/>
      <c r="Q88" s="994"/>
      <c r="R88" s="994"/>
      <c r="S88" s="994"/>
      <c r="T88" s="994"/>
      <c r="U88" s="994"/>
      <c r="V88" s="994"/>
      <c r="W88" s="994"/>
      <c r="X88" s="994"/>
      <c r="Y88" s="994"/>
      <c r="Z88" s="994"/>
      <c r="AA88" s="991"/>
      <c r="AB88" s="991"/>
      <c r="AC88" s="991"/>
      <c r="AD88" s="991"/>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1"/>
      <c r="BL88" s="991"/>
      <c r="BM88" s="991"/>
      <c r="BN88" s="991"/>
      <c r="BO88" s="994"/>
      <c r="BP88" s="994"/>
      <c r="BQ88" s="994"/>
      <c r="BR88" s="994"/>
      <c r="BS88" s="658"/>
      <c r="BT88" s="658"/>
      <c r="BU88" s="658"/>
      <c r="BV88" s="658"/>
      <c r="BW88" s="658"/>
      <c r="BX88" s="658"/>
      <c r="BY88" s="658"/>
      <c r="BZ88" s="658"/>
      <c r="CA88" s="640">
        <f t="shared" si="52"/>
        <v>0</v>
      </c>
      <c r="CB88" s="640">
        <f t="shared" si="52"/>
        <v>0</v>
      </c>
      <c r="CC88" s="640">
        <f t="shared" si="52"/>
        <v>0</v>
      </c>
      <c r="CD88" s="640">
        <f t="shared" si="52"/>
        <v>0</v>
      </c>
      <c r="CE88" s="641">
        <f t="shared" si="43"/>
        <v>0</v>
      </c>
      <c r="CF88" s="642">
        <f t="shared" si="44"/>
        <v>-99298692.089275733</v>
      </c>
      <c r="CG88" s="642">
        <f t="shared" si="44"/>
        <v>-44625778.71124085</v>
      </c>
      <c r="CH88" s="997">
        <f t="shared" si="44"/>
        <v>0</v>
      </c>
      <c r="CK88" s="1013" t="s">
        <v>311</v>
      </c>
      <c r="CL88" s="638">
        <v>99298692.089275733</v>
      </c>
      <c r="CM88" s="638">
        <v>44625778.71124085</v>
      </c>
    </row>
    <row r="89" spans="1:92" ht="33" x14ac:dyDescent="0.3">
      <c r="A89" s="1041" t="s">
        <v>1575</v>
      </c>
      <c r="B89" s="1021">
        <v>0</v>
      </c>
      <c r="C89" s="661">
        <f t="shared" si="57"/>
        <v>0</v>
      </c>
      <c r="D89" s="661">
        <f t="shared" si="57"/>
        <v>0</v>
      </c>
      <c r="E89" s="661">
        <f t="shared" si="57"/>
        <v>0</v>
      </c>
      <c r="F89" s="661">
        <f t="shared" si="57"/>
        <v>0</v>
      </c>
      <c r="G89" s="989"/>
      <c r="H89" s="989"/>
      <c r="I89" s="989"/>
      <c r="J89" s="989"/>
      <c r="K89" s="989"/>
      <c r="L89" s="989"/>
      <c r="M89" s="989"/>
      <c r="N89" s="989"/>
      <c r="O89" s="989"/>
      <c r="P89" s="989"/>
      <c r="Q89" s="989"/>
      <c r="R89" s="989"/>
      <c r="S89" s="989"/>
      <c r="T89" s="989"/>
      <c r="U89" s="989"/>
      <c r="V89" s="989"/>
      <c r="W89" s="988"/>
      <c r="X89" s="988"/>
      <c r="Y89" s="988"/>
      <c r="Z89" s="988"/>
      <c r="AA89" s="661"/>
      <c r="AB89" s="661"/>
      <c r="AC89" s="661"/>
      <c r="AD89" s="661"/>
      <c r="AE89" s="988"/>
      <c r="AF89" s="988"/>
      <c r="AG89" s="988"/>
      <c r="AH89" s="988"/>
      <c r="AI89" s="988"/>
      <c r="AJ89" s="988"/>
      <c r="AK89" s="988"/>
      <c r="AL89" s="988"/>
      <c r="AM89" s="988"/>
      <c r="AN89" s="988"/>
      <c r="AO89" s="988"/>
      <c r="AP89" s="988"/>
      <c r="AQ89" s="988"/>
      <c r="AR89" s="988"/>
      <c r="AS89" s="988"/>
      <c r="AT89" s="988"/>
      <c r="AU89" s="988"/>
      <c r="AV89" s="988"/>
      <c r="AW89" s="988"/>
      <c r="AX89" s="988"/>
      <c r="AY89" s="988"/>
      <c r="AZ89" s="988"/>
      <c r="BA89" s="988"/>
      <c r="BB89" s="988"/>
      <c r="BC89" s="988"/>
      <c r="BD89" s="988"/>
      <c r="BE89" s="988"/>
      <c r="BF89" s="988"/>
      <c r="BG89" s="988"/>
      <c r="BH89" s="988"/>
      <c r="BI89" s="988"/>
      <c r="BJ89" s="988"/>
      <c r="BK89" s="988"/>
      <c r="BL89" s="988"/>
      <c r="BM89" s="988"/>
      <c r="BN89" s="988"/>
      <c r="BO89" s="988"/>
      <c r="BP89" s="988"/>
      <c r="BQ89" s="988"/>
      <c r="BR89" s="988"/>
      <c r="BS89" s="1017"/>
      <c r="BT89" s="1017"/>
      <c r="BU89" s="1017"/>
      <c r="BV89" s="1017"/>
      <c r="BW89" s="1017"/>
      <c r="BX89" s="1017"/>
      <c r="BY89" s="1017"/>
      <c r="BZ89" s="1017"/>
      <c r="CA89" s="640">
        <f t="shared" si="52"/>
        <v>0</v>
      </c>
      <c r="CB89" s="640">
        <f t="shared" si="52"/>
        <v>0</v>
      </c>
      <c r="CC89" s="640">
        <f t="shared" si="52"/>
        <v>0</v>
      </c>
      <c r="CD89" s="640">
        <f t="shared" si="52"/>
        <v>0</v>
      </c>
      <c r="CE89" s="641">
        <f t="shared" si="43"/>
        <v>0</v>
      </c>
      <c r="CF89" s="642">
        <f t="shared" si="44"/>
        <v>-116181354.17697202</v>
      </c>
      <c r="CG89" s="642">
        <f t="shared" si="44"/>
        <v>-52213007.974087887</v>
      </c>
      <c r="CH89" s="643">
        <f t="shared" si="44"/>
        <v>0</v>
      </c>
      <c r="CK89" s="1013" t="s">
        <v>314</v>
      </c>
      <c r="CL89" s="638">
        <v>116181354.17697202</v>
      </c>
      <c r="CM89" s="638">
        <v>52213007.974087887</v>
      </c>
    </row>
    <row r="90" spans="1:92" ht="33" x14ac:dyDescent="0.3">
      <c r="A90" s="1041" t="s">
        <v>1576</v>
      </c>
      <c r="B90" s="1021">
        <v>0</v>
      </c>
      <c r="C90" s="661">
        <f t="shared" si="57"/>
        <v>0</v>
      </c>
      <c r="D90" s="661">
        <f t="shared" si="57"/>
        <v>0</v>
      </c>
      <c r="E90" s="661">
        <f t="shared" si="57"/>
        <v>0</v>
      </c>
      <c r="F90" s="661">
        <f t="shared" si="57"/>
        <v>0</v>
      </c>
      <c r="G90" s="989"/>
      <c r="H90" s="989"/>
      <c r="I90" s="989"/>
      <c r="J90" s="989"/>
      <c r="K90" s="989"/>
      <c r="L90" s="989"/>
      <c r="M90" s="989"/>
      <c r="N90" s="989"/>
      <c r="O90" s="989"/>
      <c r="P90" s="989"/>
      <c r="Q90" s="989"/>
      <c r="R90" s="989"/>
      <c r="S90" s="989"/>
      <c r="T90" s="989"/>
      <c r="U90" s="989"/>
      <c r="V90" s="989"/>
      <c r="W90" s="988"/>
      <c r="X90" s="988"/>
      <c r="Y90" s="988"/>
      <c r="Z90" s="988"/>
      <c r="AA90" s="661"/>
      <c r="AB90" s="991"/>
      <c r="AC90" s="991"/>
      <c r="AD90" s="991"/>
      <c r="AE90" s="988"/>
      <c r="AF90" s="988"/>
      <c r="AG90" s="988"/>
      <c r="AH90" s="988"/>
      <c r="AI90" s="988"/>
      <c r="AJ90" s="988"/>
      <c r="AK90" s="988"/>
      <c r="AL90" s="988"/>
      <c r="AM90" s="988"/>
      <c r="AN90" s="988"/>
      <c r="AO90" s="988"/>
      <c r="AP90" s="988"/>
      <c r="AQ90" s="988"/>
      <c r="AR90" s="988"/>
      <c r="AS90" s="988"/>
      <c r="AT90" s="988"/>
      <c r="AU90" s="988"/>
      <c r="AV90" s="988"/>
      <c r="AW90" s="988"/>
      <c r="AX90" s="988"/>
      <c r="AY90" s="988"/>
      <c r="AZ90" s="988"/>
      <c r="BA90" s="988"/>
      <c r="BB90" s="988"/>
      <c r="BC90" s="988"/>
      <c r="BD90" s="988"/>
      <c r="BE90" s="988"/>
      <c r="BF90" s="988"/>
      <c r="BG90" s="988"/>
      <c r="BH90" s="988"/>
      <c r="BI90" s="988"/>
      <c r="BJ90" s="988"/>
      <c r="BK90" s="988"/>
      <c r="BL90" s="988"/>
      <c r="BM90" s="988"/>
      <c r="BN90" s="988"/>
      <c r="BO90" s="988"/>
      <c r="BP90" s="988"/>
      <c r="BQ90" s="988"/>
      <c r="BR90" s="988"/>
      <c r="BS90" s="1017"/>
      <c r="BT90" s="1017"/>
      <c r="BU90" s="1017"/>
      <c r="BV90" s="1017"/>
      <c r="BW90" s="1017"/>
      <c r="BX90" s="1017"/>
      <c r="BY90" s="1017"/>
      <c r="BZ90" s="1017"/>
      <c r="CA90" s="640">
        <f t="shared" si="52"/>
        <v>0</v>
      </c>
      <c r="CB90" s="640">
        <f t="shared" si="52"/>
        <v>0</v>
      </c>
      <c r="CC90" s="640">
        <f t="shared" si="52"/>
        <v>0</v>
      </c>
      <c r="CD90" s="640">
        <f t="shared" si="52"/>
        <v>0</v>
      </c>
      <c r="CE90" s="641">
        <f t="shared" si="43"/>
        <v>0</v>
      </c>
      <c r="CF90" s="642">
        <f t="shared" si="44"/>
        <v>0</v>
      </c>
      <c r="CG90" s="642">
        <f t="shared" si="44"/>
        <v>0</v>
      </c>
      <c r="CH90" s="643">
        <f t="shared" si="44"/>
        <v>0</v>
      </c>
      <c r="CK90" s="1013" t="s">
        <v>315</v>
      </c>
      <c r="CL90" s="638">
        <v>0</v>
      </c>
      <c r="CM90" s="638">
        <v>0</v>
      </c>
    </row>
    <row r="91" spans="1:92" s="996" customFormat="1" ht="33" x14ac:dyDescent="0.3">
      <c r="A91" s="1041" t="s">
        <v>317</v>
      </c>
      <c r="B91" s="639">
        <v>300000000</v>
      </c>
      <c r="C91" s="661">
        <f t="shared" si="57"/>
        <v>193333333.33333331</v>
      </c>
      <c r="D91" s="661">
        <f t="shared" si="57"/>
        <v>9540611.166666666</v>
      </c>
      <c r="E91" s="661">
        <f t="shared" si="57"/>
        <v>2041666.6666666665</v>
      </c>
      <c r="F91" s="661">
        <f t="shared" si="57"/>
        <v>1391825</v>
      </c>
      <c r="G91" s="994"/>
      <c r="H91" s="994"/>
      <c r="I91" s="994"/>
      <c r="J91" s="994"/>
      <c r="K91" s="994"/>
      <c r="L91" s="994"/>
      <c r="M91" s="994"/>
      <c r="N91" s="994"/>
      <c r="O91" s="994"/>
      <c r="P91" s="994"/>
      <c r="Q91" s="994"/>
      <c r="R91" s="994"/>
      <c r="S91" s="994"/>
      <c r="T91" s="994"/>
      <c r="U91" s="994"/>
      <c r="V91" s="994"/>
      <c r="W91" s="994"/>
      <c r="X91" s="994"/>
      <c r="Y91" s="994"/>
      <c r="Z91" s="994"/>
      <c r="AA91" s="661"/>
      <c r="AB91" s="991"/>
      <c r="AC91" s="991"/>
      <c r="AD91" s="991"/>
      <c r="AE91" s="994"/>
      <c r="AF91" s="994"/>
      <c r="AG91" s="994"/>
      <c r="AH91" s="994"/>
      <c r="AI91" s="994"/>
      <c r="AJ91" s="994"/>
      <c r="AK91" s="994"/>
      <c r="AL91" s="994"/>
      <c r="AM91" s="994"/>
      <c r="AN91" s="994"/>
      <c r="AO91" s="994"/>
      <c r="AP91" s="994"/>
      <c r="AQ91" s="994"/>
      <c r="AR91" s="994"/>
      <c r="AS91" s="994"/>
      <c r="AT91" s="994"/>
      <c r="AU91" s="994"/>
      <c r="AV91" s="994"/>
      <c r="AW91" s="994"/>
      <c r="AX91" s="994"/>
      <c r="AY91" s="994"/>
      <c r="AZ91" s="994"/>
      <c r="BA91" s="994"/>
      <c r="BB91" s="994"/>
      <c r="BC91" s="994"/>
      <c r="BD91" s="994"/>
      <c r="BE91" s="994"/>
      <c r="BF91" s="994"/>
      <c r="BG91" s="994"/>
      <c r="BH91" s="994"/>
      <c r="BI91" s="994"/>
      <c r="BJ91" s="994"/>
      <c r="BK91" s="994"/>
      <c r="BL91" s="994"/>
      <c r="BM91" s="994"/>
      <c r="BN91" s="994"/>
      <c r="BO91" s="994"/>
      <c r="BP91" s="994"/>
      <c r="BQ91" s="994"/>
      <c r="BR91" s="994"/>
      <c r="BS91" s="1017"/>
      <c r="BT91" s="1017"/>
      <c r="BU91" s="1017"/>
      <c r="BV91" s="1017"/>
      <c r="BW91" s="1017"/>
      <c r="BX91" s="1017"/>
      <c r="BY91" s="1017"/>
      <c r="BZ91" s="1017"/>
      <c r="CA91" s="640">
        <f t="shared" si="52"/>
        <v>193333333.33333331</v>
      </c>
      <c r="CB91" s="640">
        <f t="shared" si="52"/>
        <v>9540611.166666666</v>
      </c>
      <c r="CC91" s="640">
        <f t="shared" si="52"/>
        <v>2041666.6666666665</v>
      </c>
      <c r="CD91" s="640">
        <f t="shared" si="52"/>
        <v>1391825</v>
      </c>
      <c r="CE91" s="641">
        <f t="shared" si="43"/>
        <v>-106666666.66666669</v>
      </c>
      <c r="CF91" s="642">
        <f t="shared" si="44"/>
        <v>-184094979.12828672</v>
      </c>
      <c r="CG91" s="642">
        <f t="shared" si="44"/>
        <v>-84980013.29014647</v>
      </c>
      <c r="CH91" s="997">
        <f t="shared" si="44"/>
        <v>1391825</v>
      </c>
      <c r="CK91" s="1013" t="s">
        <v>317</v>
      </c>
      <c r="CL91" s="638">
        <v>193635590.29495338</v>
      </c>
      <c r="CM91" s="638">
        <v>87021679.956813142</v>
      </c>
    </row>
    <row r="92" spans="1:92" ht="33" x14ac:dyDescent="0.3">
      <c r="A92" s="1041" t="s">
        <v>320</v>
      </c>
      <c r="B92" s="639">
        <v>300000000</v>
      </c>
      <c r="C92" s="661">
        <f t="shared" si="57"/>
        <v>193333333.33333331</v>
      </c>
      <c r="D92" s="661">
        <f t="shared" si="57"/>
        <v>9540611.166666666</v>
      </c>
      <c r="E92" s="661">
        <f t="shared" si="57"/>
        <v>2041666.6666666665</v>
      </c>
      <c r="F92" s="661">
        <f t="shared" si="57"/>
        <v>1391825</v>
      </c>
      <c r="G92" s="989"/>
      <c r="H92" s="989"/>
      <c r="I92" s="989"/>
      <c r="J92" s="989"/>
      <c r="K92" s="989"/>
      <c r="L92" s="989"/>
      <c r="M92" s="989"/>
      <c r="N92" s="989"/>
      <c r="O92" s="989"/>
      <c r="P92" s="989"/>
      <c r="Q92" s="989"/>
      <c r="R92" s="989"/>
      <c r="S92" s="989"/>
      <c r="T92" s="989"/>
      <c r="U92" s="989"/>
      <c r="V92" s="989"/>
      <c r="W92" s="988"/>
      <c r="X92" s="988"/>
      <c r="Y92" s="988"/>
      <c r="Z92" s="988"/>
      <c r="AA92" s="661"/>
      <c r="AB92" s="991"/>
      <c r="AC92" s="991"/>
      <c r="AD92" s="991"/>
      <c r="AE92" s="988"/>
      <c r="AF92" s="988"/>
      <c r="AG92" s="988"/>
      <c r="AH92" s="988"/>
      <c r="AI92" s="988"/>
      <c r="AJ92" s="988"/>
      <c r="AK92" s="988"/>
      <c r="AL92" s="988"/>
      <c r="AM92" s="988"/>
      <c r="AN92" s="988"/>
      <c r="AO92" s="988"/>
      <c r="AP92" s="988"/>
      <c r="AQ92" s="988"/>
      <c r="AR92" s="988"/>
      <c r="AS92" s="988"/>
      <c r="AT92" s="988"/>
      <c r="AU92" s="988"/>
      <c r="AV92" s="988"/>
      <c r="AW92" s="988"/>
      <c r="AX92" s="988"/>
      <c r="AY92" s="988"/>
      <c r="AZ92" s="988"/>
      <c r="BA92" s="988"/>
      <c r="BB92" s="988"/>
      <c r="BC92" s="988"/>
      <c r="BD92" s="988"/>
      <c r="BE92" s="988"/>
      <c r="BF92" s="988"/>
      <c r="BG92" s="988"/>
      <c r="BH92" s="988"/>
      <c r="BI92" s="988"/>
      <c r="BJ92" s="988"/>
      <c r="BK92" s="988"/>
      <c r="BL92" s="988"/>
      <c r="BM92" s="988"/>
      <c r="BN92" s="988"/>
      <c r="BO92" s="988"/>
      <c r="BP92" s="988"/>
      <c r="BQ92" s="988"/>
      <c r="BR92" s="988"/>
      <c r="BS92" s="1017"/>
      <c r="BT92" s="1017"/>
      <c r="BU92" s="1017"/>
      <c r="BV92" s="1017"/>
      <c r="BW92" s="1017"/>
      <c r="BX92" s="1017"/>
      <c r="BY92" s="1017"/>
      <c r="BZ92" s="1017"/>
      <c r="CA92" s="640">
        <f t="shared" si="52"/>
        <v>193333333.33333331</v>
      </c>
      <c r="CB92" s="640">
        <f t="shared" si="52"/>
        <v>9540611.166666666</v>
      </c>
      <c r="CC92" s="640">
        <f t="shared" si="52"/>
        <v>2041666.6666666665</v>
      </c>
      <c r="CD92" s="640">
        <f t="shared" si="52"/>
        <v>1391825</v>
      </c>
      <c r="CE92" s="641">
        <f t="shared" si="43"/>
        <v>-106666666.66666669</v>
      </c>
      <c r="CF92" s="642">
        <f t="shared" si="44"/>
        <v>9540611.166666666</v>
      </c>
      <c r="CG92" s="642">
        <f t="shared" si="44"/>
        <v>2041666.6666666665</v>
      </c>
      <c r="CH92" s="643">
        <f t="shared" si="44"/>
        <v>1391825</v>
      </c>
      <c r="CK92" s="1013" t="s">
        <v>320</v>
      </c>
      <c r="CL92" s="638">
        <v>0</v>
      </c>
      <c r="CM92" s="638">
        <v>0</v>
      </c>
    </row>
    <row r="93" spans="1:92" s="996" customFormat="1" ht="33" x14ac:dyDescent="0.3">
      <c r="A93" s="1041" t="s">
        <v>322</v>
      </c>
      <c r="B93" s="639">
        <v>300000000</v>
      </c>
      <c r="C93" s="661">
        <f t="shared" si="57"/>
        <v>193333333.33333331</v>
      </c>
      <c r="D93" s="661">
        <f t="shared" si="57"/>
        <v>9540611.166666666</v>
      </c>
      <c r="E93" s="661">
        <f t="shared" si="57"/>
        <v>2041666.6666666665</v>
      </c>
      <c r="F93" s="661">
        <f t="shared" si="57"/>
        <v>1391825</v>
      </c>
      <c r="G93" s="994"/>
      <c r="H93" s="994"/>
      <c r="I93" s="994"/>
      <c r="J93" s="994"/>
      <c r="K93" s="994"/>
      <c r="L93" s="994"/>
      <c r="M93" s="994"/>
      <c r="N93" s="994"/>
      <c r="O93" s="994"/>
      <c r="P93" s="994"/>
      <c r="Q93" s="994"/>
      <c r="R93" s="994"/>
      <c r="S93" s="994"/>
      <c r="T93" s="994"/>
      <c r="U93" s="994"/>
      <c r="V93" s="994"/>
      <c r="W93" s="994"/>
      <c r="X93" s="994"/>
      <c r="Y93" s="994"/>
      <c r="Z93" s="994"/>
      <c r="AA93" s="991"/>
      <c r="AB93" s="991"/>
      <c r="AC93" s="991"/>
      <c r="AD93" s="991"/>
      <c r="AE93" s="994"/>
      <c r="AF93" s="994"/>
      <c r="AG93" s="994"/>
      <c r="AH93" s="994"/>
      <c r="AI93" s="994"/>
      <c r="AJ93" s="994"/>
      <c r="AK93" s="994"/>
      <c r="AL93" s="994"/>
      <c r="AM93" s="994"/>
      <c r="AN93" s="994"/>
      <c r="AO93" s="994"/>
      <c r="AP93" s="994"/>
      <c r="AQ93" s="994"/>
      <c r="AR93" s="994"/>
      <c r="AS93" s="994"/>
      <c r="AT93" s="994"/>
      <c r="AU93" s="994"/>
      <c r="AV93" s="994"/>
      <c r="AW93" s="994"/>
      <c r="AX93" s="994"/>
      <c r="AY93" s="994"/>
      <c r="AZ93" s="994"/>
      <c r="BA93" s="994"/>
      <c r="BB93" s="994"/>
      <c r="BC93" s="994"/>
      <c r="BD93" s="994"/>
      <c r="BE93" s="994"/>
      <c r="BF93" s="994"/>
      <c r="BG93" s="994"/>
      <c r="BH93" s="994"/>
      <c r="BI93" s="994"/>
      <c r="BJ93" s="994"/>
      <c r="BK93" s="994"/>
      <c r="BL93" s="994"/>
      <c r="BM93" s="994"/>
      <c r="BN93" s="994"/>
      <c r="BO93" s="994"/>
      <c r="BP93" s="994"/>
      <c r="BQ93" s="994"/>
      <c r="BR93" s="994"/>
      <c r="BS93" s="1017"/>
      <c r="BT93" s="1017"/>
      <c r="BU93" s="1017"/>
      <c r="BV93" s="1017"/>
      <c r="BW93" s="1017"/>
      <c r="BX93" s="1017"/>
      <c r="BY93" s="1017"/>
      <c r="BZ93" s="1017"/>
      <c r="CA93" s="640">
        <f t="shared" si="52"/>
        <v>193333333.33333331</v>
      </c>
      <c r="CB93" s="640">
        <f t="shared" si="52"/>
        <v>9540611.166666666</v>
      </c>
      <c r="CC93" s="640">
        <f t="shared" si="52"/>
        <v>2041666.6666666665</v>
      </c>
      <c r="CD93" s="640">
        <f t="shared" si="52"/>
        <v>1391825</v>
      </c>
      <c r="CE93" s="641">
        <f t="shared" si="43"/>
        <v>-106666666.66666669</v>
      </c>
      <c r="CF93" s="642">
        <f t="shared" si="44"/>
        <v>-141168.34808100201</v>
      </c>
      <c r="CG93" s="642">
        <f t="shared" si="44"/>
        <v>-2309417.3311739904</v>
      </c>
      <c r="CH93" s="997">
        <f t="shared" si="44"/>
        <v>1391825</v>
      </c>
      <c r="CK93" s="1018" t="s">
        <v>322</v>
      </c>
      <c r="CL93" s="638">
        <v>9681779.5147476681</v>
      </c>
      <c r="CM93" s="638">
        <v>4351083.9978406569</v>
      </c>
    </row>
    <row r="94" spans="1:92" x14ac:dyDescent="0.3">
      <c r="A94" s="1041" t="s">
        <v>324</v>
      </c>
      <c r="B94" s="639">
        <v>300000000</v>
      </c>
      <c r="C94" s="661">
        <f t="shared" si="57"/>
        <v>193333333.33333331</v>
      </c>
      <c r="D94" s="661">
        <f t="shared" si="57"/>
        <v>9540611.166666666</v>
      </c>
      <c r="E94" s="661">
        <f t="shared" si="57"/>
        <v>2041666.6666666665</v>
      </c>
      <c r="F94" s="661">
        <f t="shared" si="57"/>
        <v>1391825</v>
      </c>
      <c r="G94" s="989"/>
      <c r="H94" s="989"/>
      <c r="I94" s="989"/>
      <c r="J94" s="989"/>
      <c r="K94" s="989"/>
      <c r="L94" s="989"/>
      <c r="M94" s="989"/>
      <c r="N94" s="989"/>
      <c r="O94" s="989"/>
      <c r="P94" s="989"/>
      <c r="Q94" s="989"/>
      <c r="R94" s="989"/>
      <c r="S94" s="989"/>
      <c r="T94" s="989"/>
      <c r="U94" s="989"/>
      <c r="V94" s="989"/>
      <c r="W94" s="988"/>
      <c r="X94" s="988"/>
      <c r="Y94" s="988"/>
      <c r="Z94" s="988"/>
      <c r="AA94" s="991"/>
      <c r="AB94" s="991"/>
      <c r="AC94" s="991"/>
      <c r="AD94" s="991"/>
      <c r="AE94" s="988"/>
      <c r="AF94" s="988"/>
      <c r="AG94" s="988"/>
      <c r="AH94" s="988"/>
      <c r="AI94" s="988"/>
      <c r="AJ94" s="988"/>
      <c r="AK94" s="988"/>
      <c r="AL94" s="988"/>
      <c r="AM94" s="988"/>
      <c r="AN94" s="988"/>
      <c r="AO94" s="988"/>
      <c r="AP94" s="988"/>
      <c r="AQ94" s="988"/>
      <c r="AR94" s="988"/>
      <c r="AS94" s="988"/>
      <c r="AT94" s="988"/>
      <c r="AU94" s="988"/>
      <c r="AV94" s="988"/>
      <c r="AW94" s="988"/>
      <c r="AX94" s="988"/>
      <c r="AY94" s="988"/>
      <c r="AZ94" s="988"/>
      <c r="BA94" s="988"/>
      <c r="BB94" s="988"/>
      <c r="BC94" s="991"/>
      <c r="BD94" s="991"/>
      <c r="BE94" s="1042"/>
      <c r="BF94" s="1042"/>
      <c r="BG94" s="988"/>
      <c r="BH94" s="988"/>
      <c r="BI94" s="991"/>
      <c r="BJ94" s="988"/>
      <c r="BK94" s="988"/>
      <c r="BL94" s="988"/>
      <c r="BM94" s="988"/>
      <c r="BN94" s="988"/>
      <c r="BO94" s="988"/>
      <c r="BP94" s="988"/>
      <c r="BQ94" s="988"/>
      <c r="BR94" s="988"/>
      <c r="BS94" s="1017"/>
      <c r="BT94" s="1017"/>
      <c r="BU94" s="1017"/>
      <c r="BV94" s="1017"/>
      <c r="BW94" s="1017"/>
      <c r="BX94" s="1017"/>
      <c r="BY94" s="1017"/>
      <c r="BZ94" s="1017"/>
      <c r="CA94" s="640">
        <f t="shared" si="52"/>
        <v>193333333.33333331</v>
      </c>
      <c r="CB94" s="640">
        <f t="shared" si="52"/>
        <v>9540611.166666666</v>
      </c>
      <c r="CC94" s="640">
        <f t="shared" si="52"/>
        <v>2041666.6666666665</v>
      </c>
      <c r="CD94" s="640">
        <f t="shared" si="52"/>
        <v>1391825</v>
      </c>
      <c r="CE94" s="641">
        <f t="shared" si="43"/>
        <v>-106666666.66666669</v>
      </c>
      <c r="CF94" s="642">
        <f t="shared" si="44"/>
        <v>-318334788.45616603</v>
      </c>
      <c r="CG94" s="642">
        <f t="shared" si="44"/>
        <v>-145308663.13700676</v>
      </c>
      <c r="CH94" s="643">
        <f t="shared" si="44"/>
        <v>1391825</v>
      </c>
      <c r="CK94" s="1013" t="s">
        <v>324</v>
      </c>
      <c r="CL94" s="638">
        <v>327875399.62283272</v>
      </c>
      <c r="CM94" s="638">
        <v>147350329.80367342</v>
      </c>
    </row>
    <row r="95" spans="1:92" x14ac:dyDescent="0.3">
      <c r="A95" s="1041" t="s">
        <v>327</v>
      </c>
      <c r="B95" s="639">
        <v>0</v>
      </c>
      <c r="C95" s="661">
        <f t="shared" si="57"/>
        <v>0</v>
      </c>
      <c r="D95" s="661">
        <f t="shared" si="57"/>
        <v>0</v>
      </c>
      <c r="E95" s="661">
        <f t="shared" si="57"/>
        <v>0</v>
      </c>
      <c r="F95" s="661">
        <f t="shared" si="57"/>
        <v>0</v>
      </c>
      <c r="G95" s="989"/>
      <c r="H95" s="989"/>
      <c r="I95" s="989"/>
      <c r="J95" s="989"/>
      <c r="K95" s="989"/>
      <c r="L95" s="989"/>
      <c r="M95" s="989"/>
      <c r="N95" s="989"/>
      <c r="O95" s="989"/>
      <c r="P95" s="989"/>
      <c r="Q95" s="989"/>
      <c r="R95" s="989"/>
      <c r="S95" s="989"/>
      <c r="T95" s="989"/>
      <c r="U95" s="989"/>
      <c r="V95" s="989"/>
      <c r="W95" s="988"/>
      <c r="X95" s="988"/>
      <c r="Y95" s="988"/>
      <c r="Z95" s="988"/>
      <c r="AB95" s="991"/>
      <c r="AC95" s="991"/>
      <c r="AD95" s="991"/>
      <c r="AE95" s="988"/>
      <c r="AF95" s="988"/>
      <c r="AG95" s="988"/>
      <c r="AH95" s="988"/>
      <c r="AI95" s="988"/>
      <c r="AJ95" s="988"/>
      <c r="AK95" s="988"/>
      <c r="AL95" s="988"/>
      <c r="AM95" s="988"/>
      <c r="AN95" s="988"/>
      <c r="AO95" s="988"/>
      <c r="AP95" s="988"/>
      <c r="AQ95" s="988"/>
      <c r="AR95" s="988"/>
      <c r="AS95" s="988"/>
      <c r="AT95" s="988"/>
      <c r="AU95" s="988"/>
      <c r="AV95" s="988"/>
      <c r="AW95" s="988"/>
      <c r="AX95" s="988"/>
      <c r="AY95" s="991"/>
      <c r="AZ95" s="988"/>
      <c r="BA95" s="988"/>
      <c r="BB95" s="988"/>
      <c r="BC95" s="988"/>
      <c r="BD95" s="988"/>
      <c r="BE95" s="988"/>
      <c r="BF95" s="988"/>
      <c r="BG95" s="988"/>
      <c r="BH95" s="988"/>
      <c r="BI95" s="988"/>
      <c r="BJ95" s="988"/>
      <c r="BK95" s="988"/>
      <c r="BL95" s="988"/>
      <c r="BM95" s="988"/>
      <c r="BN95" s="988"/>
      <c r="BO95" s="988"/>
      <c r="BP95" s="988"/>
      <c r="BQ95" s="988"/>
      <c r="BR95" s="988"/>
      <c r="BS95" s="1017"/>
      <c r="BT95" s="1017"/>
      <c r="BU95" s="1017"/>
      <c r="BV95" s="1017"/>
      <c r="BW95" s="1017"/>
      <c r="BX95" s="1017"/>
      <c r="BY95" s="1017"/>
      <c r="BZ95" s="1017"/>
      <c r="CA95" s="640">
        <f t="shared" si="52"/>
        <v>0</v>
      </c>
      <c r="CB95" s="640">
        <f t="shared" si="52"/>
        <v>0</v>
      </c>
      <c r="CC95" s="640">
        <f t="shared" si="52"/>
        <v>0</v>
      </c>
      <c r="CD95" s="640">
        <f t="shared" si="52"/>
        <v>0</v>
      </c>
      <c r="CE95" s="641">
        <f t="shared" si="43"/>
        <v>0</v>
      </c>
      <c r="CF95" s="642">
        <f t="shared" si="44"/>
        <v>-395777167.04144335</v>
      </c>
      <c r="CG95" s="642">
        <f t="shared" si="44"/>
        <v>-177866031.30154154</v>
      </c>
      <c r="CH95" s="643">
        <f t="shared" si="44"/>
        <v>0</v>
      </c>
      <c r="CK95" s="1013" t="s">
        <v>327</v>
      </c>
      <c r="CL95" s="638">
        <v>395777167.04144335</v>
      </c>
      <c r="CM95" s="638">
        <v>177866031.30154154</v>
      </c>
    </row>
    <row r="96" spans="1:92" s="996" customFormat="1" x14ac:dyDescent="0.3">
      <c r="A96" s="1043" t="s">
        <v>329</v>
      </c>
      <c r="B96" s="639">
        <v>300000000</v>
      </c>
      <c r="C96" s="661">
        <f t="shared" si="57"/>
        <v>193333333.33333331</v>
      </c>
      <c r="D96" s="661">
        <f t="shared" si="57"/>
        <v>9540611.166666666</v>
      </c>
      <c r="E96" s="661">
        <f t="shared" si="57"/>
        <v>2041666.6666666665</v>
      </c>
      <c r="F96" s="661">
        <f t="shared" si="57"/>
        <v>1391825</v>
      </c>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c r="AU96" s="994"/>
      <c r="AV96" s="994"/>
      <c r="AW96" s="994"/>
      <c r="AX96" s="994"/>
      <c r="AY96" s="994"/>
      <c r="AZ96" s="994"/>
      <c r="BA96" s="994"/>
      <c r="BB96" s="994"/>
      <c r="BC96" s="994"/>
      <c r="BD96" s="994"/>
      <c r="BE96" s="994"/>
      <c r="BF96" s="994"/>
      <c r="BG96" s="994"/>
      <c r="BH96" s="994"/>
      <c r="BI96" s="994"/>
      <c r="BJ96" s="994"/>
      <c r="BK96" s="994"/>
      <c r="BL96" s="994"/>
      <c r="BM96" s="994"/>
      <c r="BN96" s="994"/>
      <c r="BO96" s="994"/>
      <c r="BP96" s="994"/>
      <c r="BQ96" s="994"/>
      <c r="BR96" s="994"/>
      <c r="BS96" s="1017"/>
      <c r="BT96" s="1017"/>
      <c r="BU96" s="1017"/>
      <c r="BV96" s="1017"/>
      <c r="BW96" s="1017"/>
      <c r="BX96" s="1017"/>
      <c r="BY96" s="1017"/>
      <c r="BZ96" s="1017"/>
      <c r="CA96" s="640">
        <f t="shared" si="52"/>
        <v>193333333.33333331</v>
      </c>
      <c r="CB96" s="640">
        <f t="shared" si="52"/>
        <v>9540611.166666666</v>
      </c>
      <c r="CC96" s="640">
        <f t="shared" si="52"/>
        <v>2041666.6666666665</v>
      </c>
      <c r="CD96" s="640">
        <f t="shared" si="52"/>
        <v>1391825</v>
      </c>
      <c r="CE96" s="641">
        <f t="shared" si="43"/>
        <v>-106666666.66666669</v>
      </c>
      <c r="CF96" s="642">
        <f t="shared" si="44"/>
        <v>-958637340.30810022</v>
      </c>
      <c r="CG96" s="642">
        <f t="shared" si="44"/>
        <v>-433066733.11739898</v>
      </c>
      <c r="CH96" s="997">
        <f t="shared" si="44"/>
        <v>1391825</v>
      </c>
      <c r="CK96" s="1013" t="s">
        <v>329</v>
      </c>
      <c r="CL96" s="638">
        <v>968177951.47476685</v>
      </c>
      <c r="CM96" s="638">
        <v>435108399.78406566</v>
      </c>
    </row>
    <row r="97" spans="1:92" s="1045" customFormat="1" ht="33" x14ac:dyDescent="0.3">
      <c r="A97" s="651" t="s">
        <v>331</v>
      </c>
      <c r="B97" s="656">
        <v>1400000000</v>
      </c>
      <c r="C97" s="645">
        <v>1400000000</v>
      </c>
      <c r="D97" s="645">
        <v>1372870300</v>
      </c>
      <c r="E97" s="645">
        <v>16596999</v>
      </c>
      <c r="F97" s="645">
        <v>15634149</v>
      </c>
      <c r="G97" s="645">
        <f t="shared" ref="G97:BR97" si="58">SUM(G98:G100)</f>
        <v>0</v>
      </c>
      <c r="H97" s="645">
        <f t="shared" si="58"/>
        <v>0</v>
      </c>
      <c r="I97" s="645">
        <f t="shared" si="58"/>
        <v>0</v>
      </c>
      <c r="J97" s="645">
        <f t="shared" si="58"/>
        <v>0</v>
      </c>
      <c r="K97" s="645">
        <f t="shared" si="58"/>
        <v>0</v>
      </c>
      <c r="L97" s="645">
        <f t="shared" si="58"/>
        <v>0</v>
      </c>
      <c r="M97" s="645">
        <f t="shared" si="58"/>
        <v>0</v>
      </c>
      <c r="N97" s="645">
        <f t="shared" si="58"/>
        <v>0</v>
      </c>
      <c r="O97" s="645">
        <f t="shared" si="58"/>
        <v>0</v>
      </c>
      <c r="P97" s="645">
        <f t="shared" si="58"/>
        <v>0</v>
      </c>
      <c r="Q97" s="645">
        <f t="shared" si="58"/>
        <v>0</v>
      </c>
      <c r="R97" s="645">
        <f t="shared" si="58"/>
        <v>0</v>
      </c>
      <c r="S97" s="645">
        <f t="shared" si="58"/>
        <v>0</v>
      </c>
      <c r="T97" s="645">
        <f t="shared" si="58"/>
        <v>0</v>
      </c>
      <c r="U97" s="645">
        <f t="shared" si="58"/>
        <v>0</v>
      </c>
      <c r="V97" s="645">
        <f t="shared" si="58"/>
        <v>0</v>
      </c>
      <c r="W97" s="645">
        <f t="shared" si="58"/>
        <v>0</v>
      </c>
      <c r="X97" s="645">
        <f t="shared" si="58"/>
        <v>0</v>
      </c>
      <c r="Y97" s="645">
        <f t="shared" si="58"/>
        <v>0</v>
      </c>
      <c r="Z97" s="645">
        <f t="shared" si="58"/>
        <v>0</v>
      </c>
      <c r="AA97" s="645">
        <f t="shared" si="58"/>
        <v>0</v>
      </c>
      <c r="AB97" s="645">
        <f t="shared" si="58"/>
        <v>0</v>
      </c>
      <c r="AC97" s="645">
        <f t="shared" si="58"/>
        <v>0</v>
      </c>
      <c r="AD97" s="645">
        <f t="shared" si="58"/>
        <v>0</v>
      </c>
      <c r="AE97" s="645">
        <f t="shared" si="58"/>
        <v>0</v>
      </c>
      <c r="AF97" s="645">
        <f t="shared" si="58"/>
        <v>0</v>
      </c>
      <c r="AG97" s="645">
        <f t="shared" si="58"/>
        <v>0</v>
      </c>
      <c r="AH97" s="645">
        <f t="shared" si="58"/>
        <v>0</v>
      </c>
      <c r="AI97" s="645">
        <v>0</v>
      </c>
      <c r="AJ97" s="645">
        <v>0</v>
      </c>
      <c r="AK97" s="645">
        <v>0</v>
      </c>
      <c r="AL97" s="645">
        <v>0</v>
      </c>
      <c r="AM97" s="645">
        <f t="shared" si="58"/>
        <v>0</v>
      </c>
      <c r="AN97" s="645">
        <f t="shared" si="58"/>
        <v>0</v>
      </c>
      <c r="AO97" s="645">
        <f t="shared" si="58"/>
        <v>0</v>
      </c>
      <c r="AP97" s="645">
        <f t="shared" si="58"/>
        <v>0</v>
      </c>
      <c r="AQ97" s="645">
        <f t="shared" si="58"/>
        <v>0</v>
      </c>
      <c r="AR97" s="645">
        <f t="shared" si="58"/>
        <v>0</v>
      </c>
      <c r="AS97" s="645">
        <f t="shared" si="58"/>
        <v>0</v>
      </c>
      <c r="AT97" s="645">
        <f t="shared" si="58"/>
        <v>0</v>
      </c>
      <c r="AU97" s="645">
        <f t="shared" si="58"/>
        <v>0</v>
      </c>
      <c r="AV97" s="645">
        <f t="shared" si="58"/>
        <v>0</v>
      </c>
      <c r="AW97" s="645">
        <f t="shared" si="58"/>
        <v>0</v>
      </c>
      <c r="AX97" s="645">
        <f t="shared" si="58"/>
        <v>0</v>
      </c>
      <c r="AY97" s="645">
        <f t="shared" si="58"/>
        <v>0</v>
      </c>
      <c r="AZ97" s="645">
        <f t="shared" si="58"/>
        <v>0</v>
      </c>
      <c r="BA97" s="645">
        <f t="shared" si="58"/>
        <v>0</v>
      </c>
      <c r="BB97" s="645">
        <f t="shared" si="58"/>
        <v>0</v>
      </c>
      <c r="BC97" s="645">
        <f t="shared" si="58"/>
        <v>0</v>
      </c>
      <c r="BD97" s="645">
        <f t="shared" si="58"/>
        <v>0</v>
      </c>
      <c r="BE97" s="645">
        <f t="shared" si="58"/>
        <v>0</v>
      </c>
      <c r="BF97" s="645">
        <f t="shared" si="58"/>
        <v>0</v>
      </c>
      <c r="BG97" s="645">
        <v>0</v>
      </c>
      <c r="BH97" s="645">
        <f t="shared" si="58"/>
        <v>0</v>
      </c>
      <c r="BI97" s="645">
        <f t="shared" si="58"/>
        <v>0</v>
      </c>
      <c r="BJ97" s="645">
        <f t="shared" si="58"/>
        <v>0</v>
      </c>
      <c r="BK97" s="645">
        <f t="shared" si="58"/>
        <v>0</v>
      </c>
      <c r="BL97" s="645">
        <f t="shared" si="58"/>
        <v>0</v>
      </c>
      <c r="BM97" s="645">
        <f t="shared" si="58"/>
        <v>0</v>
      </c>
      <c r="BN97" s="645">
        <f t="shared" si="58"/>
        <v>0</v>
      </c>
      <c r="BO97" s="645">
        <f t="shared" si="58"/>
        <v>0</v>
      </c>
      <c r="BP97" s="645">
        <f t="shared" si="58"/>
        <v>0</v>
      </c>
      <c r="BQ97" s="645">
        <f t="shared" si="58"/>
        <v>0</v>
      </c>
      <c r="BR97" s="645">
        <f t="shared" si="58"/>
        <v>0</v>
      </c>
      <c r="BS97" s="645">
        <f t="shared" ref="BS97:CD97" si="59">SUM(BS98:BS100)</f>
        <v>0</v>
      </c>
      <c r="BT97" s="645">
        <f t="shared" si="59"/>
        <v>0</v>
      </c>
      <c r="BU97" s="645">
        <f t="shared" si="59"/>
        <v>0</v>
      </c>
      <c r="BV97" s="645">
        <f t="shared" si="59"/>
        <v>0</v>
      </c>
      <c r="BW97" s="645">
        <f t="shared" si="59"/>
        <v>0</v>
      </c>
      <c r="BX97" s="645">
        <f t="shared" si="59"/>
        <v>0</v>
      </c>
      <c r="BY97" s="645">
        <f t="shared" si="59"/>
        <v>0</v>
      </c>
      <c r="BZ97" s="645">
        <f t="shared" si="59"/>
        <v>0</v>
      </c>
      <c r="CA97" s="1000">
        <f t="shared" si="59"/>
        <v>1400000000</v>
      </c>
      <c r="CB97" s="1000">
        <f t="shared" si="59"/>
        <v>1372870300</v>
      </c>
      <c r="CC97" s="1000">
        <f t="shared" si="59"/>
        <v>16596998.999999998</v>
      </c>
      <c r="CD97" s="1000">
        <f t="shared" si="59"/>
        <v>15634148.999999998</v>
      </c>
      <c r="CE97" s="1026">
        <f t="shared" si="43"/>
        <v>0</v>
      </c>
      <c r="CF97" s="1027">
        <f t="shared" si="44"/>
        <v>1372870300</v>
      </c>
      <c r="CG97" s="1027">
        <f t="shared" si="44"/>
        <v>16596998.999999998</v>
      </c>
      <c r="CH97" s="1044">
        <f t="shared" si="44"/>
        <v>15634148.999999998</v>
      </c>
      <c r="CK97" s="1030"/>
      <c r="CL97" s="1009">
        <f>+'[5]Anexo 5.2.A'!Z109</f>
        <v>0</v>
      </c>
      <c r="CM97" s="1009">
        <f>+'[5]Anexo 5.2.A'!AA109</f>
        <v>0</v>
      </c>
      <c r="CN97" s="1009">
        <f>+'[5]Anexo 5.2.A'!AB109</f>
        <v>0</v>
      </c>
    </row>
    <row r="98" spans="1:92" ht="47.25" customHeight="1" x14ac:dyDescent="0.3">
      <c r="A98" s="1022" t="s">
        <v>332</v>
      </c>
      <c r="B98" s="1005">
        <v>1000000000</v>
      </c>
      <c r="C98" s="991">
        <f>C$97*(B98/B$97)</f>
        <v>1000000000</v>
      </c>
      <c r="D98" s="991">
        <f t="shared" ref="D98:F98" si="60">D$97*(C98/C$97)</f>
        <v>980621642.85714293</v>
      </c>
      <c r="E98" s="991">
        <f t="shared" si="60"/>
        <v>11854999.285714285</v>
      </c>
      <c r="F98" s="991">
        <f t="shared" si="60"/>
        <v>11167249.285714285</v>
      </c>
      <c r="G98" s="989"/>
      <c r="H98" s="989"/>
      <c r="I98" s="989"/>
      <c r="J98" s="989"/>
      <c r="K98" s="989"/>
      <c r="L98" s="989"/>
      <c r="M98" s="989"/>
      <c r="N98" s="989"/>
      <c r="O98" s="989"/>
      <c r="P98" s="989"/>
      <c r="Q98" s="989"/>
      <c r="R98" s="989"/>
      <c r="S98" s="989"/>
      <c r="T98" s="989"/>
      <c r="U98" s="989"/>
      <c r="V98" s="989"/>
      <c r="W98" s="988"/>
      <c r="X98" s="988"/>
      <c r="Y98" s="988"/>
      <c r="Z98" s="988"/>
      <c r="AA98" s="988"/>
      <c r="AB98" s="988"/>
      <c r="AC98" s="988"/>
      <c r="AD98" s="988"/>
      <c r="AE98" s="988"/>
      <c r="AF98" s="988"/>
      <c r="AG98" s="988"/>
      <c r="AH98" s="988"/>
      <c r="AI98" s="991"/>
      <c r="AJ98" s="1046"/>
      <c r="AK98" s="1046"/>
      <c r="AL98" s="1047"/>
      <c r="AM98" s="988"/>
      <c r="AN98" s="988"/>
      <c r="AO98" s="988"/>
      <c r="AP98" s="988"/>
      <c r="AQ98" s="988"/>
      <c r="AR98" s="988"/>
      <c r="AS98" s="988"/>
      <c r="AT98" s="988"/>
      <c r="AU98" s="988"/>
      <c r="AV98" s="988"/>
      <c r="AW98" s="988"/>
      <c r="AX98" s="988"/>
      <c r="AY98" s="988"/>
      <c r="AZ98" s="988"/>
      <c r="BA98" s="988"/>
      <c r="BB98" s="988"/>
      <c r="BC98" s="988"/>
      <c r="BD98" s="988"/>
      <c r="BE98" s="988"/>
      <c r="BF98" s="988"/>
      <c r="BG98" s="988"/>
      <c r="BH98" s="988"/>
      <c r="BI98" s="988"/>
      <c r="BJ98" s="988"/>
      <c r="BK98" s="988"/>
      <c r="BL98" s="988"/>
      <c r="BM98" s="988"/>
      <c r="BN98" s="988"/>
      <c r="BO98" s="988"/>
      <c r="BP98" s="988"/>
      <c r="BQ98" s="988"/>
      <c r="BR98" s="988"/>
      <c r="BS98" s="1017"/>
      <c r="BT98" s="1017"/>
      <c r="BU98" s="1017"/>
      <c r="BV98" s="1017"/>
      <c r="BW98" s="1017"/>
      <c r="BX98" s="1017"/>
      <c r="BY98" s="1017"/>
      <c r="BZ98" s="1017"/>
      <c r="CA98" s="640">
        <f t="shared" si="52"/>
        <v>1000000000</v>
      </c>
      <c r="CB98" s="640">
        <f t="shared" si="52"/>
        <v>980621642.85714293</v>
      </c>
      <c r="CC98" s="640">
        <f t="shared" si="52"/>
        <v>11854999.285714285</v>
      </c>
      <c r="CD98" s="640">
        <f t="shared" si="52"/>
        <v>11167249.285714285</v>
      </c>
      <c r="CE98" s="641">
        <f t="shared" si="43"/>
        <v>0</v>
      </c>
      <c r="CF98" s="642">
        <f t="shared" si="44"/>
        <v>381219173.85714293</v>
      </c>
      <c r="CG98" s="642">
        <f t="shared" si="44"/>
        <v>-337971469.71428573</v>
      </c>
      <c r="CH98" s="643">
        <f t="shared" si="44"/>
        <v>11167249.285714285</v>
      </c>
      <c r="CI98" s="993"/>
      <c r="CK98" s="1013" t="s">
        <v>332</v>
      </c>
      <c r="CL98" s="638">
        <v>599402469</v>
      </c>
      <c r="CM98" s="638">
        <v>349826469</v>
      </c>
    </row>
    <row r="99" spans="1:92" s="996" customFormat="1" ht="33" x14ac:dyDescent="0.3">
      <c r="A99" s="1022" t="s">
        <v>335</v>
      </c>
      <c r="B99" s="1005">
        <v>200000000</v>
      </c>
      <c r="C99" s="991">
        <f t="shared" ref="C99:F100" si="61">C$97*(B99/B$97)</f>
        <v>200000000</v>
      </c>
      <c r="D99" s="991">
        <f t="shared" si="61"/>
        <v>196124328.57142857</v>
      </c>
      <c r="E99" s="991">
        <f t="shared" si="61"/>
        <v>2370999.8571428568</v>
      </c>
      <c r="F99" s="991">
        <f t="shared" si="61"/>
        <v>2233449.8571428568</v>
      </c>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1"/>
      <c r="AJ99" s="1046"/>
      <c r="AK99" s="1046"/>
      <c r="AL99" s="1047"/>
      <c r="AM99" s="994"/>
      <c r="AN99" s="994"/>
      <c r="AO99" s="994"/>
      <c r="AP99" s="994"/>
      <c r="AQ99" s="994"/>
      <c r="AR99" s="994"/>
      <c r="AS99" s="994"/>
      <c r="AT99" s="994"/>
      <c r="AU99" s="994"/>
      <c r="AV99" s="994"/>
      <c r="AW99" s="994"/>
      <c r="AX99" s="994"/>
      <c r="AY99" s="994"/>
      <c r="AZ99" s="994"/>
      <c r="BA99" s="994"/>
      <c r="BB99" s="994"/>
      <c r="BC99" s="994"/>
      <c r="BD99" s="994"/>
      <c r="BE99" s="994"/>
      <c r="BF99" s="994"/>
      <c r="BG99" s="1042"/>
      <c r="BH99" s="994"/>
      <c r="BI99" s="994"/>
      <c r="BJ99" s="994"/>
      <c r="BK99" s="994"/>
      <c r="BL99" s="994"/>
      <c r="BM99" s="994"/>
      <c r="BN99" s="994"/>
      <c r="BO99" s="994"/>
      <c r="BP99" s="994"/>
      <c r="BQ99" s="994"/>
      <c r="BR99" s="994"/>
      <c r="BS99" s="1017"/>
      <c r="BT99" s="1017"/>
      <c r="BU99" s="1017"/>
      <c r="BV99" s="1017"/>
      <c r="BW99" s="1017"/>
      <c r="BX99" s="1017"/>
      <c r="BY99" s="1017"/>
      <c r="BZ99" s="1017"/>
      <c r="CA99" s="640">
        <f t="shared" si="52"/>
        <v>200000000</v>
      </c>
      <c r="CB99" s="640">
        <f t="shared" si="52"/>
        <v>196124328.57142857</v>
      </c>
      <c r="CC99" s="640">
        <f t="shared" si="52"/>
        <v>2370999.8571428568</v>
      </c>
      <c r="CD99" s="640">
        <f t="shared" si="52"/>
        <v>2233449.8571428568</v>
      </c>
      <c r="CE99" s="641">
        <f t="shared" si="43"/>
        <v>0</v>
      </c>
      <c r="CF99" s="642">
        <f t="shared" si="44"/>
        <v>-403278140.42857146</v>
      </c>
      <c r="CG99" s="642">
        <f t="shared" si="44"/>
        <v>-347455469.14285713</v>
      </c>
      <c r="CH99" s="997">
        <f t="shared" si="44"/>
        <v>2233449.8571428568</v>
      </c>
      <c r="CK99" s="39" t="s">
        <v>335</v>
      </c>
      <c r="CL99" s="638">
        <v>599402469</v>
      </c>
      <c r="CM99" s="638">
        <v>349826469</v>
      </c>
    </row>
    <row r="100" spans="1:92" ht="33" x14ac:dyDescent="0.3">
      <c r="A100" s="1022" t="s">
        <v>339</v>
      </c>
      <c r="B100" s="1005">
        <v>200000000</v>
      </c>
      <c r="C100" s="991">
        <f t="shared" si="61"/>
        <v>200000000</v>
      </c>
      <c r="D100" s="991">
        <f t="shared" si="61"/>
        <v>196124328.57142857</v>
      </c>
      <c r="E100" s="991">
        <f t="shared" si="61"/>
        <v>2370999.8571428568</v>
      </c>
      <c r="F100" s="991">
        <f t="shared" si="61"/>
        <v>2233449.8571428568</v>
      </c>
      <c r="G100" s="989"/>
      <c r="H100" s="989"/>
      <c r="I100" s="989"/>
      <c r="J100" s="989"/>
      <c r="K100" s="989"/>
      <c r="L100" s="989"/>
      <c r="M100" s="989"/>
      <c r="N100" s="989"/>
      <c r="O100" s="989"/>
      <c r="P100" s="989"/>
      <c r="Q100" s="989"/>
      <c r="R100" s="989"/>
      <c r="S100" s="989"/>
      <c r="T100" s="989"/>
      <c r="U100" s="989"/>
      <c r="V100" s="989"/>
      <c r="W100" s="988"/>
      <c r="X100" s="988"/>
      <c r="Y100" s="988"/>
      <c r="Z100" s="988"/>
      <c r="AA100" s="988"/>
      <c r="AB100" s="988"/>
      <c r="AC100" s="988"/>
      <c r="AD100" s="988"/>
      <c r="AE100" s="988"/>
      <c r="AF100" s="988"/>
      <c r="AG100" s="988"/>
      <c r="AH100" s="988"/>
      <c r="AI100" s="991"/>
      <c r="AJ100" s="1046"/>
      <c r="AK100" s="1046"/>
      <c r="AL100" s="1047"/>
      <c r="AM100" s="988"/>
      <c r="AN100" s="988"/>
      <c r="AO100" s="988"/>
      <c r="AP100" s="988"/>
      <c r="AQ100" s="988"/>
      <c r="AR100" s="988"/>
      <c r="AS100" s="988"/>
      <c r="AT100" s="988"/>
      <c r="AU100" s="988"/>
      <c r="AV100" s="988"/>
      <c r="AW100" s="988"/>
      <c r="AX100" s="988"/>
      <c r="AY100" s="988"/>
      <c r="AZ100" s="988"/>
      <c r="BA100" s="988"/>
      <c r="BB100" s="988"/>
      <c r="BC100" s="988"/>
      <c r="BD100" s="988"/>
      <c r="BE100" s="988"/>
      <c r="BF100" s="988"/>
      <c r="BG100" s="988"/>
      <c r="BH100" s="988"/>
      <c r="BI100" s="988"/>
      <c r="BJ100" s="988"/>
      <c r="BK100" s="988"/>
      <c r="BL100" s="988"/>
      <c r="BM100" s="988"/>
      <c r="BN100" s="988"/>
      <c r="BO100" s="988"/>
      <c r="BP100" s="988"/>
      <c r="BQ100" s="988"/>
      <c r="BR100" s="988"/>
      <c r="BS100" s="1017"/>
      <c r="BT100" s="1017"/>
      <c r="BU100" s="1017"/>
      <c r="BV100" s="1017"/>
      <c r="BW100" s="1017"/>
      <c r="BX100" s="1017"/>
      <c r="BY100" s="1017"/>
      <c r="BZ100" s="1017"/>
      <c r="CA100" s="640">
        <f t="shared" si="52"/>
        <v>200000000</v>
      </c>
      <c r="CB100" s="640">
        <f t="shared" si="52"/>
        <v>196124328.57142857</v>
      </c>
      <c r="CC100" s="640">
        <f t="shared" si="52"/>
        <v>2370999.8571428568</v>
      </c>
      <c r="CD100" s="640">
        <f t="shared" si="52"/>
        <v>2233449.8571428568</v>
      </c>
      <c r="CE100" s="641">
        <f t="shared" si="43"/>
        <v>0</v>
      </c>
      <c r="CF100" s="642">
        <f t="shared" si="44"/>
        <v>-403278140.42857146</v>
      </c>
      <c r="CG100" s="642">
        <f t="shared" si="44"/>
        <v>-347455469.14285713</v>
      </c>
      <c r="CH100" s="643">
        <f t="shared" si="44"/>
        <v>2233449.8571428568</v>
      </c>
      <c r="CI100" s="993"/>
      <c r="CK100" s="39" t="s">
        <v>339</v>
      </c>
      <c r="CL100" s="638">
        <v>599402469</v>
      </c>
      <c r="CM100" s="638">
        <v>349826469</v>
      </c>
    </row>
    <row r="101" spans="1:92" ht="33" x14ac:dyDescent="0.25">
      <c r="A101" s="651" t="s">
        <v>342</v>
      </c>
      <c r="B101" s="645">
        <v>3000000000</v>
      </c>
      <c r="C101" s="645">
        <v>1000000000</v>
      </c>
      <c r="D101" s="645">
        <v>877658219</v>
      </c>
      <c r="E101" s="645">
        <v>585825954</v>
      </c>
      <c r="F101" s="645">
        <v>570511034</v>
      </c>
      <c r="G101" s="645">
        <f t="shared" ref="G101:BR101" si="62">SUM(G102:G116)</f>
        <v>0</v>
      </c>
      <c r="H101" s="645">
        <f t="shared" si="62"/>
        <v>0</v>
      </c>
      <c r="I101" s="645">
        <f t="shared" si="62"/>
        <v>0</v>
      </c>
      <c r="J101" s="645">
        <f t="shared" si="62"/>
        <v>0</v>
      </c>
      <c r="K101" s="645">
        <f t="shared" si="62"/>
        <v>0</v>
      </c>
      <c r="L101" s="645">
        <f t="shared" si="62"/>
        <v>0</v>
      </c>
      <c r="M101" s="645">
        <f t="shared" si="62"/>
        <v>0</v>
      </c>
      <c r="N101" s="645">
        <f t="shared" si="62"/>
        <v>0</v>
      </c>
      <c r="O101" s="645">
        <f t="shared" si="62"/>
        <v>0</v>
      </c>
      <c r="P101" s="645">
        <f t="shared" si="62"/>
        <v>0</v>
      </c>
      <c r="Q101" s="645">
        <f t="shared" si="62"/>
        <v>0</v>
      </c>
      <c r="R101" s="645">
        <f t="shared" si="62"/>
        <v>0</v>
      </c>
      <c r="S101" s="645">
        <v>800000000</v>
      </c>
      <c r="T101" s="645">
        <v>416836367</v>
      </c>
      <c r="U101" s="645">
        <v>143430196</v>
      </c>
      <c r="V101" s="645">
        <v>102568896</v>
      </c>
      <c r="W101" s="645">
        <v>1200000000</v>
      </c>
      <c r="X101" s="645">
        <v>165617500</v>
      </c>
      <c r="Y101" s="645">
        <v>87886059</v>
      </c>
      <c r="Z101" s="645">
        <v>81877059</v>
      </c>
      <c r="AA101" s="645">
        <f t="shared" si="62"/>
        <v>0</v>
      </c>
      <c r="AB101" s="645">
        <f t="shared" si="62"/>
        <v>0</v>
      </c>
      <c r="AC101" s="645">
        <f t="shared" si="62"/>
        <v>0</v>
      </c>
      <c r="AD101" s="645">
        <f t="shared" si="62"/>
        <v>0</v>
      </c>
      <c r="AE101" s="645">
        <f t="shared" si="62"/>
        <v>0</v>
      </c>
      <c r="AF101" s="645">
        <f t="shared" si="62"/>
        <v>0</v>
      </c>
      <c r="AG101" s="645">
        <f t="shared" si="62"/>
        <v>0</v>
      </c>
      <c r="AH101" s="645">
        <f t="shared" si="62"/>
        <v>0</v>
      </c>
      <c r="AI101" s="645">
        <f t="shared" si="62"/>
        <v>0</v>
      </c>
      <c r="AJ101" s="645">
        <f t="shared" si="62"/>
        <v>0</v>
      </c>
      <c r="AK101" s="645">
        <f t="shared" si="62"/>
        <v>0</v>
      </c>
      <c r="AL101" s="645">
        <f t="shared" si="62"/>
        <v>0</v>
      </c>
      <c r="AM101" s="645">
        <f t="shared" si="62"/>
        <v>0</v>
      </c>
      <c r="AN101" s="645">
        <f t="shared" si="62"/>
        <v>0</v>
      </c>
      <c r="AO101" s="645">
        <f t="shared" si="62"/>
        <v>0</v>
      </c>
      <c r="AP101" s="645">
        <f t="shared" si="62"/>
        <v>0</v>
      </c>
      <c r="AQ101" s="645">
        <f t="shared" si="62"/>
        <v>0</v>
      </c>
      <c r="AR101" s="645">
        <f t="shared" si="62"/>
        <v>0</v>
      </c>
      <c r="AS101" s="645">
        <f t="shared" si="62"/>
        <v>0</v>
      </c>
      <c r="AT101" s="645">
        <f t="shared" si="62"/>
        <v>0</v>
      </c>
      <c r="AU101" s="645">
        <f t="shared" si="62"/>
        <v>0</v>
      </c>
      <c r="AV101" s="645">
        <f t="shared" si="62"/>
        <v>0</v>
      </c>
      <c r="AW101" s="645">
        <f t="shared" si="62"/>
        <v>0</v>
      </c>
      <c r="AX101" s="645">
        <f t="shared" si="62"/>
        <v>0</v>
      </c>
      <c r="AY101" s="645">
        <f t="shared" si="62"/>
        <v>0</v>
      </c>
      <c r="AZ101" s="645">
        <f t="shared" si="62"/>
        <v>0</v>
      </c>
      <c r="BA101" s="645">
        <f t="shared" si="62"/>
        <v>0</v>
      </c>
      <c r="BB101" s="645">
        <f t="shared" si="62"/>
        <v>0</v>
      </c>
      <c r="BC101" s="645">
        <f t="shared" si="62"/>
        <v>0</v>
      </c>
      <c r="BD101" s="645">
        <f t="shared" si="62"/>
        <v>0</v>
      </c>
      <c r="BE101" s="645">
        <f t="shared" si="62"/>
        <v>0</v>
      </c>
      <c r="BF101" s="645">
        <f t="shared" si="62"/>
        <v>0</v>
      </c>
      <c r="BG101" s="645">
        <f t="shared" si="62"/>
        <v>0</v>
      </c>
      <c r="BH101" s="645">
        <f t="shared" si="62"/>
        <v>0</v>
      </c>
      <c r="BI101" s="645">
        <f t="shared" si="62"/>
        <v>0</v>
      </c>
      <c r="BJ101" s="645">
        <f t="shared" si="62"/>
        <v>0</v>
      </c>
      <c r="BK101" s="645">
        <f t="shared" si="62"/>
        <v>0</v>
      </c>
      <c r="BL101" s="645">
        <f t="shared" si="62"/>
        <v>0</v>
      </c>
      <c r="BM101" s="645">
        <f t="shared" si="62"/>
        <v>0</v>
      </c>
      <c r="BN101" s="645">
        <f t="shared" si="62"/>
        <v>0</v>
      </c>
      <c r="BO101" s="645">
        <f t="shared" si="62"/>
        <v>0</v>
      </c>
      <c r="BP101" s="645">
        <f t="shared" si="62"/>
        <v>0</v>
      </c>
      <c r="BQ101" s="645">
        <f t="shared" si="62"/>
        <v>0</v>
      </c>
      <c r="BR101" s="645">
        <f t="shared" si="62"/>
        <v>0</v>
      </c>
      <c r="BS101" s="645">
        <v>7618296180</v>
      </c>
      <c r="BT101" s="645">
        <v>3118296179</v>
      </c>
      <c r="BU101" s="645">
        <v>66799646</v>
      </c>
      <c r="BV101" s="645">
        <f t="shared" ref="BV101:CC101" si="63">SUM(BV102:BV116)</f>
        <v>0</v>
      </c>
      <c r="BW101" s="645">
        <f t="shared" si="63"/>
        <v>0</v>
      </c>
      <c r="BX101" s="645">
        <f t="shared" si="63"/>
        <v>0</v>
      </c>
      <c r="BY101" s="645">
        <f t="shared" si="63"/>
        <v>0</v>
      </c>
      <c r="BZ101" s="645">
        <f t="shared" si="63"/>
        <v>0</v>
      </c>
      <c r="CA101" s="1000">
        <f t="shared" si="63"/>
        <v>999999999.99999976</v>
      </c>
      <c r="CB101" s="1000">
        <f t="shared" si="63"/>
        <v>877658219.00000012</v>
      </c>
      <c r="CC101" s="1000">
        <f t="shared" si="63"/>
        <v>585825954</v>
      </c>
      <c r="CD101" s="1000">
        <f>SUM(CD102:CD116)</f>
        <v>570511034</v>
      </c>
      <c r="CE101" s="1001">
        <f t="shared" si="43"/>
        <v>-2000000000.0000002</v>
      </c>
      <c r="CF101" s="1002">
        <f t="shared" si="44"/>
        <v>877658219.00000012</v>
      </c>
      <c r="CG101" s="1002">
        <f t="shared" si="44"/>
        <v>585825954</v>
      </c>
      <c r="CH101" s="643">
        <f t="shared" si="44"/>
        <v>570511034</v>
      </c>
      <c r="CI101" s="993"/>
      <c r="CK101" s="39"/>
      <c r="CL101" s="1009">
        <f>+'[5]Anexo 5.2.A'!Z122</f>
        <v>0</v>
      </c>
      <c r="CM101" s="1009">
        <f>+'[5]Anexo 5.2.A'!AA122</f>
        <v>0</v>
      </c>
      <c r="CN101" s="1009">
        <f>+'[5]Anexo 5.2.A'!AB122</f>
        <v>0</v>
      </c>
    </row>
    <row r="102" spans="1:92" s="996" customFormat="1" ht="33" x14ac:dyDescent="0.3">
      <c r="A102" s="1020" t="s">
        <v>343</v>
      </c>
      <c r="B102" s="1039">
        <v>0</v>
      </c>
      <c r="C102" s="991"/>
      <c r="D102" s="994"/>
      <c r="E102" s="994"/>
      <c r="F102" s="994"/>
      <c r="G102" s="994"/>
      <c r="H102" s="994"/>
      <c r="I102" s="994"/>
      <c r="J102" s="994"/>
      <c r="K102" s="994"/>
      <c r="L102" s="994"/>
      <c r="M102" s="994"/>
      <c r="N102" s="994"/>
      <c r="O102" s="994"/>
      <c r="P102" s="994"/>
      <c r="Q102" s="994"/>
      <c r="R102" s="994"/>
      <c r="S102" s="990"/>
      <c r="T102" s="990"/>
      <c r="U102" s="990"/>
      <c r="V102" s="1047"/>
      <c r="AA102" s="994"/>
      <c r="AB102" s="994"/>
      <c r="AC102" s="994"/>
      <c r="AD102" s="994"/>
      <c r="AE102" s="994"/>
      <c r="AF102" s="994"/>
      <c r="AG102" s="994"/>
      <c r="AH102" s="994"/>
      <c r="AI102" s="994"/>
      <c r="AJ102" s="994"/>
      <c r="AK102" s="994"/>
      <c r="AL102" s="994"/>
      <c r="AM102" s="994"/>
      <c r="AN102" s="994"/>
      <c r="AO102" s="994"/>
      <c r="AP102" s="994"/>
      <c r="AQ102" s="1048"/>
      <c r="AR102" s="1048"/>
      <c r="AS102" s="1048"/>
      <c r="AT102" s="1048"/>
      <c r="AU102" s="994"/>
      <c r="AV102" s="994"/>
      <c r="AW102" s="994"/>
      <c r="AX102" s="994"/>
      <c r="AY102" s="994"/>
      <c r="AZ102" s="994"/>
      <c r="BA102" s="994"/>
      <c r="BB102" s="994"/>
      <c r="BC102" s="994"/>
      <c r="BD102" s="994"/>
      <c r="BE102" s="994"/>
      <c r="BF102" s="994"/>
      <c r="BG102" s="994"/>
      <c r="BH102" s="994"/>
      <c r="BI102" s="994"/>
      <c r="BJ102" s="994"/>
      <c r="BK102" s="994"/>
      <c r="BL102" s="994"/>
      <c r="BM102" s="994"/>
      <c r="BN102" s="994"/>
      <c r="BO102" s="994"/>
      <c r="BP102" s="994"/>
      <c r="BQ102" s="994"/>
      <c r="BR102" s="994"/>
      <c r="BS102" s="1049"/>
      <c r="BT102" s="1049"/>
      <c r="BU102" s="1049"/>
      <c r="BV102" s="1050"/>
      <c r="BW102" s="1051"/>
      <c r="BX102" s="1051"/>
      <c r="BY102" s="1051"/>
      <c r="BZ102" s="1051"/>
      <c r="CA102" s="640">
        <f t="shared" si="52"/>
        <v>0</v>
      </c>
      <c r="CB102" s="640">
        <f t="shared" si="52"/>
        <v>0</v>
      </c>
      <c r="CC102" s="640">
        <f t="shared" si="52"/>
        <v>0</v>
      </c>
      <c r="CD102" s="640">
        <f t="shared" si="52"/>
        <v>0</v>
      </c>
      <c r="CE102" s="641">
        <f t="shared" si="43"/>
        <v>0</v>
      </c>
      <c r="CF102" s="642">
        <f t="shared" si="44"/>
        <v>-4188350378.4324846</v>
      </c>
      <c r="CG102" s="642">
        <f t="shared" si="44"/>
        <v>-1724364466.1707776</v>
      </c>
      <c r="CH102" s="643">
        <f t="shared" si="44"/>
        <v>0</v>
      </c>
      <c r="CI102" s="993"/>
      <c r="CK102" s="39" t="s">
        <v>343</v>
      </c>
      <c r="CL102" s="638">
        <v>4188350378.4324846</v>
      </c>
      <c r="CM102" s="638">
        <v>1724364466.1707776</v>
      </c>
    </row>
    <row r="103" spans="1:92" ht="33" x14ac:dyDescent="0.3">
      <c r="A103" s="1020" t="s">
        <v>1577</v>
      </c>
      <c r="B103" s="1039">
        <v>0</v>
      </c>
      <c r="C103" s="991"/>
      <c r="D103" s="988"/>
      <c r="E103" s="988"/>
      <c r="F103" s="988"/>
      <c r="G103" s="989"/>
      <c r="H103" s="989"/>
      <c r="I103" s="989"/>
      <c r="J103" s="989"/>
      <c r="K103" s="989"/>
      <c r="L103" s="989"/>
      <c r="M103" s="989"/>
      <c r="N103" s="989"/>
      <c r="O103" s="989"/>
      <c r="P103" s="989"/>
      <c r="Q103" s="989"/>
      <c r="R103" s="989"/>
      <c r="S103" s="990"/>
      <c r="T103" s="990"/>
      <c r="U103" s="990"/>
      <c r="V103" s="1047"/>
      <c r="W103" s="990"/>
      <c r="X103" s="990"/>
      <c r="Y103" s="990"/>
      <c r="Z103" s="1047"/>
      <c r="AA103" s="988"/>
      <c r="AB103" s="988"/>
      <c r="AC103" s="988"/>
      <c r="AD103" s="988"/>
      <c r="AE103" s="988"/>
      <c r="AF103" s="988"/>
      <c r="AG103" s="988"/>
      <c r="AH103" s="988"/>
      <c r="AI103" s="988"/>
      <c r="AJ103" s="988"/>
      <c r="AK103" s="988"/>
      <c r="AL103" s="988"/>
      <c r="AM103" s="988"/>
      <c r="AN103" s="988"/>
      <c r="AO103" s="988"/>
      <c r="AP103" s="988"/>
      <c r="AQ103" s="1048"/>
      <c r="AR103" s="1048"/>
      <c r="AS103" s="1048"/>
      <c r="AT103" s="1048"/>
      <c r="AU103" s="988"/>
      <c r="AV103" s="988"/>
      <c r="AW103" s="988"/>
      <c r="AX103" s="988"/>
      <c r="AY103" s="988"/>
      <c r="AZ103" s="988"/>
      <c r="BA103" s="988"/>
      <c r="BB103" s="988"/>
      <c r="BC103" s="988"/>
      <c r="BD103" s="988"/>
      <c r="BE103" s="988"/>
      <c r="BF103" s="988"/>
      <c r="BG103" s="988"/>
      <c r="BH103" s="988"/>
      <c r="BI103" s="988"/>
      <c r="BJ103" s="988"/>
      <c r="BK103" s="988"/>
      <c r="BL103" s="988"/>
      <c r="BM103" s="988"/>
      <c r="BN103" s="988"/>
      <c r="BO103" s="988"/>
      <c r="BP103" s="988"/>
      <c r="BQ103" s="988"/>
      <c r="BR103" s="988"/>
      <c r="BS103" s="1017"/>
      <c r="BT103" s="1017"/>
      <c r="BU103" s="1017"/>
      <c r="BV103" s="1017"/>
      <c r="BW103" s="1017"/>
      <c r="BX103" s="1017"/>
      <c r="BY103" s="1017"/>
      <c r="BZ103" s="1017"/>
      <c r="CA103" s="640">
        <f t="shared" si="52"/>
        <v>0</v>
      </c>
      <c r="CB103" s="640">
        <f t="shared" si="52"/>
        <v>0</v>
      </c>
      <c r="CC103" s="640">
        <f t="shared" si="52"/>
        <v>0</v>
      </c>
      <c r="CD103" s="640">
        <f t="shared" si="52"/>
        <v>0</v>
      </c>
      <c r="CE103" s="641">
        <f t="shared" si="43"/>
        <v>0</v>
      </c>
      <c r="CF103" s="642">
        <f t="shared" si="44"/>
        <v>-1359990670.909894</v>
      </c>
      <c r="CG103" s="642">
        <f t="shared" si="44"/>
        <v>-559914853.1882025</v>
      </c>
      <c r="CH103" s="643">
        <f t="shared" si="44"/>
        <v>0</v>
      </c>
      <c r="CK103" s="39" t="s">
        <v>347</v>
      </c>
      <c r="CL103" s="638">
        <v>1359990670.909894</v>
      </c>
      <c r="CM103" s="638">
        <v>559914853.1882025</v>
      </c>
    </row>
    <row r="104" spans="1:92" ht="33" x14ac:dyDescent="0.3">
      <c r="A104" s="1020" t="s">
        <v>349</v>
      </c>
      <c r="B104" s="639">
        <v>230769230.76923078</v>
      </c>
      <c r="C104" s="991">
        <f>C$101*(B104/B$101)</f>
        <v>76923076.923076928</v>
      </c>
      <c r="D104" s="991">
        <f t="shared" ref="D104:F104" si="64">D$101*(C104/C$101)</f>
        <v>67512170.692307696</v>
      </c>
      <c r="E104" s="991">
        <f t="shared" si="64"/>
        <v>45063534.923076928</v>
      </c>
      <c r="F104" s="991">
        <f t="shared" si="64"/>
        <v>43885464.15384616</v>
      </c>
      <c r="G104" s="989"/>
      <c r="H104" s="989"/>
      <c r="I104" s="989"/>
      <c r="J104" s="989"/>
      <c r="K104" s="989"/>
      <c r="L104" s="989"/>
      <c r="M104" s="989"/>
      <c r="N104" s="989"/>
      <c r="O104" s="989"/>
      <c r="P104" s="989"/>
      <c r="Q104" s="989"/>
      <c r="R104" s="989"/>
      <c r="S104" s="990"/>
      <c r="T104" s="990"/>
      <c r="U104" s="990"/>
      <c r="V104" s="1047"/>
      <c r="W104" s="990"/>
      <c r="X104" s="990"/>
      <c r="Y104" s="990"/>
      <c r="Z104" s="1047"/>
      <c r="AA104" s="988"/>
      <c r="AB104" s="988"/>
      <c r="AC104" s="988"/>
      <c r="AD104" s="988"/>
      <c r="AE104" s="988"/>
      <c r="AF104" s="988"/>
      <c r="AG104" s="988"/>
      <c r="AH104" s="988"/>
      <c r="AI104" s="991"/>
      <c r="AJ104" s="988"/>
      <c r="AK104" s="988"/>
      <c r="AL104" s="988"/>
      <c r="AM104" s="988"/>
      <c r="AN104" s="988"/>
      <c r="AO104" s="988"/>
      <c r="AP104" s="988"/>
      <c r="AQ104" s="1048"/>
      <c r="AR104" s="1048"/>
      <c r="AS104" s="1048"/>
      <c r="AT104" s="1048"/>
      <c r="AU104" s="988"/>
      <c r="AV104" s="988"/>
      <c r="AW104" s="988"/>
      <c r="AX104" s="988"/>
      <c r="AY104" s="990"/>
      <c r="AZ104" s="988"/>
      <c r="BA104" s="988"/>
      <c r="BB104" s="988"/>
      <c r="BC104" s="988"/>
      <c r="BD104" s="988"/>
      <c r="BE104" s="988"/>
      <c r="BF104" s="988"/>
      <c r="BG104" s="988"/>
      <c r="BH104" s="988"/>
      <c r="BI104" s="988"/>
      <c r="BJ104" s="988"/>
      <c r="BK104" s="988"/>
      <c r="BL104" s="988"/>
      <c r="BM104" s="988"/>
      <c r="BN104" s="988"/>
      <c r="BO104" s="988"/>
      <c r="BP104" s="988"/>
      <c r="BQ104" s="988"/>
      <c r="BR104" s="988"/>
      <c r="BS104" s="1017"/>
      <c r="BT104" s="1017"/>
      <c r="BU104" s="1017"/>
      <c r="BV104" s="1017"/>
      <c r="BW104" s="1017"/>
      <c r="BX104" s="1017"/>
      <c r="BY104" s="1017"/>
      <c r="BZ104" s="1017"/>
      <c r="CA104" s="640">
        <f t="shared" si="52"/>
        <v>76923076.923076928</v>
      </c>
      <c r="CB104" s="640">
        <f t="shared" si="52"/>
        <v>67512170.692307696</v>
      </c>
      <c r="CC104" s="640">
        <f t="shared" si="52"/>
        <v>45063534.923076928</v>
      </c>
      <c r="CD104" s="640">
        <f t="shared" si="52"/>
        <v>43885464.15384616</v>
      </c>
      <c r="CE104" s="641">
        <f t="shared" si="43"/>
        <v>-153846153.84615386</v>
      </c>
      <c r="CF104" s="642">
        <f t="shared" si="44"/>
        <v>18941075.302668616</v>
      </c>
      <c r="CG104" s="642">
        <f t="shared" si="44"/>
        <v>25066575.880641121</v>
      </c>
      <c r="CH104" s="643">
        <f t="shared" si="44"/>
        <v>43885464.15384616</v>
      </c>
      <c r="CK104" s="39" t="s">
        <v>349</v>
      </c>
      <c r="CL104" s="638">
        <v>48571095.38963908</v>
      </c>
      <c r="CM104" s="638">
        <v>19996959.042435806</v>
      </c>
    </row>
    <row r="105" spans="1:92" s="996" customFormat="1" ht="33" x14ac:dyDescent="0.3">
      <c r="A105" s="1020" t="s">
        <v>351</v>
      </c>
      <c r="B105" s="639">
        <v>230769230.76923078</v>
      </c>
      <c r="C105" s="991">
        <f t="shared" ref="C105:F116" si="65">C$101*(B105/B$101)</f>
        <v>76923076.923076928</v>
      </c>
      <c r="D105" s="991">
        <f t="shared" si="65"/>
        <v>67512170.692307696</v>
      </c>
      <c r="E105" s="991">
        <f t="shared" si="65"/>
        <v>45063534.923076928</v>
      </c>
      <c r="F105" s="991">
        <f t="shared" si="65"/>
        <v>43885464.15384616</v>
      </c>
      <c r="G105" s="994"/>
      <c r="H105" s="994"/>
      <c r="I105" s="994"/>
      <c r="J105" s="994"/>
      <c r="K105" s="994"/>
      <c r="L105" s="994"/>
      <c r="M105" s="994"/>
      <c r="N105" s="994"/>
      <c r="O105" s="994"/>
      <c r="P105" s="994"/>
      <c r="Q105" s="994"/>
      <c r="R105" s="994"/>
      <c r="S105" s="1052"/>
      <c r="T105" s="990"/>
      <c r="U105" s="990"/>
      <c r="V105" s="1047"/>
      <c r="W105" s="990"/>
      <c r="X105" s="990"/>
      <c r="Y105" s="990"/>
      <c r="Z105" s="1047"/>
      <c r="AA105" s="994"/>
      <c r="AB105" s="994"/>
      <c r="AC105" s="994"/>
      <c r="AD105" s="994"/>
      <c r="AE105" s="994"/>
      <c r="AF105" s="994"/>
      <c r="AG105" s="994"/>
      <c r="AH105" s="994"/>
      <c r="AI105" s="994"/>
      <c r="AJ105" s="994"/>
      <c r="AK105" s="994"/>
      <c r="AL105" s="994"/>
      <c r="AM105" s="994"/>
      <c r="AN105" s="994"/>
      <c r="AO105" s="994"/>
      <c r="AP105" s="994"/>
      <c r="AQ105" s="1048"/>
      <c r="AR105" s="1048"/>
      <c r="AS105" s="1048"/>
      <c r="AT105" s="1048"/>
      <c r="AU105" s="994"/>
      <c r="AV105" s="994"/>
      <c r="AW105" s="994"/>
      <c r="AX105" s="994"/>
      <c r="AY105" s="994"/>
      <c r="AZ105" s="994"/>
      <c r="BA105" s="994"/>
      <c r="BB105" s="994"/>
      <c r="BC105" s="994"/>
      <c r="BD105" s="994"/>
      <c r="BE105" s="994"/>
      <c r="BF105" s="994"/>
      <c r="BG105" s="994"/>
      <c r="BH105" s="994"/>
      <c r="BI105" s="994"/>
      <c r="BJ105" s="994"/>
      <c r="BK105" s="994"/>
      <c r="BL105" s="994"/>
      <c r="BM105" s="994"/>
      <c r="BN105" s="994"/>
      <c r="BO105" s="994"/>
      <c r="BP105" s="994"/>
      <c r="BQ105" s="994"/>
      <c r="BR105" s="994"/>
      <c r="BS105" s="1017"/>
      <c r="BT105" s="1017"/>
      <c r="BU105" s="1017"/>
      <c r="BV105" s="1017"/>
      <c r="BW105" s="1017"/>
      <c r="BX105" s="1017"/>
      <c r="BY105" s="1017"/>
      <c r="BZ105" s="1017"/>
      <c r="CA105" s="640">
        <f t="shared" si="52"/>
        <v>76923076.923076928</v>
      </c>
      <c r="CB105" s="640">
        <f t="shared" si="52"/>
        <v>67512170.692307696</v>
      </c>
      <c r="CC105" s="640">
        <f t="shared" si="52"/>
        <v>45063534.923076928</v>
      </c>
      <c r="CD105" s="640">
        <f t="shared" si="52"/>
        <v>43885464.15384616</v>
      </c>
      <c r="CE105" s="641">
        <f t="shared" si="43"/>
        <v>-153846153.84615386</v>
      </c>
      <c r="CF105" s="642">
        <f t="shared" si="44"/>
        <v>-126772210.86624862</v>
      </c>
      <c r="CG105" s="642">
        <f t="shared" si="44"/>
        <v>-34924301.246666297</v>
      </c>
      <c r="CH105" s="997">
        <f t="shared" si="44"/>
        <v>43885464.15384616</v>
      </c>
      <c r="CK105" s="39" t="s">
        <v>351</v>
      </c>
      <c r="CL105" s="638">
        <v>194284381.55855632</v>
      </c>
      <c r="CM105" s="638">
        <v>79987836.169743225</v>
      </c>
    </row>
    <row r="106" spans="1:92" ht="33" x14ac:dyDescent="0.3">
      <c r="A106" s="1020" t="s">
        <v>353</v>
      </c>
      <c r="B106" s="639">
        <v>230769230.76923078</v>
      </c>
      <c r="C106" s="991">
        <f t="shared" si="65"/>
        <v>76923076.923076928</v>
      </c>
      <c r="D106" s="991">
        <f t="shared" si="65"/>
        <v>67512170.692307696</v>
      </c>
      <c r="E106" s="991">
        <f t="shared" si="65"/>
        <v>45063534.923076928</v>
      </c>
      <c r="F106" s="991">
        <f t="shared" si="65"/>
        <v>43885464.15384616</v>
      </c>
      <c r="G106" s="989"/>
      <c r="H106" s="989"/>
      <c r="I106" s="989"/>
      <c r="J106" s="989"/>
      <c r="K106" s="989"/>
      <c r="L106" s="989"/>
      <c r="M106" s="989"/>
      <c r="N106" s="989"/>
      <c r="O106" s="989"/>
      <c r="P106" s="989"/>
      <c r="Q106" s="989"/>
      <c r="R106" s="989"/>
      <c r="S106" s="1052"/>
      <c r="T106" s="990"/>
      <c r="U106" s="990"/>
      <c r="V106" s="1047"/>
      <c r="W106" s="990"/>
      <c r="X106" s="990"/>
      <c r="Y106" s="990"/>
      <c r="Z106" s="1047"/>
      <c r="AA106" s="988"/>
      <c r="AB106" s="988"/>
      <c r="AC106" s="988"/>
      <c r="AD106" s="988"/>
      <c r="AE106" s="988"/>
      <c r="AF106" s="988"/>
      <c r="AG106" s="988"/>
      <c r="AH106" s="988"/>
      <c r="AI106" s="988"/>
      <c r="AJ106" s="988"/>
      <c r="AK106" s="988"/>
      <c r="AL106" s="988"/>
      <c r="AM106" s="988"/>
      <c r="AN106" s="988"/>
      <c r="AO106" s="988"/>
      <c r="AP106" s="988"/>
      <c r="AQ106" s="1048"/>
      <c r="AR106" s="1048"/>
      <c r="AS106" s="1048"/>
      <c r="AT106" s="1048"/>
      <c r="AU106" s="988"/>
      <c r="AV106" s="988"/>
      <c r="AW106" s="988"/>
      <c r="AX106" s="988"/>
      <c r="AY106" s="988"/>
      <c r="AZ106" s="988"/>
      <c r="BA106" s="988"/>
      <c r="BB106" s="988"/>
      <c r="BC106" s="988"/>
      <c r="BD106" s="988"/>
      <c r="BE106" s="988"/>
      <c r="BF106" s="988"/>
      <c r="BG106" s="988"/>
      <c r="BH106" s="988"/>
      <c r="BI106" s="988"/>
      <c r="BJ106" s="988"/>
      <c r="BK106" s="988"/>
      <c r="BL106" s="988"/>
      <c r="BM106" s="988"/>
      <c r="BN106" s="988"/>
      <c r="BO106" s="988"/>
      <c r="BP106" s="988"/>
      <c r="BQ106" s="988"/>
      <c r="BR106" s="988"/>
      <c r="BS106" s="1017"/>
      <c r="BT106" s="1017"/>
      <c r="BU106" s="1017"/>
      <c r="BV106" s="1017"/>
      <c r="BW106" s="1017"/>
      <c r="BX106" s="1017"/>
      <c r="BY106" s="1017"/>
      <c r="BZ106" s="1017"/>
      <c r="CA106" s="640">
        <f t="shared" si="52"/>
        <v>76923076.923076928</v>
      </c>
      <c r="CB106" s="640">
        <f t="shared" si="52"/>
        <v>67512170.692307696</v>
      </c>
      <c r="CC106" s="640">
        <f t="shared" si="52"/>
        <v>45063534.923076928</v>
      </c>
      <c r="CD106" s="640">
        <f t="shared" si="52"/>
        <v>43885464.15384616</v>
      </c>
      <c r="CE106" s="641">
        <f t="shared" si="43"/>
        <v>-153846153.84615386</v>
      </c>
      <c r="CF106" s="642">
        <f t="shared" si="44"/>
        <v>-175343306.25588775</v>
      </c>
      <c r="CG106" s="642">
        <f t="shared" si="44"/>
        <v>-54921260.289102092</v>
      </c>
      <c r="CH106" s="643">
        <f t="shared" si="44"/>
        <v>43885464.15384616</v>
      </c>
      <c r="CK106" s="39" t="s">
        <v>353</v>
      </c>
      <c r="CL106" s="638">
        <v>242855476.94819543</v>
      </c>
      <c r="CM106" s="638">
        <v>99984795.21217902</v>
      </c>
    </row>
    <row r="107" spans="1:92" ht="33" x14ac:dyDescent="0.3">
      <c r="A107" s="1020" t="s">
        <v>356</v>
      </c>
      <c r="B107" s="639">
        <v>230769230.76923078</v>
      </c>
      <c r="C107" s="991">
        <f t="shared" si="65"/>
        <v>76923076.923076928</v>
      </c>
      <c r="D107" s="991">
        <f t="shared" si="65"/>
        <v>67512170.692307696</v>
      </c>
      <c r="E107" s="991">
        <f t="shared" si="65"/>
        <v>45063534.923076928</v>
      </c>
      <c r="F107" s="991">
        <f t="shared" si="65"/>
        <v>43885464.15384616</v>
      </c>
      <c r="G107" s="989"/>
      <c r="H107" s="989"/>
      <c r="I107" s="989"/>
      <c r="J107" s="989"/>
      <c r="K107" s="989"/>
      <c r="L107" s="989"/>
      <c r="M107" s="989"/>
      <c r="N107" s="989"/>
      <c r="O107" s="989"/>
      <c r="P107" s="989"/>
      <c r="Q107" s="989"/>
      <c r="R107" s="989"/>
      <c r="S107" s="1052"/>
      <c r="T107" s="990"/>
      <c r="U107" s="990"/>
      <c r="V107" s="1047"/>
      <c r="W107" s="990"/>
      <c r="X107" s="990"/>
      <c r="Y107" s="990"/>
      <c r="Z107" s="1047"/>
      <c r="AA107" s="988"/>
      <c r="AB107" s="988"/>
      <c r="AC107" s="988"/>
      <c r="AD107" s="988"/>
      <c r="AE107" s="988"/>
      <c r="AF107" s="988"/>
      <c r="AG107" s="988"/>
      <c r="AH107" s="988"/>
      <c r="AI107" s="991"/>
      <c r="AJ107" s="988"/>
      <c r="AK107" s="988"/>
      <c r="AL107" s="988"/>
      <c r="AM107" s="988"/>
      <c r="AN107" s="988"/>
      <c r="AO107" s="988"/>
      <c r="AP107" s="988"/>
      <c r="AQ107" s="1048"/>
      <c r="AR107" s="1048"/>
      <c r="AS107" s="1048"/>
      <c r="AT107" s="1048"/>
      <c r="AU107" s="988"/>
      <c r="AV107" s="988"/>
      <c r="AW107" s="988"/>
      <c r="AX107" s="988"/>
      <c r="AY107" s="1048"/>
      <c r="AZ107" s="988"/>
      <c r="BA107" s="988"/>
      <c r="BB107" s="988"/>
      <c r="BC107" s="988"/>
      <c r="BD107" s="988"/>
      <c r="BE107" s="988"/>
      <c r="BF107" s="988"/>
      <c r="BG107" s="988"/>
      <c r="BH107" s="988"/>
      <c r="BI107" s="988"/>
      <c r="BJ107" s="988"/>
      <c r="BK107" s="988"/>
      <c r="BL107" s="988"/>
      <c r="BM107" s="988"/>
      <c r="BN107" s="988"/>
      <c r="BO107" s="988"/>
      <c r="BP107" s="988"/>
      <c r="BQ107" s="988"/>
      <c r="BR107" s="988"/>
      <c r="BS107" s="1017"/>
      <c r="BT107" s="1017"/>
      <c r="BU107" s="1017"/>
      <c r="BV107" s="1017"/>
      <c r="BW107" s="1017"/>
      <c r="BX107" s="1017"/>
      <c r="BY107" s="1017"/>
      <c r="BZ107" s="1017"/>
      <c r="CA107" s="640">
        <f t="shared" si="52"/>
        <v>76923076.923076928</v>
      </c>
      <c r="CB107" s="640">
        <f t="shared" si="52"/>
        <v>67512170.692307696</v>
      </c>
      <c r="CC107" s="640">
        <f t="shared" si="52"/>
        <v>45063534.923076928</v>
      </c>
      <c r="CD107" s="640">
        <f t="shared" si="52"/>
        <v>43885464.15384616</v>
      </c>
      <c r="CE107" s="641">
        <f t="shared" si="43"/>
        <v>-153846153.84615386</v>
      </c>
      <c r="CF107" s="642">
        <f t="shared" si="44"/>
        <v>-126772210.86624862</v>
      </c>
      <c r="CG107" s="642">
        <f t="shared" si="44"/>
        <v>-34924301.246666297</v>
      </c>
      <c r="CH107" s="643">
        <f t="shared" si="44"/>
        <v>43885464.15384616</v>
      </c>
      <c r="CK107" s="39" t="s">
        <v>356</v>
      </c>
      <c r="CL107" s="638">
        <v>194284381.55855632</v>
      </c>
      <c r="CM107" s="638">
        <v>79987836.169743225</v>
      </c>
    </row>
    <row r="108" spans="1:92" ht="38.25" x14ac:dyDescent="0.3">
      <c r="A108" s="1020" t="s">
        <v>359</v>
      </c>
      <c r="B108" s="639">
        <v>230769230.76923078</v>
      </c>
      <c r="C108" s="991">
        <f t="shared" si="65"/>
        <v>76923076.923076928</v>
      </c>
      <c r="D108" s="991">
        <f t="shared" si="65"/>
        <v>67512170.692307696</v>
      </c>
      <c r="E108" s="991">
        <f t="shared" si="65"/>
        <v>45063534.923076928</v>
      </c>
      <c r="F108" s="991">
        <f t="shared" si="65"/>
        <v>43885464.15384616</v>
      </c>
      <c r="G108" s="989"/>
      <c r="H108" s="989"/>
      <c r="I108" s="989"/>
      <c r="J108" s="989"/>
      <c r="K108" s="989"/>
      <c r="L108" s="989"/>
      <c r="M108" s="989"/>
      <c r="N108" s="989"/>
      <c r="O108" s="989"/>
      <c r="P108" s="989"/>
      <c r="Q108" s="989"/>
      <c r="R108" s="989"/>
      <c r="S108" s="990"/>
      <c r="T108" s="990"/>
      <c r="U108" s="990"/>
      <c r="V108" s="1047"/>
      <c r="W108" s="990"/>
      <c r="X108" s="990"/>
      <c r="Y108" s="990"/>
      <c r="Z108" s="1047"/>
      <c r="AA108" s="988"/>
      <c r="AB108" s="988"/>
      <c r="AC108" s="988"/>
      <c r="AD108" s="988"/>
      <c r="AE108" s="988"/>
      <c r="AF108" s="988"/>
      <c r="AG108" s="988"/>
      <c r="AH108" s="988"/>
      <c r="AI108" s="988"/>
      <c r="AJ108" s="988"/>
      <c r="AK108" s="988"/>
      <c r="AL108" s="988"/>
      <c r="AM108" s="988"/>
      <c r="AN108" s="988"/>
      <c r="AO108" s="988"/>
      <c r="AP108" s="988"/>
      <c r="AQ108" s="1048"/>
      <c r="AR108" s="1048"/>
      <c r="AS108" s="1048"/>
      <c r="AT108" s="1048"/>
      <c r="AU108" s="988"/>
      <c r="AV108" s="988"/>
      <c r="AW108" s="988"/>
      <c r="AX108" s="988"/>
      <c r="AY108" s="988"/>
      <c r="AZ108" s="988"/>
      <c r="BA108" s="988"/>
      <c r="BB108" s="988"/>
      <c r="BC108" s="988"/>
      <c r="BD108" s="988"/>
      <c r="BE108" s="988"/>
      <c r="BF108" s="988"/>
      <c r="BG108" s="988"/>
      <c r="BH108" s="988"/>
      <c r="BI108" s="988"/>
      <c r="BJ108" s="988"/>
      <c r="BK108" s="988"/>
      <c r="BL108" s="988"/>
      <c r="BM108" s="988"/>
      <c r="BN108" s="988"/>
      <c r="BO108" s="988"/>
      <c r="BP108" s="988"/>
      <c r="BQ108" s="988"/>
      <c r="BR108" s="988"/>
      <c r="BS108" s="1017"/>
      <c r="BT108" s="1017"/>
      <c r="BU108" s="1017"/>
      <c r="BV108" s="1017"/>
      <c r="BW108" s="1017"/>
      <c r="BX108" s="1017"/>
      <c r="BY108" s="1017"/>
      <c r="BZ108" s="1017"/>
      <c r="CA108" s="640">
        <f t="shared" si="52"/>
        <v>76923076.923076928</v>
      </c>
      <c r="CB108" s="640">
        <f t="shared" si="52"/>
        <v>67512170.692307696</v>
      </c>
      <c r="CC108" s="640">
        <f t="shared" si="52"/>
        <v>45063534.923076928</v>
      </c>
      <c r="CD108" s="640">
        <f t="shared" si="52"/>
        <v>43885464.15384616</v>
      </c>
      <c r="CE108" s="641">
        <f t="shared" si="43"/>
        <v>-153846153.84615386</v>
      </c>
      <c r="CF108" s="642">
        <f t="shared" si="44"/>
        <v>-126772210.86624862</v>
      </c>
      <c r="CG108" s="642">
        <f t="shared" si="44"/>
        <v>-34924301.246666297</v>
      </c>
      <c r="CH108" s="643">
        <f t="shared" si="44"/>
        <v>43885464.15384616</v>
      </c>
      <c r="CK108" s="39" t="s">
        <v>359</v>
      </c>
      <c r="CL108" s="638">
        <v>194284381.55855632</v>
      </c>
      <c r="CM108" s="638">
        <v>79987836.169743225</v>
      </c>
    </row>
    <row r="109" spans="1:92" x14ac:dyDescent="0.3">
      <c r="A109" s="1020" t="s">
        <v>1578</v>
      </c>
      <c r="B109" s="639">
        <v>230769230.76923078</v>
      </c>
      <c r="C109" s="991">
        <f t="shared" si="65"/>
        <v>76923076.923076928</v>
      </c>
      <c r="D109" s="991">
        <f t="shared" si="65"/>
        <v>67512170.692307696</v>
      </c>
      <c r="E109" s="991">
        <f t="shared" si="65"/>
        <v>45063534.923076928</v>
      </c>
      <c r="F109" s="991">
        <f t="shared" si="65"/>
        <v>43885464.15384616</v>
      </c>
      <c r="G109" s="989"/>
      <c r="H109" s="989"/>
      <c r="I109" s="989"/>
      <c r="J109" s="989"/>
      <c r="K109" s="989"/>
      <c r="L109" s="989"/>
      <c r="M109" s="989"/>
      <c r="N109" s="989"/>
      <c r="O109" s="989"/>
      <c r="P109" s="989"/>
      <c r="Q109" s="989"/>
      <c r="R109" s="989"/>
      <c r="S109" s="990"/>
      <c r="T109" s="990"/>
      <c r="U109" s="990"/>
      <c r="V109" s="1047"/>
      <c r="W109" s="990"/>
      <c r="X109" s="990"/>
      <c r="Y109" s="990"/>
      <c r="Z109" s="1047"/>
      <c r="AA109" s="988"/>
      <c r="AB109" s="988"/>
      <c r="AC109" s="988"/>
      <c r="AD109" s="988"/>
      <c r="AE109" s="988"/>
      <c r="AF109" s="988"/>
      <c r="AG109" s="988"/>
      <c r="AH109" s="988"/>
      <c r="AI109" s="988"/>
      <c r="AJ109" s="988"/>
      <c r="AK109" s="988"/>
      <c r="AL109" s="988"/>
      <c r="AM109" s="988"/>
      <c r="AN109" s="988"/>
      <c r="AO109" s="988"/>
      <c r="AP109" s="988"/>
      <c r="AQ109" s="1048"/>
      <c r="AR109" s="1048"/>
      <c r="AS109" s="1048"/>
      <c r="AT109" s="1048"/>
      <c r="AU109" s="988"/>
      <c r="AV109" s="988"/>
      <c r="AW109" s="988"/>
      <c r="AX109" s="988"/>
      <c r="AY109" s="988"/>
      <c r="AZ109" s="988"/>
      <c r="BA109" s="988"/>
      <c r="BB109" s="988"/>
      <c r="BC109" s="988"/>
      <c r="BD109" s="988"/>
      <c r="BE109" s="988"/>
      <c r="BF109" s="988"/>
      <c r="BG109" s="988"/>
      <c r="BH109" s="988"/>
      <c r="BI109" s="988"/>
      <c r="BJ109" s="988"/>
      <c r="BK109" s="988"/>
      <c r="BL109" s="988"/>
      <c r="BM109" s="988"/>
      <c r="BN109" s="988"/>
      <c r="BO109" s="988"/>
      <c r="BP109" s="988"/>
      <c r="BQ109" s="988"/>
      <c r="BR109" s="988"/>
      <c r="BS109" s="1017"/>
      <c r="BT109" s="1017"/>
      <c r="BU109" s="1017"/>
      <c r="BV109" s="1017"/>
      <c r="BW109" s="1017"/>
      <c r="BX109" s="1017"/>
      <c r="BY109" s="1017"/>
      <c r="BZ109" s="1017"/>
      <c r="CA109" s="640">
        <f t="shared" si="52"/>
        <v>76923076.923076928</v>
      </c>
      <c r="CB109" s="640">
        <f t="shared" si="52"/>
        <v>67512170.692307696</v>
      </c>
      <c r="CC109" s="640">
        <f t="shared" si="52"/>
        <v>45063534.923076928</v>
      </c>
      <c r="CD109" s="640">
        <f t="shared" si="52"/>
        <v>43885464.15384616</v>
      </c>
      <c r="CE109" s="641">
        <f t="shared" si="43"/>
        <v>-153846153.84615386</v>
      </c>
      <c r="CF109" s="642">
        <f t="shared" si="44"/>
        <v>-321056592.42480493</v>
      </c>
      <c r="CG109" s="642">
        <f t="shared" si="44"/>
        <v>-114912137.41640952</v>
      </c>
      <c r="CH109" s="643">
        <f t="shared" si="44"/>
        <v>43885464.15384616</v>
      </c>
      <c r="CK109" s="39" t="s">
        <v>361</v>
      </c>
      <c r="CL109" s="638">
        <v>388568763.11711264</v>
      </c>
      <c r="CM109" s="638">
        <v>159975672.33948645</v>
      </c>
    </row>
    <row r="110" spans="1:92" x14ac:dyDescent="0.3">
      <c r="A110" s="1020" t="s">
        <v>1579</v>
      </c>
      <c r="B110" s="639">
        <v>230769230.76923078</v>
      </c>
      <c r="C110" s="991">
        <f t="shared" si="65"/>
        <v>76923076.923076928</v>
      </c>
      <c r="D110" s="991">
        <f t="shared" si="65"/>
        <v>67512170.692307696</v>
      </c>
      <c r="E110" s="991">
        <f t="shared" si="65"/>
        <v>45063534.923076928</v>
      </c>
      <c r="F110" s="991">
        <f t="shared" si="65"/>
        <v>43885464.15384616</v>
      </c>
      <c r="G110" s="989"/>
      <c r="H110" s="989"/>
      <c r="I110" s="989"/>
      <c r="J110" s="989"/>
      <c r="K110" s="989"/>
      <c r="L110" s="989"/>
      <c r="M110" s="989"/>
      <c r="N110" s="989"/>
      <c r="O110" s="989"/>
      <c r="P110" s="989"/>
      <c r="Q110" s="989"/>
      <c r="R110" s="989"/>
      <c r="S110" s="990"/>
      <c r="T110" s="990"/>
      <c r="U110" s="990"/>
      <c r="V110" s="1047"/>
      <c r="W110" s="1048"/>
      <c r="X110" s="990"/>
      <c r="Y110" s="990"/>
      <c r="Z110" s="1047"/>
      <c r="AA110" s="988"/>
      <c r="AB110" s="988"/>
      <c r="AC110" s="988"/>
      <c r="AD110" s="988"/>
      <c r="AE110" s="988"/>
      <c r="AF110" s="988"/>
      <c r="AG110" s="988"/>
      <c r="AH110" s="988"/>
      <c r="AI110" s="988"/>
      <c r="AJ110" s="988"/>
      <c r="AK110" s="988"/>
      <c r="AL110" s="988"/>
      <c r="AM110" s="988"/>
      <c r="AN110" s="988"/>
      <c r="AO110" s="988"/>
      <c r="AP110" s="988"/>
      <c r="AQ110" s="1048"/>
      <c r="AR110" s="1048"/>
      <c r="AS110" s="1048"/>
      <c r="AT110" s="1048"/>
      <c r="AU110" s="988"/>
      <c r="AV110" s="988"/>
      <c r="AW110" s="988"/>
      <c r="AX110" s="988"/>
      <c r="AY110" s="988"/>
      <c r="AZ110" s="988"/>
      <c r="BA110" s="988"/>
      <c r="BB110" s="988"/>
      <c r="BC110" s="988"/>
      <c r="BD110" s="988"/>
      <c r="BE110" s="988"/>
      <c r="BF110" s="988"/>
      <c r="BG110" s="988"/>
      <c r="BH110" s="988"/>
      <c r="BI110" s="988"/>
      <c r="BJ110" s="988"/>
      <c r="BK110" s="988"/>
      <c r="BL110" s="988"/>
      <c r="BM110" s="988"/>
      <c r="BN110" s="988"/>
      <c r="BO110" s="988"/>
      <c r="BP110" s="988"/>
      <c r="BQ110" s="988"/>
      <c r="BR110" s="988"/>
      <c r="BS110" s="1017"/>
      <c r="BT110" s="1017"/>
      <c r="BU110" s="1017"/>
      <c r="BV110" s="1017"/>
      <c r="BW110" s="1017"/>
      <c r="BX110" s="1017"/>
      <c r="BY110" s="1017"/>
      <c r="BZ110" s="1017"/>
      <c r="CA110" s="640">
        <f t="shared" si="52"/>
        <v>76923076.923076928</v>
      </c>
      <c r="CB110" s="640">
        <f t="shared" si="52"/>
        <v>67512170.692307696</v>
      </c>
      <c r="CC110" s="640">
        <f t="shared" si="52"/>
        <v>45063534.923076928</v>
      </c>
      <c r="CD110" s="640">
        <f t="shared" si="52"/>
        <v>43885464.15384616</v>
      </c>
      <c r="CE110" s="641">
        <f t="shared" si="43"/>
        <v>-153846153.84615386</v>
      </c>
      <c r="CF110" s="642">
        <f t="shared" si="44"/>
        <v>-126772210.86624862</v>
      </c>
      <c r="CG110" s="642">
        <f t="shared" si="44"/>
        <v>-34924301.246666297</v>
      </c>
      <c r="CH110" s="643">
        <f t="shared" si="44"/>
        <v>43885464.15384616</v>
      </c>
      <c r="CK110" s="39" t="s">
        <v>363</v>
      </c>
      <c r="CL110" s="638">
        <v>194284381.55855632</v>
      </c>
      <c r="CM110" s="638">
        <v>79987836.169743225</v>
      </c>
    </row>
    <row r="111" spans="1:92" s="996" customFormat="1" x14ac:dyDescent="0.3">
      <c r="A111" s="1020" t="s">
        <v>1580</v>
      </c>
      <c r="B111" s="639">
        <v>230769230.76923078</v>
      </c>
      <c r="C111" s="991">
        <f t="shared" si="65"/>
        <v>76923076.923076928</v>
      </c>
      <c r="D111" s="991">
        <f t="shared" si="65"/>
        <v>67512170.692307696</v>
      </c>
      <c r="E111" s="991">
        <f t="shared" si="65"/>
        <v>45063534.923076928</v>
      </c>
      <c r="F111" s="991">
        <f t="shared" si="65"/>
        <v>43885464.15384616</v>
      </c>
      <c r="G111" s="994"/>
      <c r="H111" s="994"/>
      <c r="I111" s="994"/>
      <c r="J111" s="994"/>
      <c r="K111" s="994"/>
      <c r="L111" s="994"/>
      <c r="M111" s="994"/>
      <c r="N111" s="994"/>
      <c r="O111" s="994"/>
      <c r="P111" s="994"/>
      <c r="Q111" s="994"/>
      <c r="R111" s="994"/>
      <c r="S111" s="990"/>
      <c r="T111" s="990"/>
      <c r="U111" s="990"/>
      <c r="V111" s="1047"/>
      <c r="W111" s="990"/>
      <c r="X111" s="990"/>
      <c r="Y111" s="990"/>
      <c r="Z111" s="1047"/>
      <c r="AA111" s="994"/>
      <c r="AB111" s="994"/>
      <c r="AC111" s="994"/>
      <c r="AD111" s="994"/>
      <c r="AE111" s="994"/>
      <c r="AF111" s="994"/>
      <c r="AG111" s="994"/>
      <c r="AH111" s="994"/>
      <c r="AI111" s="994"/>
      <c r="AJ111" s="994"/>
      <c r="AK111" s="994"/>
      <c r="AL111" s="994"/>
      <c r="AM111" s="994"/>
      <c r="AN111" s="994"/>
      <c r="AO111" s="994"/>
      <c r="AP111" s="994"/>
      <c r="AQ111" s="1048"/>
      <c r="AR111" s="1048"/>
      <c r="AS111" s="1048"/>
      <c r="AT111" s="1048"/>
      <c r="AU111" s="994"/>
      <c r="AV111" s="994"/>
      <c r="AW111" s="994"/>
      <c r="AX111" s="994"/>
      <c r="AY111" s="994"/>
      <c r="AZ111" s="994"/>
      <c r="BA111" s="994"/>
      <c r="BB111" s="994"/>
      <c r="BC111" s="994"/>
      <c r="BD111" s="994"/>
      <c r="BE111" s="994"/>
      <c r="BF111" s="994"/>
      <c r="BG111" s="994"/>
      <c r="BH111" s="994"/>
      <c r="BI111" s="994"/>
      <c r="BJ111" s="994"/>
      <c r="BK111" s="994"/>
      <c r="BL111" s="994"/>
      <c r="BM111" s="994"/>
      <c r="BN111" s="994"/>
      <c r="BO111" s="994"/>
      <c r="BP111" s="994"/>
      <c r="BQ111" s="994"/>
      <c r="BR111" s="994"/>
      <c r="BS111" s="1017"/>
      <c r="BT111" s="1017"/>
      <c r="BU111" s="1017"/>
      <c r="BV111" s="1017"/>
      <c r="BW111" s="1017"/>
      <c r="BX111" s="1017"/>
      <c r="BY111" s="1017"/>
      <c r="BZ111" s="1017"/>
      <c r="CA111" s="640">
        <f t="shared" si="52"/>
        <v>76923076.923076928</v>
      </c>
      <c r="CB111" s="640">
        <f t="shared" si="52"/>
        <v>67512170.692307696</v>
      </c>
      <c r="CC111" s="640">
        <f t="shared" si="52"/>
        <v>45063534.923076928</v>
      </c>
      <c r="CD111" s="640">
        <f t="shared" si="52"/>
        <v>43885464.15384616</v>
      </c>
      <c r="CE111" s="641">
        <f t="shared" si="43"/>
        <v>-153846153.84615386</v>
      </c>
      <c r="CF111" s="642">
        <f t="shared" si="44"/>
        <v>-126772210.86624862</v>
      </c>
      <c r="CG111" s="642">
        <f t="shared" si="44"/>
        <v>-34924301.246666297</v>
      </c>
      <c r="CH111" s="997">
        <f t="shared" si="44"/>
        <v>43885464.15384616</v>
      </c>
      <c r="CK111" s="39" t="s">
        <v>366</v>
      </c>
      <c r="CL111" s="638">
        <v>194284381.55855632</v>
      </c>
      <c r="CM111" s="638">
        <v>79987836.169743225</v>
      </c>
    </row>
    <row r="112" spans="1:92" x14ac:dyDescent="0.3">
      <c r="A112" s="1020" t="s">
        <v>1581</v>
      </c>
      <c r="B112" s="639">
        <v>230769230.76923078</v>
      </c>
      <c r="C112" s="991">
        <f t="shared" si="65"/>
        <v>76923076.923076928</v>
      </c>
      <c r="D112" s="991">
        <f t="shared" si="65"/>
        <v>67512170.692307696</v>
      </c>
      <c r="E112" s="991">
        <f t="shared" si="65"/>
        <v>45063534.923076928</v>
      </c>
      <c r="F112" s="991">
        <f t="shared" si="65"/>
        <v>43885464.15384616</v>
      </c>
      <c r="G112" s="989"/>
      <c r="H112" s="989"/>
      <c r="I112" s="989"/>
      <c r="J112" s="989"/>
      <c r="K112" s="989"/>
      <c r="L112" s="989"/>
      <c r="M112" s="989"/>
      <c r="N112" s="989"/>
      <c r="O112" s="989"/>
      <c r="P112" s="989"/>
      <c r="Q112" s="989"/>
      <c r="R112" s="989"/>
      <c r="S112" s="990"/>
      <c r="T112" s="990"/>
      <c r="U112" s="990"/>
      <c r="V112" s="1047"/>
      <c r="W112" s="1048"/>
      <c r="X112" s="990"/>
      <c r="Y112" s="990"/>
      <c r="Z112" s="1047"/>
      <c r="AA112" s="1014"/>
      <c r="AB112" s="1014"/>
      <c r="AC112" s="1014"/>
      <c r="AD112" s="1014"/>
      <c r="AE112" s="988"/>
      <c r="AF112" s="988"/>
      <c r="AG112" s="988"/>
      <c r="AH112" s="988"/>
      <c r="AI112" s="988"/>
      <c r="AJ112" s="988"/>
      <c r="AK112" s="988"/>
      <c r="AL112" s="988"/>
      <c r="AM112" s="988"/>
      <c r="AN112" s="988"/>
      <c r="AO112" s="988"/>
      <c r="AP112" s="988"/>
      <c r="AQ112" s="1048"/>
      <c r="AR112" s="1048"/>
      <c r="AS112" s="1048"/>
      <c r="AT112" s="1048"/>
      <c r="AU112" s="988"/>
      <c r="AV112" s="988"/>
      <c r="AW112" s="988"/>
      <c r="AX112" s="988"/>
      <c r="AY112" s="988"/>
      <c r="AZ112" s="988"/>
      <c r="BA112" s="988"/>
      <c r="BB112" s="988"/>
      <c r="BC112" s="988"/>
      <c r="BD112" s="988"/>
      <c r="BE112" s="988"/>
      <c r="BF112" s="988"/>
      <c r="BG112" s="988"/>
      <c r="BH112" s="988"/>
      <c r="BI112" s="988"/>
      <c r="BJ112" s="988"/>
      <c r="BK112" s="988"/>
      <c r="BL112" s="988"/>
      <c r="BM112" s="988"/>
      <c r="BN112" s="988"/>
      <c r="BO112" s="988"/>
      <c r="BP112" s="988"/>
      <c r="BQ112" s="988"/>
      <c r="BR112" s="988"/>
      <c r="BS112" s="1017"/>
      <c r="BT112" s="1017"/>
      <c r="BU112" s="1017"/>
      <c r="BV112" s="1017"/>
      <c r="BW112" s="1017"/>
      <c r="BX112" s="1017"/>
      <c r="BY112" s="1017"/>
      <c r="BZ112" s="1017"/>
      <c r="CA112" s="640">
        <f t="shared" si="52"/>
        <v>76923076.923076928</v>
      </c>
      <c r="CB112" s="640">
        <f t="shared" si="52"/>
        <v>67512170.692307696</v>
      </c>
      <c r="CC112" s="640">
        <f t="shared" si="52"/>
        <v>45063534.923076928</v>
      </c>
      <c r="CD112" s="640">
        <f t="shared" si="52"/>
        <v>43885464.15384616</v>
      </c>
      <c r="CE112" s="641">
        <f t="shared" si="43"/>
        <v>-153846153.84615386</v>
      </c>
      <c r="CF112" s="642">
        <f t="shared" si="44"/>
        <v>-223914401.64552677</v>
      </c>
      <c r="CG112" s="642">
        <f t="shared" si="44"/>
        <v>-74918219.331537887</v>
      </c>
      <c r="CH112" s="643">
        <f t="shared" si="44"/>
        <v>43885464.15384616</v>
      </c>
      <c r="CK112" s="39" t="s">
        <v>370</v>
      </c>
      <c r="CL112" s="638">
        <v>291426572.33783448</v>
      </c>
      <c r="CM112" s="638">
        <v>119981754.25461482</v>
      </c>
    </row>
    <row r="113" spans="1:92" ht="49.5" x14ac:dyDescent="0.3">
      <c r="A113" s="1020" t="s">
        <v>1582</v>
      </c>
      <c r="B113" s="639">
        <v>230769230.76923078</v>
      </c>
      <c r="C113" s="991">
        <f t="shared" si="65"/>
        <v>76923076.923076928</v>
      </c>
      <c r="D113" s="991">
        <f t="shared" si="65"/>
        <v>67512170.692307696</v>
      </c>
      <c r="E113" s="991">
        <f t="shared" si="65"/>
        <v>45063534.923076928</v>
      </c>
      <c r="F113" s="991">
        <f t="shared" si="65"/>
        <v>43885464.15384616</v>
      </c>
      <c r="G113" s="989"/>
      <c r="H113" s="989"/>
      <c r="I113" s="989"/>
      <c r="J113" s="989"/>
      <c r="K113" s="989"/>
      <c r="L113" s="989"/>
      <c r="M113" s="989"/>
      <c r="N113" s="989"/>
      <c r="O113" s="989"/>
      <c r="P113" s="989"/>
      <c r="Q113" s="989"/>
      <c r="R113" s="989"/>
      <c r="S113" s="990"/>
      <c r="T113" s="990"/>
      <c r="U113" s="990"/>
      <c r="V113" s="1047"/>
      <c r="W113" s="1048"/>
      <c r="X113" s="990"/>
      <c r="Y113" s="990"/>
      <c r="Z113" s="1047"/>
      <c r="AA113" s="989"/>
      <c r="AB113" s="989"/>
      <c r="AC113" s="989"/>
      <c r="AD113" s="989"/>
      <c r="AE113" s="988"/>
      <c r="AF113" s="988"/>
      <c r="AG113" s="988"/>
      <c r="AH113" s="988"/>
      <c r="AI113" s="988"/>
      <c r="AJ113" s="988"/>
      <c r="AK113" s="988"/>
      <c r="AL113" s="988"/>
      <c r="AM113" s="988"/>
      <c r="AN113" s="988"/>
      <c r="AO113" s="988"/>
      <c r="AP113" s="988"/>
      <c r="AQ113" s="1048"/>
      <c r="AR113" s="1048"/>
      <c r="AS113" s="1048"/>
      <c r="AT113" s="1048"/>
      <c r="AU113" s="988"/>
      <c r="AV113" s="988"/>
      <c r="AW113" s="988"/>
      <c r="AX113" s="988"/>
      <c r="AY113" s="988"/>
      <c r="AZ113" s="988"/>
      <c r="BA113" s="988"/>
      <c r="BB113" s="988"/>
      <c r="BC113" s="988"/>
      <c r="BD113" s="988"/>
      <c r="BE113" s="988"/>
      <c r="BF113" s="988"/>
      <c r="BG113" s="988"/>
      <c r="BH113" s="988"/>
      <c r="BI113" s="988"/>
      <c r="BJ113" s="988"/>
      <c r="BK113" s="988"/>
      <c r="BL113" s="988"/>
      <c r="BM113" s="988"/>
      <c r="BN113" s="988"/>
      <c r="BO113" s="988"/>
      <c r="BP113" s="988"/>
      <c r="BQ113" s="988"/>
      <c r="BR113" s="988"/>
      <c r="BS113" s="1017"/>
      <c r="BT113" s="1017"/>
      <c r="BU113" s="1017"/>
      <c r="BV113" s="1017"/>
      <c r="BW113" s="1017"/>
      <c r="BX113" s="1017"/>
      <c r="BY113" s="1017"/>
      <c r="BZ113" s="1017"/>
      <c r="CA113" s="640">
        <f t="shared" si="52"/>
        <v>76923076.923076928</v>
      </c>
      <c r="CB113" s="640">
        <f t="shared" si="52"/>
        <v>67512170.692307696</v>
      </c>
      <c r="CC113" s="640">
        <f t="shared" si="52"/>
        <v>45063534.923076928</v>
      </c>
      <c r="CD113" s="640">
        <f t="shared" si="52"/>
        <v>43885464.15384616</v>
      </c>
      <c r="CE113" s="641">
        <f t="shared" si="43"/>
        <v>-153846153.84615386</v>
      </c>
      <c r="CF113" s="642">
        <f t="shared" si="44"/>
        <v>-418198783.20408314</v>
      </c>
      <c r="CG113" s="642">
        <f t="shared" si="44"/>
        <v>-154906055.50128111</v>
      </c>
      <c r="CH113" s="643">
        <f t="shared" si="44"/>
        <v>43885464.15384616</v>
      </c>
      <c r="CK113" s="39" t="s">
        <v>374</v>
      </c>
      <c r="CL113" s="638">
        <v>485710953.89639086</v>
      </c>
      <c r="CM113" s="638">
        <v>199969590.42435804</v>
      </c>
    </row>
    <row r="114" spans="1:92" ht="49.5" x14ac:dyDescent="0.3">
      <c r="A114" s="1020" t="s">
        <v>376</v>
      </c>
      <c r="B114" s="639">
        <v>230769230.76923078</v>
      </c>
      <c r="C114" s="991">
        <f t="shared" si="65"/>
        <v>76923076.923076928</v>
      </c>
      <c r="D114" s="991">
        <f t="shared" si="65"/>
        <v>67512170.692307696</v>
      </c>
      <c r="E114" s="991">
        <f t="shared" si="65"/>
        <v>45063534.923076928</v>
      </c>
      <c r="F114" s="991">
        <f t="shared" si="65"/>
        <v>43885464.15384616</v>
      </c>
      <c r="G114" s="989"/>
      <c r="H114" s="989"/>
      <c r="I114" s="989"/>
      <c r="J114" s="989"/>
      <c r="K114" s="989"/>
      <c r="L114" s="989"/>
      <c r="M114" s="989"/>
      <c r="N114" s="989"/>
      <c r="O114" s="989"/>
      <c r="P114" s="989"/>
      <c r="Q114" s="989"/>
      <c r="R114" s="989"/>
      <c r="S114" s="990"/>
      <c r="T114" s="990"/>
      <c r="U114" s="990"/>
      <c r="V114" s="1047"/>
      <c r="W114" s="990"/>
      <c r="X114" s="990"/>
      <c r="Y114" s="990"/>
      <c r="Z114" s="1047"/>
      <c r="AA114" s="989"/>
      <c r="AB114" s="989"/>
      <c r="AC114" s="989"/>
      <c r="AD114" s="989"/>
      <c r="AE114" s="988"/>
      <c r="AF114" s="988"/>
      <c r="AG114" s="988"/>
      <c r="AH114" s="988"/>
      <c r="AI114" s="988"/>
      <c r="AJ114" s="988"/>
      <c r="AK114" s="988"/>
      <c r="AL114" s="988"/>
      <c r="AM114" s="988"/>
      <c r="AN114" s="988"/>
      <c r="AO114" s="988"/>
      <c r="AP114" s="988"/>
      <c r="AQ114" s="1048"/>
      <c r="AR114" s="1048"/>
      <c r="AS114" s="1048"/>
      <c r="AT114" s="1048"/>
      <c r="AU114" s="988"/>
      <c r="AV114" s="988"/>
      <c r="AW114" s="988"/>
      <c r="AX114" s="988"/>
      <c r="AY114" s="988"/>
      <c r="AZ114" s="988"/>
      <c r="BA114" s="988"/>
      <c r="BB114" s="988"/>
      <c r="BC114" s="988"/>
      <c r="BD114" s="988"/>
      <c r="BE114" s="988"/>
      <c r="BF114" s="988"/>
      <c r="BG114" s="988"/>
      <c r="BH114" s="988"/>
      <c r="BI114" s="988"/>
      <c r="BJ114" s="988"/>
      <c r="BK114" s="988"/>
      <c r="BL114" s="988"/>
      <c r="BM114" s="988"/>
      <c r="BN114" s="988"/>
      <c r="BO114" s="988"/>
      <c r="BP114" s="988"/>
      <c r="BQ114" s="988"/>
      <c r="BR114" s="988"/>
      <c r="BS114" s="1017"/>
      <c r="BT114" s="1017"/>
      <c r="BU114" s="1017"/>
      <c r="BV114" s="1017"/>
      <c r="BW114" s="1017"/>
      <c r="BX114" s="1017"/>
      <c r="BY114" s="1017"/>
      <c r="BZ114" s="1017"/>
      <c r="CA114" s="640">
        <f t="shared" si="52"/>
        <v>76923076.923076928</v>
      </c>
      <c r="CB114" s="640">
        <f t="shared" si="52"/>
        <v>67512170.692307696</v>
      </c>
      <c r="CC114" s="640">
        <f t="shared" si="52"/>
        <v>45063534.923076928</v>
      </c>
      <c r="CD114" s="640">
        <f t="shared" si="52"/>
        <v>43885464.15384616</v>
      </c>
      <c r="CE114" s="641">
        <f t="shared" si="43"/>
        <v>-153846153.84615386</v>
      </c>
      <c r="CF114" s="642">
        <f t="shared" si="44"/>
        <v>-126772210.86624862</v>
      </c>
      <c r="CG114" s="642">
        <f t="shared" si="44"/>
        <v>-34924301.246666297</v>
      </c>
      <c r="CH114" s="643">
        <f t="shared" si="44"/>
        <v>43885464.15384616</v>
      </c>
      <c r="CK114" s="39" t="s">
        <v>376</v>
      </c>
      <c r="CL114" s="638">
        <v>194284381.55855632</v>
      </c>
      <c r="CM114" s="638">
        <v>79987836.169743225</v>
      </c>
    </row>
    <row r="115" spans="1:92" s="996" customFormat="1" ht="49.5" x14ac:dyDescent="0.3">
      <c r="A115" s="1020" t="s">
        <v>1583</v>
      </c>
      <c r="B115" s="639">
        <v>230769230.76923078</v>
      </c>
      <c r="C115" s="991">
        <f t="shared" si="65"/>
        <v>76923076.923076928</v>
      </c>
      <c r="D115" s="991">
        <f t="shared" si="65"/>
        <v>67512170.692307696</v>
      </c>
      <c r="E115" s="991">
        <f t="shared" si="65"/>
        <v>45063534.923076928</v>
      </c>
      <c r="F115" s="991">
        <f t="shared" si="65"/>
        <v>43885464.15384616</v>
      </c>
      <c r="G115" s="994"/>
      <c r="H115" s="994"/>
      <c r="I115" s="994"/>
      <c r="J115" s="994"/>
      <c r="K115" s="994"/>
      <c r="L115" s="994"/>
      <c r="M115" s="994"/>
      <c r="N115" s="994"/>
      <c r="O115" s="994"/>
      <c r="P115" s="994"/>
      <c r="Q115" s="994"/>
      <c r="R115" s="994"/>
      <c r="S115" s="990"/>
      <c r="T115" s="990"/>
      <c r="U115" s="990"/>
      <c r="V115" s="1047"/>
      <c r="W115" s="990"/>
      <c r="X115" s="990"/>
      <c r="Y115" s="990"/>
      <c r="Z115" s="1047"/>
      <c r="AA115" s="994"/>
      <c r="AB115" s="994"/>
      <c r="AC115" s="994"/>
      <c r="AD115" s="994"/>
      <c r="AE115" s="994"/>
      <c r="AF115" s="994"/>
      <c r="AG115" s="994"/>
      <c r="AH115" s="994"/>
      <c r="AI115" s="994"/>
      <c r="AJ115" s="994"/>
      <c r="AK115" s="994"/>
      <c r="AL115" s="994"/>
      <c r="AM115" s="994"/>
      <c r="AN115" s="994"/>
      <c r="AO115" s="994"/>
      <c r="AP115" s="994"/>
      <c r="AQ115" s="1048"/>
      <c r="AR115" s="1048"/>
      <c r="AS115" s="1048"/>
      <c r="AT115" s="1048"/>
      <c r="AU115" s="994"/>
      <c r="AV115" s="994"/>
      <c r="AW115" s="994"/>
      <c r="AX115" s="994"/>
      <c r="AY115" s="994"/>
      <c r="AZ115" s="994"/>
      <c r="BA115" s="994"/>
      <c r="BB115" s="994"/>
      <c r="BC115" s="994"/>
      <c r="BD115" s="994"/>
      <c r="BE115" s="994"/>
      <c r="BF115" s="994"/>
      <c r="BG115" s="994"/>
      <c r="BH115" s="994"/>
      <c r="BI115" s="994"/>
      <c r="BJ115" s="994"/>
      <c r="BK115" s="994"/>
      <c r="BL115" s="994"/>
      <c r="BM115" s="994"/>
      <c r="BN115" s="994"/>
      <c r="BO115" s="994"/>
      <c r="BP115" s="994"/>
      <c r="BQ115" s="994"/>
      <c r="BR115" s="994"/>
      <c r="BS115" s="1017"/>
      <c r="BT115" s="1017"/>
      <c r="BU115" s="1017"/>
      <c r="BV115" s="1017"/>
      <c r="BW115" s="1017"/>
      <c r="BX115" s="1017"/>
      <c r="BY115" s="1017"/>
      <c r="BZ115" s="1017"/>
      <c r="CA115" s="640">
        <f t="shared" si="52"/>
        <v>76923076.923076928</v>
      </c>
      <c r="CB115" s="640">
        <f t="shared" si="52"/>
        <v>67512170.692307696</v>
      </c>
      <c r="CC115" s="640">
        <f t="shared" si="52"/>
        <v>45063534.923076928</v>
      </c>
      <c r="CD115" s="640">
        <f t="shared" si="52"/>
        <v>43885464.15384616</v>
      </c>
      <c r="CE115" s="641">
        <f t="shared" si="43"/>
        <v>-153846153.84615386</v>
      </c>
      <c r="CF115" s="642">
        <f t="shared" si="44"/>
        <v>-126772210.86624862</v>
      </c>
      <c r="CG115" s="642">
        <f t="shared" si="44"/>
        <v>-34924301.246666297</v>
      </c>
      <c r="CH115" s="997">
        <f t="shared" si="44"/>
        <v>43885464.15384616</v>
      </c>
      <c r="CK115" s="39" t="s">
        <v>379</v>
      </c>
      <c r="CL115" s="638">
        <v>194284381.55855632</v>
      </c>
      <c r="CM115" s="638">
        <v>79987836.169743225</v>
      </c>
    </row>
    <row r="116" spans="1:92" ht="49.5" x14ac:dyDescent="0.3">
      <c r="A116" s="1020" t="s">
        <v>383</v>
      </c>
      <c r="B116" s="639">
        <v>230769230.76923078</v>
      </c>
      <c r="C116" s="991">
        <f t="shared" si="65"/>
        <v>76923076.923076928</v>
      </c>
      <c r="D116" s="991">
        <f t="shared" si="65"/>
        <v>67512170.692307696</v>
      </c>
      <c r="E116" s="991">
        <f t="shared" si="65"/>
        <v>45063534.923076928</v>
      </c>
      <c r="F116" s="991">
        <f t="shared" si="65"/>
        <v>43885464.15384616</v>
      </c>
      <c r="G116" s="989"/>
      <c r="H116" s="989"/>
      <c r="I116" s="989"/>
      <c r="J116" s="989"/>
      <c r="K116" s="989"/>
      <c r="L116" s="989"/>
      <c r="M116" s="989"/>
      <c r="N116" s="989"/>
      <c r="O116" s="989"/>
      <c r="P116" s="989"/>
      <c r="Q116" s="989"/>
      <c r="R116" s="989"/>
      <c r="S116" s="990"/>
      <c r="T116" s="990"/>
      <c r="U116" s="990"/>
      <c r="V116" s="1047"/>
      <c r="W116" s="990"/>
      <c r="X116" s="990"/>
      <c r="Y116" s="990"/>
      <c r="Z116" s="1047"/>
      <c r="AA116" s="989"/>
      <c r="AB116" s="989"/>
      <c r="AC116" s="989"/>
      <c r="AD116" s="989"/>
      <c r="AE116" s="988"/>
      <c r="AF116" s="988"/>
      <c r="AG116" s="988"/>
      <c r="AH116" s="988"/>
      <c r="AI116" s="991"/>
      <c r="AJ116" s="988"/>
      <c r="AK116" s="988"/>
      <c r="AL116" s="988"/>
      <c r="AM116" s="988"/>
      <c r="AN116" s="988"/>
      <c r="AO116" s="988"/>
      <c r="AP116" s="988"/>
      <c r="AQ116" s="1048"/>
      <c r="AR116" s="1048"/>
      <c r="AS116" s="1048"/>
      <c r="AT116" s="1048"/>
      <c r="AU116" s="988"/>
      <c r="AV116" s="988"/>
      <c r="AW116" s="988"/>
      <c r="AX116" s="988"/>
      <c r="AY116" s="988"/>
      <c r="AZ116" s="988"/>
      <c r="BA116" s="988"/>
      <c r="BB116" s="988"/>
      <c r="BC116" s="988"/>
      <c r="BD116" s="988"/>
      <c r="BE116" s="988"/>
      <c r="BF116" s="988"/>
      <c r="BG116" s="988"/>
      <c r="BH116" s="988"/>
      <c r="BI116" s="988"/>
      <c r="BJ116" s="988"/>
      <c r="BK116" s="988"/>
      <c r="BL116" s="988"/>
      <c r="BM116" s="988"/>
      <c r="BN116" s="988"/>
      <c r="BO116" s="988"/>
      <c r="BP116" s="988"/>
      <c r="BQ116" s="988"/>
      <c r="BR116" s="988"/>
      <c r="BS116" s="1017"/>
      <c r="BT116" s="1017"/>
      <c r="BU116" s="1017"/>
      <c r="BV116" s="1017"/>
      <c r="BW116" s="1017"/>
      <c r="BX116" s="1017"/>
      <c r="BY116" s="1017"/>
      <c r="BZ116" s="1017"/>
      <c r="CA116" s="640">
        <f t="shared" si="52"/>
        <v>76923076.923076928</v>
      </c>
      <c r="CB116" s="640">
        <f t="shared" si="52"/>
        <v>67512170.692307696</v>
      </c>
      <c r="CC116" s="640">
        <f t="shared" si="52"/>
        <v>45063534.923076928</v>
      </c>
      <c r="CD116" s="640">
        <f t="shared" si="52"/>
        <v>43885464.15384616</v>
      </c>
      <c r="CE116" s="641">
        <f t="shared" si="43"/>
        <v>-153846153.84615386</v>
      </c>
      <c r="CF116" s="642">
        <f t="shared" si="44"/>
        <v>-126772210.86624862</v>
      </c>
      <c r="CG116" s="642">
        <f t="shared" si="44"/>
        <v>-34924301.246666297</v>
      </c>
      <c r="CH116" s="643">
        <f t="shared" si="44"/>
        <v>43885464.15384616</v>
      </c>
      <c r="CI116" s="993"/>
      <c r="CK116" s="39" t="s">
        <v>383</v>
      </c>
      <c r="CL116" s="638">
        <v>194284381.55855632</v>
      </c>
      <c r="CM116" s="638">
        <v>79987836.169743225</v>
      </c>
    </row>
    <row r="117" spans="1:92" ht="81" customHeight="1" x14ac:dyDescent="0.25">
      <c r="A117" s="651" t="s">
        <v>388</v>
      </c>
      <c r="B117" s="645">
        <v>50000000</v>
      </c>
      <c r="C117" s="645">
        <v>50000000</v>
      </c>
      <c r="D117" s="645">
        <v>48848500</v>
      </c>
      <c r="E117" s="645">
        <v>21673633</v>
      </c>
      <c r="F117" s="645">
        <v>17431633</v>
      </c>
      <c r="G117" s="645">
        <f t="shared" ref="G117:BR117" si="66">SUM(G118:G121)</f>
        <v>0</v>
      </c>
      <c r="H117" s="645">
        <f t="shared" si="66"/>
        <v>0</v>
      </c>
      <c r="I117" s="645">
        <f t="shared" si="66"/>
        <v>0</v>
      </c>
      <c r="J117" s="645">
        <f t="shared" si="66"/>
        <v>0</v>
      </c>
      <c r="K117" s="645">
        <f t="shared" si="66"/>
        <v>0</v>
      </c>
      <c r="L117" s="645">
        <f t="shared" si="66"/>
        <v>0</v>
      </c>
      <c r="M117" s="645">
        <f t="shared" si="66"/>
        <v>0</v>
      </c>
      <c r="N117" s="645">
        <f t="shared" si="66"/>
        <v>0</v>
      </c>
      <c r="O117" s="645">
        <f t="shared" si="66"/>
        <v>0</v>
      </c>
      <c r="P117" s="645">
        <f t="shared" si="66"/>
        <v>0</v>
      </c>
      <c r="Q117" s="645">
        <f t="shared" si="66"/>
        <v>0</v>
      </c>
      <c r="R117" s="645">
        <f t="shared" si="66"/>
        <v>0</v>
      </c>
      <c r="S117" s="645">
        <f t="shared" si="66"/>
        <v>0</v>
      </c>
      <c r="T117" s="645">
        <f t="shared" si="66"/>
        <v>0</v>
      </c>
      <c r="U117" s="645">
        <f t="shared" si="66"/>
        <v>0</v>
      </c>
      <c r="V117" s="645">
        <f t="shared" si="66"/>
        <v>0</v>
      </c>
      <c r="W117" s="645">
        <f t="shared" si="66"/>
        <v>0</v>
      </c>
      <c r="X117" s="645">
        <f t="shared" si="66"/>
        <v>0</v>
      </c>
      <c r="Y117" s="645">
        <f t="shared" si="66"/>
        <v>0</v>
      </c>
      <c r="Z117" s="645">
        <f t="shared" si="66"/>
        <v>0</v>
      </c>
      <c r="AA117" s="645">
        <f t="shared" si="66"/>
        <v>0</v>
      </c>
      <c r="AB117" s="645">
        <f t="shared" si="66"/>
        <v>0</v>
      </c>
      <c r="AC117" s="645">
        <f t="shared" si="66"/>
        <v>0</v>
      </c>
      <c r="AD117" s="645">
        <f t="shared" si="66"/>
        <v>0</v>
      </c>
      <c r="AE117" s="645">
        <f t="shared" si="66"/>
        <v>0</v>
      </c>
      <c r="AF117" s="645">
        <f t="shared" si="66"/>
        <v>0</v>
      </c>
      <c r="AG117" s="645">
        <f t="shared" si="66"/>
        <v>0</v>
      </c>
      <c r="AH117" s="645">
        <f t="shared" si="66"/>
        <v>0</v>
      </c>
      <c r="AI117" s="645">
        <v>0</v>
      </c>
      <c r="AJ117" s="645">
        <v>0</v>
      </c>
      <c r="AK117" s="645">
        <v>0</v>
      </c>
      <c r="AL117" s="645">
        <v>0</v>
      </c>
      <c r="AM117" s="645">
        <f t="shared" si="66"/>
        <v>0</v>
      </c>
      <c r="AN117" s="645">
        <f t="shared" si="66"/>
        <v>0</v>
      </c>
      <c r="AO117" s="645">
        <f t="shared" si="66"/>
        <v>0</v>
      </c>
      <c r="AP117" s="645">
        <f t="shared" si="66"/>
        <v>0</v>
      </c>
      <c r="AQ117" s="645">
        <f t="shared" si="66"/>
        <v>0</v>
      </c>
      <c r="AR117" s="645">
        <f t="shared" si="66"/>
        <v>0</v>
      </c>
      <c r="AS117" s="645">
        <f t="shared" si="66"/>
        <v>0</v>
      </c>
      <c r="AT117" s="645">
        <f t="shared" si="66"/>
        <v>0</v>
      </c>
      <c r="AU117" s="645">
        <f t="shared" si="66"/>
        <v>0</v>
      </c>
      <c r="AV117" s="645">
        <f t="shared" si="66"/>
        <v>0</v>
      </c>
      <c r="AW117" s="645">
        <f t="shared" si="66"/>
        <v>0</v>
      </c>
      <c r="AX117" s="645">
        <f t="shared" si="66"/>
        <v>0</v>
      </c>
      <c r="AY117" s="645">
        <f t="shared" si="66"/>
        <v>0</v>
      </c>
      <c r="AZ117" s="645">
        <f t="shared" si="66"/>
        <v>0</v>
      </c>
      <c r="BA117" s="645">
        <f t="shared" si="66"/>
        <v>0</v>
      </c>
      <c r="BB117" s="645">
        <f t="shared" si="66"/>
        <v>0</v>
      </c>
      <c r="BC117" s="645">
        <f t="shared" si="66"/>
        <v>0</v>
      </c>
      <c r="BD117" s="645">
        <f t="shared" si="66"/>
        <v>0</v>
      </c>
      <c r="BE117" s="645">
        <f t="shared" si="66"/>
        <v>0</v>
      </c>
      <c r="BF117" s="645">
        <f t="shared" si="66"/>
        <v>0</v>
      </c>
      <c r="BG117" s="645">
        <f t="shared" si="66"/>
        <v>0</v>
      </c>
      <c r="BH117" s="645">
        <f t="shared" si="66"/>
        <v>0</v>
      </c>
      <c r="BI117" s="645">
        <f t="shared" si="66"/>
        <v>0</v>
      </c>
      <c r="BJ117" s="645">
        <f t="shared" si="66"/>
        <v>0</v>
      </c>
      <c r="BK117" s="645">
        <f t="shared" si="66"/>
        <v>0</v>
      </c>
      <c r="BL117" s="645">
        <f t="shared" si="66"/>
        <v>0</v>
      </c>
      <c r="BM117" s="645">
        <f t="shared" si="66"/>
        <v>0</v>
      </c>
      <c r="BN117" s="645">
        <f t="shared" si="66"/>
        <v>0</v>
      </c>
      <c r="BO117" s="645">
        <f t="shared" si="66"/>
        <v>0</v>
      </c>
      <c r="BP117" s="645">
        <f t="shared" si="66"/>
        <v>0</v>
      </c>
      <c r="BQ117" s="645">
        <f t="shared" si="66"/>
        <v>0</v>
      </c>
      <c r="BR117" s="645">
        <f t="shared" si="66"/>
        <v>0</v>
      </c>
      <c r="BS117" s="645">
        <f t="shared" ref="BS117:CD117" si="67">SUM(BS118:BS121)</f>
        <v>0</v>
      </c>
      <c r="BT117" s="645">
        <f t="shared" si="67"/>
        <v>0</v>
      </c>
      <c r="BU117" s="645">
        <f t="shared" si="67"/>
        <v>0</v>
      </c>
      <c r="BV117" s="645">
        <f t="shared" si="67"/>
        <v>0</v>
      </c>
      <c r="BW117" s="645">
        <f t="shared" si="67"/>
        <v>0</v>
      </c>
      <c r="BX117" s="645">
        <f t="shared" si="67"/>
        <v>0</v>
      </c>
      <c r="BY117" s="645">
        <f t="shared" si="67"/>
        <v>0</v>
      </c>
      <c r="BZ117" s="645">
        <f t="shared" si="67"/>
        <v>0</v>
      </c>
      <c r="CA117" s="1000">
        <f t="shared" si="67"/>
        <v>50000000</v>
      </c>
      <c r="CB117" s="1000">
        <f t="shared" si="67"/>
        <v>48848500</v>
      </c>
      <c r="CC117" s="1000">
        <f t="shared" si="67"/>
        <v>21673633</v>
      </c>
      <c r="CD117" s="1000">
        <f t="shared" si="67"/>
        <v>17431633</v>
      </c>
      <c r="CE117" s="1001">
        <f t="shared" si="43"/>
        <v>0</v>
      </c>
      <c r="CF117" s="1002">
        <f t="shared" si="44"/>
        <v>48848500</v>
      </c>
      <c r="CG117" s="1002">
        <f t="shared" si="44"/>
        <v>21673633</v>
      </c>
      <c r="CH117" s="643">
        <f t="shared" si="44"/>
        <v>17431633</v>
      </c>
      <c r="CI117" s="993"/>
      <c r="CK117" s="39"/>
      <c r="CL117" s="1009">
        <f>+'[5]Anexo 5.2.A'!Z128</f>
        <v>0</v>
      </c>
      <c r="CM117" s="1009">
        <f>+'[5]Anexo 5.2.A'!AA128</f>
        <v>0</v>
      </c>
      <c r="CN117" s="1009">
        <f>+'[5]Anexo 5.2.A'!AB128</f>
        <v>0</v>
      </c>
    </row>
    <row r="118" spans="1:92" ht="33" x14ac:dyDescent="0.3">
      <c r="A118" s="662" t="s">
        <v>389</v>
      </c>
      <c r="B118" s="1005"/>
      <c r="C118" s="988">
        <f t="shared" ref="C118:F121" si="68">C$117*(B118/B$117)</f>
        <v>0</v>
      </c>
      <c r="D118" s="988">
        <f t="shared" si="68"/>
        <v>0</v>
      </c>
      <c r="E118" s="988">
        <f t="shared" si="68"/>
        <v>0</v>
      </c>
      <c r="F118" s="988">
        <f t="shared" si="68"/>
        <v>0</v>
      </c>
      <c r="G118" s="988"/>
      <c r="H118" s="989"/>
      <c r="I118" s="989"/>
      <c r="J118" s="989"/>
      <c r="K118" s="989"/>
      <c r="L118" s="989"/>
      <c r="M118" s="989"/>
      <c r="N118" s="989"/>
      <c r="O118" s="989"/>
      <c r="P118" s="989"/>
      <c r="Q118" s="989"/>
      <c r="R118" s="989"/>
      <c r="S118" s="989"/>
      <c r="T118" s="989"/>
      <c r="U118" s="989"/>
      <c r="V118" s="989"/>
      <c r="W118" s="989"/>
      <c r="X118" s="989"/>
      <c r="Y118" s="989"/>
      <c r="Z118" s="989"/>
      <c r="AA118" s="989"/>
      <c r="AB118" s="989"/>
      <c r="AC118" s="989"/>
      <c r="AD118" s="989"/>
      <c r="AE118" s="988"/>
      <c r="AF118" s="988"/>
      <c r="AG118" s="988"/>
      <c r="AH118" s="988"/>
      <c r="AI118" s="988"/>
      <c r="AJ118" s="988"/>
      <c r="AK118" s="988"/>
      <c r="AL118" s="988"/>
      <c r="AM118" s="988"/>
      <c r="AN118" s="988"/>
      <c r="AO118" s="988"/>
      <c r="AP118" s="988"/>
      <c r="AQ118" s="988"/>
      <c r="AR118" s="988"/>
      <c r="AS118" s="988"/>
      <c r="AT118" s="988"/>
      <c r="AU118" s="988"/>
      <c r="AV118" s="988"/>
      <c r="AW118" s="988"/>
      <c r="AX118" s="988"/>
      <c r="AY118" s="988"/>
      <c r="AZ118" s="988"/>
      <c r="BA118" s="988"/>
      <c r="BB118" s="988"/>
      <c r="BC118" s="988"/>
      <c r="BD118" s="988"/>
      <c r="BE118" s="988"/>
      <c r="BF118" s="988"/>
      <c r="BG118" s="988"/>
      <c r="BH118" s="988"/>
      <c r="BI118" s="988"/>
      <c r="BJ118" s="988"/>
      <c r="BK118" s="988"/>
      <c r="BL118" s="988"/>
      <c r="BM118" s="988"/>
      <c r="BN118" s="988"/>
      <c r="BO118" s="988"/>
      <c r="BP118" s="988"/>
      <c r="BQ118" s="988"/>
      <c r="BR118" s="988"/>
      <c r="BS118" s="1017"/>
      <c r="BT118" s="1017"/>
      <c r="BU118" s="1017"/>
      <c r="BV118" s="1017"/>
      <c r="BW118" s="1017"/>
      <c r="BX118" s="1017"/>
      <c r="BY118" s="1017"/>
      <c r="BZ118" s="1017"/>
      <c r="CA118" s="640">
        <f t="shared" si="52"/>
        <v>0</v>
      </c>
      <c r="CB118" s="640">
        <f t="shared" si="52"/>
        <v>0</v>
      </c>
      <c r="CC118" s="640">
        <f t="shared" si="52"/>
        <v>0</v>
      </c>
      <c r="CD118" s="640">
        <f t="shared" si="52"/>
        <v>0</v>
      </c>
      <c r="CE118" s="641">
        <f t="shared" si="43"/>
        <v>0</v>
      </c>
      <c r="CF118" s="642">
        <f t="shared" si="44"/>
        <v>0</v>
      </c>
      <c r="CG118" s="642">
        <f t="shared" si="44"/>
        <v>0</v>
      </c>
      <c r="CH118" s="643">
        <f t="shared" si="44"/>
        <v>0</v>
      </c>
      <c r="CI118" s="993"/>
      <c r="CK118" s="39" t="s">
        <v>389</v>
      </c>
    </row>
    <row r="119" spans="1:92" s="996" customFormat="1" ht="33" x14ac:dyDescent="0.3">
      <c r="A119" s="662" t="s">
        <v>392</v>
      </c>
      <c r="B119" s="1005"/>
      <c r="C119" s="988">
        <f t="shared" si="68"/>
        <v>0</v>
      </c>
      <c r="D119" s="988">
        <f t="shared" si="68"/>
        <v>0</v>
      </c>
      <c r="E119" s="988">
        <f t="shared" si="68"/>
        <v>0</v>
      </c>
      <c r="F119" s="988">
        <f t="shared" si="68"/>
        <v>0</v>
      </c>
      <c r="G119" s="988"/>
      <c r="H119" s="994"/>
      <c r="I119" s="994"/>
      <c r="J119" s="994"/>
      <c r="K119" s="994"/>
      <c r="L119" s="994"/>
      <c r="M119" s="994"/>
      <c r="N119" s="994"/>
      <c r="O119" s="994"/>
      <c r="P119" s="994"/>
      <c r="Q119" s="994"/>
      <c r="R119" s="994"/>
      <c r="S119" s="994"/>
      <c r="T119" s="994"/>
      <c r="U119" s="994"/>
      <c r="V119" s="994"/>
      <c r="W119" s="994"/>
      <c r="X119" s="994"/>
      <c r="Y119" s="994"/>
      <c r="Z119" s="994"/>
      <c r="AA119" s="994"/>
      <c r="AB119" s="994"/>
      <c r="AC119" s="994"/>
      <c r="AD119" s="994"/>
      <c r="AE119" s="994"/>
      <c r="AF119" s="994"/>
      <c r="AG119" s="994"/>
      <c r="AH119" s="994"/>
      <c r="AI119" s="994"/>
      <c r="AJ119" s="994"/>
      <c r="AK119" s="994"/>
      <c r="AL119" s="994"/>
      <c r="AM119" s="994"/>
      <c r="AN119" s="994"/>
      <c r="AO119" s="994"/>
      <c r="AP119" s="994"/>
      <c r="AQ119" s="994"/>
      <c r="AR119" s="994"/>
      <c r="AS119" s="994"/>
      <c r="AT119" s="994"/>
      <c r="AU119" s="994"/>
      <c r="AV119" s="994"/>
      <c r="AW119" s="994"/>
      <c r="AX119" s="994"/>
      <c r="AY119" s="994"/>
      <c r="AZ119" s="994"/>
      <c r="BA119" s="994"/>
      <c r="BB119" s="994"/>
      <c r="BC119" s="994"/>
      <c r="BD119" s="994"/>
      <c r="BE119" s="994"/>
      <c r="BF119" s="994"/>
      <c r="BG119" s="994"/>
      <c r="BH119" s="994"/>
      <c r="BI119" s="994"/>
      <c r="BJ119" s="994"/>
      <c r="BK119" s="994"/>
      <c r="BL119" s="994"/>
      <c r="BM119" s="994"/>
      <c r="BN119" s="994"/>
      <c r="BO119" s="994"/>
      <c r="BP119" s="994"/>
      <c r="BQ119" s="994"/>
      <c r="BR119" s="994"/>
      <c r="BS119" s="1017"/>
      <c r="BT119" s="1017"/>
      <c r="BU119" s="1017"/>
      <c r="BV119" s="1017"/>
      <c r="BW119" s="1017"/>
      <c r="BX119" s="1017"/>
      <c r="BY119" s="1017"/>
      <c r="BZ119" s="1017"/>
      <c r="CA119" s="640">
        <f t="shared" si="52"/>
        <v>0</v>
      </c>
      <c r="CB119" s="640">
        <f t="shared" si="52"/>
        <v>0</v>
      </c>
      <c r="CC119" s="640">
        <f t="shared" si="52"/>
        <v>0</v>
      </c>
      <c r="CD119" s="640">
        <f t="shared" si="52"/>
        <v>0</v>
      </c>
      <c r="CE119" s="641">
        <f t="shared" si="43"/>
        <v>0</v>
      </c>
      <c r="CF119" s="642">
        <f t="shared" si="44"/>
        <v>0</v>
      </c>
      <c r="CG119" s="642">
        <f t="shared" si="44"/>
        <v>0</v>
      </c>
      <c r="CH119" s="997">
        <f t="shared" si="44"/>
        <v>0</v>
      </c>
      <c r="CK119" s="89" t="s">
        <v>392</v>
      </c>
      <c r="CL119" s="638"/>
      <c r="CM119" s="638"/>
    </row>
    <row r="120" spans="1:92" ht="49.5" x14ac:dyDescent="0.3">
      <c r="A120" s="662" t="s">
        <v>394</v>
      </c>
      <c r="B120" s="1005">
        <v>25000000</v>
      </c>
      <c r="C120" s="988">
        <f>C$117*(B120/B$117)</f>
        <v>25000000</v>
      </c>
      <c r="D120" s="988">
        <f t="shared" si="68"/>
        <v>24424250</v>
      </c>
      <c r="E120" s="988">
        <f t="shared" si="68"/>
        <v>10836816.5</v>
      </c>
      <c r="F120" s="988">
        <f t="shared" si="68"/>
        <v>8715816.5</v>
      </c>
      <c r="G120" s="988"/>
      <c r="H120" s="989"/>
      <c r="I120" s="989"/>
      <c r="J120" s="989"/>
      <c r="K120" s="989"/>
      <c r="L120" s="989"/>
      <c r="M120" s="989"/>
      <c r="N120" s="989"/>
      <c r="O120" s="989"/>
      <c r="P120" s="989"/>
      <c r="Q120" s="989"/>
      <c r="R120" s="989"/>
      <c r="S120" s="989"/>
      <c r="T120" s="989"/>
      <c r="U120" s="989"/>
      <c r="V120" s="989"/>
      <c r="W120" s="989"/>
      <c r="X120" s="989"/>
      <c r="Y120" s="989"/>
      <c r="Z120" s="989"/>
      <c r="AA120" s="989"/>
      <c r="AB120" s="989"/>
      <c r="AC120" s="989"/>
      <c r="AD120" s="989"/>
      <c r="AE120" s="988"/>
      <c r="AF120" s="988"/>
      <c r="AG120" s="988"/>
      <c r="AH120" s="988"/>
      <c r="AI120" s="991"/>
      <c r="AJ120" s="991"/>
      <c r="AK120" s="991"/>
      <c r="AL120" s="991"/>
      <c r="AM120" s="988"/>
      <c r="AN120" s="988"/>
      <c r="AO120" s="988"/>
      <c r="AP120" s="988"/>
      <c r="AQ120" s="988"/>
      <c r="AR120" s="988"/>
      <c r="AS120" s="988"/>
      <c r="AT120" s="988"/>
      <c r="AU120" s="988"/>
      <c r="AV120" s="988"/>
      <c r="AW120" s="988"/>
      <c r="AX120" s="988"/>
      <c r="AY120" s="988"/>
      <c r="AZ120" s="988"/>
      <c r="BA120" s="988"/>
      <c r="BB120" s="988"/>
      <c r="BC120" s="988"/>
      <c r="BD120" s="988"/>
      <c r="BE120" s="988"/>
      <c r="BF120" s="988"/>
      <c r="BG120" s="988"/>
      <c r="BH120" s="988"/>
      <c r="BI120" s="988"/>
      <c r="BJ120" s="988"/>
      <c r="BK120" s="988"/>
      <c r="BL120" s="988"/>
      <c r="BM120" s="988"/>
      <c r="BN120" s="988"/>
      <c r="BO120" s="988"/>
      <c r="BP120" s="988"/>
      <c r="BQ120" s="988"/>
      <c r="BR120" s="988"/>
      <c r="BS120" s="1017"/>
      <c r="BT120" s="1017"/>
      <c r="BU120" s="1017"/>
      <c r="BV120" s="1017"/>
      <c r="BW120" s="1017"/>
      <c r="BX120" s="1017"/>
      <c r="BY120" s="1017"/>
      <c r="BZ120" s="1017"/>
      <c r="CA120" s="640">
        <f t="shared" si="52"/>
        <v>25000000</v>
      </c>
      <c r="CB120" s="640">
        <f t="shared" si="52"/>
        <v>24424250</v>
      </c>
      <c r="CC120" s="640">
        <f t="shared" si="52"/>
        <v>10836816.5</v>
      </c>
      <c r="CD120" s="640">
        <f t="shared" si="52"/>
        <v>8715816.5</v>
      </c>
      <c r="CE120" s="641">
        <f t="shared" si="43"/>
        <v>0</v>
      </c>
      <c r="CF120" s="642">
        <f t="shared" si="44"/>
        <v>8317750.5000000019</v>
      </c>
      <c r="CG120" s="642">
        <f t="shared" si="44"/>
        <v>-5269682.9999999981</v>
      </c>
      <c r="CH120" s="643">
        <f t="shared" si="44"/>
        <v>8715816.5</v>
      </c>
      <c r="CK120" s="89" t="s">
        <v>394</v>
      </c>
      <c r="CL120" s="638">
        <v>16106499.499999998</v>
      </c>
      <c r="CM120" s="638">
        <v>16106499.499999998</v>
      </c>
    </row>
    <row r="121" spans="1:92" ht="49.5" x14ac:dyDescent="0.25">
      <c r="A121" s="662" t="s">
        <v>396</v>
      </c>
      <c r="B121" s="1005">
        <v>25000000</v>
      </c>
      <c r="C121" s="988">
        <f>C$117*(B121/B$117)</f>
        <v>25000000</v>
      </c>
      <c r="D121" s="988">
        <f t="shared" si="68"/>
        <v>24424250</v>
      </c>
      <c r="E121" s="988">
        <f t="shared" si="68"/>
        <v>10836816.5</v>
      </c>
      <c r="F121" s="988">
        <f t="shared" si="68"/>
        <v>8715816.5</v>
      </c>
      <c r="G121" s="988"/>
      <c r="H121" s="989"/>
      <c r="I121" s="989"/>
      <c r="J121" s="989"/>
      <c r="K121" s="989"/>
      <c r="L121" s="989"/>
      <c r="M121" s="989"/>
      <c r="N121" s="989"/>
      <c r="O121" s="989"/>
      <c r="P121" s="989"/>
      <c r="Q121" s="989"/>
      <c r="R121" s="989"/>
      <c r="S121" s="989"/>
      <c r="T121" s="989"/>
      <c r="U121" s="989"/>
      <c r="V121" s="989"/>
      <c r="W121" s="989"/>
      <c r="X121" s="989"/>
      <c r="Y121" s="989"/>
      <c r="Z121" s="989"/>
      <c r="AA121" s="989"/>
      <c r="AB121" s="989"/>
      <c r="AC121" s="989"/>
      <c r="AD121" s="989"/>
      <c r="AE121" s="988"/>
      <c r="AF121" s="988"/>
      <c r="AG121" s="988"/>
      <c r="AH121" s="988"/>
      <c r="AI121" s="991"/>
      <c r="AJ121" s="991"/>
      <c r="AK121" s="991"/>
      <c r="AL121" s="991"/>
      <c r="AM121" s="988"/>
      <c r="AN121" s="988"/>
      <c r="AO121" s="988"/>
      <c r="AP121" s="988"/>
      <c r="AQ121" s="988"/>
      <c r="AR121" s="988"/>
      <c r="AS121" s="988"/>
      <c r="AT121" s="988"/>
      <c r="AU121" s="988"/>
      <c r="AV121" s="988"/>
      <c r="AW121" s="988"/>
      <c r="AX121" s="988"/>
      <c r="AY121" s="988"/>
      <c r="AZ121" s="988"/>
      <c r="BA121" s="988"/>
      <c r="BB121" s="988"/>
      <c r="BC121" s="988"/>
      <c r="BD121" s="988"/>
      <c r="BE121" s="988"/>
      <c r="BF121" s="988"/>
      <c r="BG121" s="988"/>
      <c r="BH121" s="988"/>
      <c r="BI121" s="988"/>
      <c r="BJ121" s="988"/>
      <c r="BK121" s="988"/>
      <c r="BL121" s="988"/>
      <c r="BM121" s="988"/>
      <c r="BN121" s="988"/>
      <c r="BO121" s="988"/>
      <c r="BP121" s="988"/>
      <c r="BQ121" s="988"/>
      <c r="BR121" s="988"/>
      <c r="BS121" s="991"/>
      <c r="BT121" s="991"/>
      <c r="BU121" s="991"/>
      <c r="BV121" s="991"/>
      <c r="BW121" s="991"/>
      <c r="BX121" s="991"/>
      <c r="BY121" s="991"/>
      <c r="BZ121" s="991"/>
      <c r="CA121" s="640">
        <f t="shared" si="52"/>
        <v>25000000</v>
      </c>
      <c r="CB121" s="640">
        <f t="shared" si="52"/>
        <v>24424250</v>
      </c>
      <c r="CC121" s="640">
        <f t="shared" si="52"/>
        <v>10836816.5</v>
      </c>
      <c r="CD121" s="640">
        <f t="shared" si="52"/>
        <v>8715816.5</v>
      </c>
      <c r="CE121" s="641">
        <f t="shared" si="43"/>
        <v>0</v>
      </c>
      <c r="CF121" s="642">
        <f t="shared" si="44"/>
        <v>8317750.5000000019</v>
      </c>
      <c r="CG121" s="642">
        <f t="shared" si="44"/>
        <v>-5269682.9999999981</v>
      </c>
      <c r="CH121" s="643">
        <f t="shared" si="44"/>
        <v>8715816.5</v>
      </c>
      <c r="CK121" s="39" t="s">
        <v>396</v>
      </c>
      <c r="CL121" s="638">
        <v>16106499.499999998</v>
      </c>
      <c r="CM121" s="638">
        <v>16106499.499999998</v>
      </c>
    </row>
    <row r="122" spans="1:92" ht="33" x14ac:dyDescent="0.25">
      <c r="A122" s="651" t="s">
        <v>398</v>
      </c>
      <c r="B122" s="645">
        <v>30000000</v>
      </c>
      <c r="C122" s="645">
        <v>30000000</v>
      </c>
      <c r="D122" s="645">
        <v>29311700</v>
      </c>
      <c r="E122" s="645">
        <v>5402100</v>
      </c>
      <c r="F122" s="645">
        <v>3752100</v>
      </c>
      <c r="G122" s="645">
        <f t="shared" ref="G122:BR122" si="69">SUM(G123:G126)</f>
        <v>0</v>
      </c>
      <c r="H122" s="645">
        <f t="shared" si="69"/>
        <v>0</v>
      </c>
      <c r="I122" s="645">
        <f t="shared" si="69"/>
        <v>0</v>
      </c>
      <c r="J122" s="645">
        <f t="shared" si="69"/>
        <v>0</v>
      </c>
      <c r="K122" s="645">
        <f t="shared" si="69"/>
        <v>0</v>
      </c>
      <c r="L122" s="645">
        <f t="shared" si="69"/>
        <v>0</v>
      </c>
      <c r="M122" s="645">
        <f t="shared" si="69"/>
        <v>0</v>
      </c>
      <c r="N122" s="645">
        <f t="shared" si="69"/>
        <v>0</v>
      </c>
      <c r="O122" s="645">
        <f t="shared" si="69"/>
        <v>0</v>
      </c>
      <c r="P122" s="645">
        <f t="shared" si="69"/>
        <v>0</v>
      </c>
      <c r="Q122" s="645">
        <f t="shared" si="69"/>
        <v>0</v>
      </c>
      <c r="R122" s="645">
        <f t="shared" si="69"/>
        <v>0</v>
      </c>
      <c r="S122" s="645">
        <f t="shared" si="69"/>
        <v>0</v>
      </c>
      <c r="T122" s="645">
        <f t="shared" si="69"/>
        <v>0</v>
      </c>
      <c r="U122" s="645">
        <f t="shared" si="69"/>
        <v>0</v>
      </c>
      <c r="V122" s="645">
        <f t="shared" si="69"/>
        <v>0</v>
      </c>
      <c r="W122" s="645">
        <f t="shared" si="69"/>
        <v>0</v>
      </c>
      <c r="X122" s="645">
        <f t="shared" si="69"/>
        <v>0</v>
      </c>
      <c r="Y122" s="645">
        <f t="shared" si="69"/>
        <v>0</v>
      </c>
      <c r="Z122" s="645">
        <f t="shared" si="69"/>
        <v>0</v>
      </c>
      <c r="AA122" s="645">
        <f t="shared" si="69"/>
        <v>0</v>
      </c>
      <c r="AB122" s="645">
        <f t="shared" si="69"/>
        <v>0</v>
      </c>
      <c r="AC122" s="645">
        <f t="shared" si="69"/>
        <v>0</v>
      </c>
      <c r="AD122" s="645">
        <f t="shared" si="69"/>
        <v>0</v>
      </c>
      <c r="AE122" s="645">
        <f t="shared" si="69"/>
        <v>0</v>
      </c>
      <c r="AF122" s="645">
        <f t="shared" si="69"/>
        <v>0</v>
      </c>
      <c r="AG122" s="645">
        <f t="shared" si="69"/>
        <v>0</v>
      </c>
      <c r="AH122" s="645">
        <f t="shared" si="69"/>
        <v>0</v>
      </c>
      <c r="AI122" s="645">
        <v>0</v>
      </c>
      <c r="AJ122" s="645">
        <v>0</v>
      </c>
      <c r="AK122" s="645">
        <v>0</v>
      </c>
      <c r="AL122" s="645">
        <v>0</v>
      </c>
      <c r="AM122" s="645">
        <f t="shared" si="69"/>
        <v>0</v>
      </c>
      <c r="AN122" s="645">
        <f t="shared" si="69"/>
        <v>0</v>
      </c>
      <c r="AO122" s="645">
        <f t="shared" si="69"/>
        <v>0</v>
      </c>
      <c r="AP122" s="645">
        <f t="shared" si="69"/>
        <v>0</v>
      </c>
      <c r="AQ122" s="645">
        <f t="shared" si="69"/>
        <v>0</v>
      </c>
      <c r="AR122" s="645">
        <f t="shared" si="69"/>
        <v>0</v>
      </c>
      <c r="AS122" s="645">
        <f t="shared" si="69"/>
        <v>0</v>
      </c>
      <c r="AT122" s="645">
        <f t="shared" si="69"/>
        <v>0</v>
      </c>
      <c r="AU122" s="645">
        <f t="shared" si="69"/>
        <v>0</v>
      </c>
      <c r="AV122" s="645">
        <f t="shared" si="69"/>
        <v>0</v>
      </c>
      <c r="AW122" s="645">
        <f t="shared" si="69"/>
        <v>0</v>
      </c>
      <c r="AX122" s="645">
        <f t="shared" si="69"/>
        <v>0</v>
      </c>
      <c r="AY122" s="645">
        <f t="shared" si="69"/>
        <v>0</v>
      </c>
      <c r="AZ122" s="645">
        <f t="shared" si="69"/>
        <v>0</v>
      </c>
      <c r="BA122" s="645">
        <f t="shared" si="69"/>
        <v>0</v>
      </c>
      <c r="BB122" s="645">
        <f t="shared" si="69"/>
        <v>0</v>
      </c>
      <c r="BC122" s="645">
        <f t="shared" si="69"/>
        <v>0</v>
      </c>
      <c r="BD122" s="645">
        <f t="shared" si="69"/>
        <v>0</v>
      </c>
      <c r="BE122" s="645">
        <f t="shared" si="69"/>
        <v>0</v>
      </c>
      <c r="BF122" s="645">
        <f t="shared" si="69"/>
        <v>0</v>
      </c>
      <c r="BG122" s="645">
        <f t="shared" si="69"/>
        <v>0</v>
      </c>
      <c r="BH122" s="645">
        <f t="shared" si="69"/>
        <v>0</v>
      </c>
      <c r="BI122" s="645">
        <f t="shared" si="69"/>
        <v>0</v>
      </c>
      <c r="BJ122" s="645">
        <f t="shared" si="69"/>
        <v>0</v>
      </c>
      <c r="BK122" s="645">
        <f t="shared" si="69"/>
        <v>0</v>
      </c>
      <c r="BL122" s="645">
        <f t="shared" si="69"/>
        <v>0</v>
      </c>
      <c r="BM122" s="645">
        <f t="shared" si="69"/>
        <v>0</v>
      </c>
      <c r="BN122" s="645">
        <f t="shared" si="69"/>
        <v>0</v>
      </c>
      <c r="BO122" s="645">
        <f t="shared" si="69"/>
        <v>0</v>
      </c>
      <c r="BP122" s="645">
        <f t="shared" si="69"/>
        <v>0</v>
      </c>
      <c r="BQ122" s="645">
        <f t="shared" si="69"/>
        <v>0</v>
      </c>
      <c r="BR122" s="645">
        <f t="shared" si="69"/>
        <v>0</v>
      </c>
      <c r="BS122" s="645">
        <f t="shared" ref="BS122:CD122" si="70">SUM(BS123:BS126)</f>
        <v>0</v>
      </c>
      <c r="BT122" s="645">
        <f t="shared" si="70"/>
        <v>0</v>
      </c>
      <c r="BU122" s="645">
        <f t="shared" si="70"/>
        <v>0</v>
      </c>
      <c r="BV122" s="645">
        <f t="shared" si="70"/>
        <v>0</v>
      </c>
      <c r="BW122" s="645">
        <f t="shared" si="70"/>
        <v>0</v>
      </c>
      <c r="BX122" s="645">
        <f t="shared" si="70"/>
        <v>0</v>
      </c>
      <c r="BY122" s="645">
        <f t="shared" si="70"/>
        <v>0</v>
      </c>
      <c r="BZ122" s="645">
        <f t="shared" si="70"/>
        <v>0</v>
      </c>
      <c r="CA122" s="645">
        <f t="shared" si="70"/>
        <v>30000000</v>
      </c>
      <c r="CB122" s="645">
        <f t="shared" si="70"/>
        <v>29311699.999999996</v>
      </c>
      <c r="CC122" s="645">
        <f t="shared" si="70"/>
        <v>5402100</v>
      </c>
      <c r="CD122" s="645">
        <f t="shared" si="70"/>
        <v>3752100</v>
      </c>
      <c r="CE122" s="1001">
        <f t="shared" si="43"/>
        <v>0</v>
      </c>
      <c r="CF122" s="1002">
        <f t="shared" si="44"/>
        <v>29311699.999999996</v>
      </c>
      <c r="CG122" s="1002">
        <f t="shared" si="44"/>
        <v>5402100</v>
      </c>
      <c r="CH122" s="643">
        <f t="shared" si="44"/>
        <v>3752100</v>
      </c>
      <c r="CK122" s="39"/>
      <c r="CL122" s="1009">
        <f>+'[5]Anexo 5.2.A'!Z132</f>
        <v>0</v>
      </c>
      <c r="CM122" s="1009">
        <f>+'[5]Anexo 5.2.A'!AA132</f>
        <v>0</v>
      </c>
      <c r="CN122" s="1009">
        <f>+'[5]Anexo 5.2.A'!AB132</f>
        <v>0</v>
      </c>
    </row>
    <row r="123" spans="1:92" ht="66" x14ac:dyDescent="0.25">
      <c r="A123" s="1053" t="s">
        <v>399</v>
      </c>
      <c r="B123" s="1005">
        <v>20000000</v>
      </c>
      <c r="C123" s="988">
        <f>C$122*(B123/B$122)</f>
        <v>20000000</v>
      </c>
      <c r="D123" s="988">
        <f t="shared" ref="D123:F123" si="71">D$122*(C123/C$122)</f>
        <v>19541133.333333332</v>
      </c>
      <c r="E123" s="988">
        <f t="shared" si="71"/>
        <v>3601400</v>
      </c>
      <c r="F123" s="988">
        <f t="shared" si="71"/>
        <v>2501400</v>
      </c>
      <c r="G123" s="989"/>
      <c r="H123" s="989"/>
      <c r="I123" s="989"/>
      <c r="J123" s="989"/>
      <c r="K123" s="989"/>
      <c r="L123" s="989"/>
      <c r="M123" s="989"/>
      <c r="N123" s="989"/>
      <c r="O123" s="989"/>
      <c r="P123" s="989"/>
      <c r="Q123" s="989"/>
      <c r="R123" s="989"/>
      <c r="S123" s="989"/>
      <c r="T123" s="989"/>
      <c r="U123" s="989"/>
      <c r="V123" s="989"/>
      <c r="W123" s="989"/>
      <c r="X123" s="989"/>
      <c r="Y123" s="989"/>
      <c r="Z123" s="989"/>
      <c r="AA123" s="989"/>
      <c r="AB123" s="989"/>
      <c r="AC123" s="989"/>
      <c r="AD123" s="989"/>
      <c r="AE123" s="988"/>
      <c r="AF123" s="988"/>
      <c r="AG123" s="988"/>
      <c r="AH123" s="988"/>
      <c r="AI123" s="991"/>
      <c r="AJ123" s="991"/>
      <c r="AK123" s="991"/>
      <c r="AL123" s="991"/>
      <c r="AM123" s="988"/>
      <c r="AN123" s="988"/>
      <c r="AO123" s="988"/>
      <c r="AP123" s="988"/>
      <c r="AQ123" s="988"/>
      <c r="AR123" s="988"/>
      <c r="AS123" s="988"/>
      <c r="AT123" s="988"/>
      <c r="AU123" s="988"/>
      <c r="AV123" s="988"/>
      <c r="AW123" s="988"/>
      <c r="AX123" s="988"/>
      <c r="AY123" s="988"/>
      <c r="AZ123" s="988"/>
      <c r="BA123" s="988"/>
      <c r="BB123" s="988"/>
      <c r="BC123" s="988"/>
      <c r="BD123" s="988"/>
      <c r="BE123" s="988"/>
      <c r="BF123" s="988"/>
      <c r="BG123" s="988"/>
      <c r="BH123" s="988"/>
      <c r="BI123" s="988"/>
      <c r="BJ123" s="988"/>
      <c r="BK123" s="988"/>
      <c r="BL123" s="988"/>
      <c r="BM123" s="988"/>
      <c r="BN123" s="988"/>
      <c r="BO123" s="988"/>
      <c r="BP123" s="988"/>
      <c r="BQ123" s="988"/>
      <c r="BR123" s="988"/>
      <c r="BS123" s="991"/>
      <c r="BT123" s="991"/>
      <c r="BU123" s="991"/>
      <c r="BV123" s="991"/>
      <c r="BW123" s="991"/>
      <c r="BX123" s="991"/>
      <c r="BY123" s="991"/>
      <c r="BZ123" s="991"/>
      <c r="CA123" s="640">
        <f t="shared" si="52"/>
        <v>20000000</v>
      </c>
      <c r="CB123" s="640">
        <f t="shared" si="52"/>
        <v>19541133.333333332</v>
      </c>
      <c r="CC123" s="640">
        <f t="shared" si="52"/>
        <v>3601400</v>
      </c>
      <c r="CD123" s="640">
        <f t="shared" si="52"/>
        <v>2501400</v>
      </c>
      <c r="CE123" s="641">
        <f t="shared" si="43"/>
        <v>0</v>
      </c>
      <c r="CF123" s="642">
        <f t="shared" si="44"/>
        <v>4475920.5333333313</v>
      </c>
      <c r="CG123" s="642">
        <f t="shared" si="44"/>
        <v>-11463812.800000001</v>
      </c>
      <c r="CH123" s="643">
        <f t="shared" si="44"/>
        <v>2501400</v>
      </c>
      <c r="CK123" s="39" t="s">
        <v>399</v>
      </c>
      <c r="CL123" s="638">
        <v>15065212.800000001</v>
      </c>
      <c r="CM123" s="638">
        <v>15065212.800000001</v>
      </c>
    </row>
    <row r="124" spans="1:92" ht="33" x14ac:dyDescent="0.25">
      <c r="A124" s="1053" t="s">
        <v>401</v>
      </c>
      <c r="B124" s="1012">
        <v>5000000</v>
      </c>
      <c r="C124" s="988">
        <f t="shared" ref="C124:F126" si="72">C$122*(B124/B$122)</f>
        <v>5000000</v>
      </c>
      <c r="D124" s="988">
        <f t="shared" si="72"/>
        <v>4885283.333333333</v>
      </c>
      <c r="E124" s="988">
        <f t="shared" si="72"/>
        <v>900350</v>
      </c>
      <c r="F124" s="988">
        <f t="shared" si="72"/>
        <v>625350</v>
      </c>
      <c r="G124" s="989"/>
      <c r="H124" s="989"/>
      <c r="I124" s="989"/>
      <c r="J124" s="989"/>
      <c r="K124" s="989"/>
      <c r="L124" s="989"/>
      <c r="M124" s="989"/>
      <c r="N124" s="989"/>
      <c r="O124" s="989"/>
      <c r="P124" s="989"/>
      <c r="Q124" s="989"/>
      <c r="R124" s="989"/>
      <c r="S124" s="989"/>
      <c r="T124" s="989"/>
      <c r="U124" s="989"/>
      <c r="V124" s="989"/>
      <c r="W124" s="989"/>
      <c r="X124" s="989"/>
      <c r="Y124" s="989"/>
      <c r="Z124" s="989"/>
      <c r="AA124" s="989"/>
      <c r="AB124" s="989"/>
      <c r="AC124" s="989"/>
      <c r="AD124" s="989"/>
      <c r="AE124" s="988"/>
      <c r="AF124" s="988"/>
      <c r="AG124" s="988"/>
      <c r="AH124" s="988"/>
      <c r="AI124" s="991"/>
      <c r="AJ124" s="991"/>
      <c r="AK124" s="991"/>
      <c r="AL124" s="991"/>
      <c r="AM124" s="988"/>
      <c r="AN124" s="988"/>
      <c r="AO124" s="988"/>
      <c r="AP124" s="988"/>
      <c r="AQ124" s="988"/>
      <c r="AR124" s="988"/>
      <c r="AS124" s="988"/>
      <c r="AT124" s="988"/>
      <c r="AU124" s="988"/>
      <c r="AV124" s="988"/>
      <c r="AW124" s="988"/>
      <c r="AX124" s="988"/>
      <c r="AY124" s="988"/>
      <c r="AZ124" s="988"/>
      <c r="BA124" s="988"/>
      <c r="BB124" s="988"/>
      <c r="BC124" s="988"/>
      <c r="BD124" s="988"/>
      <c r="BE124" s="988"/>
      <c r="BF124" s="988"/>
      <c r="BG124" s="988"/>
      <c r="BH124" s="988"/>
      <c r="BI124" s="988"/>
      <c r="BJ124" s="988"/>
      <c r="BK124" s="988"/>
      <c r="BL124" s="988"/>
      <c r="BM124" s="988"/>
      <c r="BN124" s="988"/>
      <c r="BO124" s="988"/>
      <c r="BP124" s="988"/>
      <c r="BQ124" s="988"/>
      <c r="BR124" s="988"/>
      <c r="BS124" s="991"/>
      <c r="BT124" s="991"/>
      <c r="BU124" s="991"/>
      <c r="BV124" s="991"/>
      <c r="BW124" s="991"/>
      <c r="BX124" s="991"/>
      <c r="BY124" s="991"/>
      <c r="BZ124" s="991"/>
      <c r="CA124" s="640">
        <f t="shared" si="52"/>
        <v>5000000</v>
      </c>
      <c r="CB124" s="640">
        <f t="shared" si="52"/>
        <v>4885283.333333333</v>
      </c>
      <c r="CC124" s="640">
        <f t="shared" si="52"/>
        <v>900350</v>
      </c>
      <c r="CD124" s="640">
        <f t="shared" si="52"/>
        <v>625350</v>
      </c>
      <c r="CE124" s="641">
        <f t="shared" si="43"/>
        <v>0</v>
      </c>
      <c r="CF124" s="642">
        <f t="shared" si="44"/>
        <v>1118980.1333333328</v>
      </c>
      <c r="CG124" s="642">
        <f t="shared" si="44"/>
        <v>-2865953.2</v>
      </c>
      <c r="CH124" s="643">
        <f t="shared" si="44"/>
        <v>625350</v>
      </c>
      <c r="CK124" s="39" t="s">
        <v>401</v>
      </c>
      <c r="CL124" s="638">
        <v>3766303.2</v>
      </c>
      <c r="CM124" s="638">
        <v>3766303.2</v>
      </c>
    </row>
    <row r="125" spans="1:92" ht="33" x14ac:dyDescent="0.3">
      <c r="A125" s="1053" t="s">
        <v>403</v>
      </c>
      <c r="B125" s="1012"/>
      <c r="C125" s="988">
        <f t="shared" si="72"/>
        <v>0</v>
      </c>
      <c r="D125" s="988">
        <f t="shared" si="72"/>
        <v>0</v>
      </c>
      <c r="E125" s="988">
        <f t="shared" si="72"/>
        <v>0</v>
      </c>
      <c r="F125" s="988">
        <f t="shared" si="72"/>
        <v>0</v>
      </c>
      <c r="G125" s="989"/>
      <c r="H125" s="989"/>
      <c r="I125" s="989"/>
      <c r="J125" s="989"/>
      <c r="K125" s="989"/>
      <c r="L125" s="989"/>
      <c r="M125" s="989"/>
      <c r="N125" s="989"/>
      <c r="O125" s="989"/>
      <c r="P125" s="989"/>
      <c r="Q125" s="989"/>
      <c r="R125" s="989"/>
      <c r="S125" s="989"/>
      <c r="T125" s="989"/>
      <c r="U125" s="989"/>
      <c r="V125" s="989"/>
      <c r="W125" s="989"/>
      <c r="X125" s="989"/>
      <c r="Y125" s="989"/>
      <c r="Z125" s="989"/>
      <c r="AA125" s="989"/>
      <c r="AB125" s="989"/>
      <c r="AC125" s="989"/>
      <c r="AD125" s="989"/>
      <c r="AE125" s="988"/>
      <c r="AF125" s="988"/>
      <c r="AG125" s="988"/>
      <c r="AH125" s="988"/>
      <c r="AI125" s="991"/>
      <c r="AJ125" s="991"/>
      <c r="AK125" s="991"/>
      <c r="AL125" s="991"/>
      <c r="AM125" s="988"/>
      <c r="AN125" s="988"/>
      <c r="AO125" s="988"/>
      <c r="AP125" s="988"/>
      <c r="AQ125" s="988"/>
      <c r="AR125" s="988"/>
      <c r="AS125" s="988"/>
      <c r="AT125" s="988"/>
      <c r="AU125" s="988"/>
      <c r="AV125" s="988"/>
      <c r="AW125" s="988"/>
      <c r="AX125" s="988"/>
      <c r="AY125" s="988"/>
      <c r="AZ125" s="988"/>
      <c r="BA125" s="988"/>
      <c r="BB125" s="988"/>
      <c r="BC125" s="988"/>
      <c r="BD125" s="988"/>
      <c r="BE125" s="988"/>
      <c r="BF125" s="988"/>
      <c r="BG125" s="988"/>
      <c r="BH125" s="988"/>
      <c r="BI125" s="988"/>
      <c r="BJ125" s="988"/>
      <c r="BK125" s="988"/>
      <c r="BL125" s="988"/>
      <c r="BM125" s="988"/>
      <c r="BN125" s="988"/>
      <c r="BO125" s="988"/>
      <c r="BP125" s="988"/>
      <c r="BQ125" s="988"/>
      <c r="BR125" s="988"/>
      <c r="BS125" s="1017"/>
      <c r="BT125" s="1017"/>
      <c r="BU125" s="1017"/>
      <c r="BV125" s="1017"/>
      <c r="BW125" s="1017"/>
      <c r="BX125" s="1017"/>
      <c r="BY125" s="1017"/>
      <c r="BZ125" s="1017"/>
      <c r="CA125" s="640">
        <f t="shared" si="52"/>
        <v>0</v>
      </c>
      <c r="CB125" s="640">
        <f t="shared" si="52"/>
        <v>0</v>
      </c>
      <c r="CC125" s="640">
        <f t="shared" si="52"/>
        <v>0</v>
      </c>
      <c r="CD125" s="640">
        <f t="shared" si="52"/>
        <v>0</v>
      </c>
      <c r="CE125" s="641">
        <f t="shared" si="43"/>
        <v>0</v>
      </c>
      <c r="CF125" s="642">
        <f t="shared" si="44"/>
        <v>-15065212.800000001</v>
      </c>
      <c r="CG125" s="642">
        <f t="shared" si="44"/>
        <v>-15065212.800000001</v>
      </c>
      <c r="CH125" s="643">
        <f t="shared" si="44"/>
        <v>0</v>
      </c>
      <c r="CK125" s="39" t="s">
        <v>403</v>
      </c>
      <c r="CL125" s="638">
        <v>15065212.800000001</v>
      </c>
      <c r="CM125" s="638">
        <v>15065212.800000001</v>
      </c>
    </row>
    <row r="126" spans="1:92" ht="33" x14ac:dyDescent="0.25">
      <c r="A126" s="1053" t="s">
        <v>405</v>
      </c>
      <c r="B126" s="1005">
        <v>5000000</v>
      </c>
      <c r="C126" s="988">
        <f t="shared" si="72"/>
        <v>5000000</v>
      </c>
      <c r="D126" s="988">
        <f t="shared" si="72"/>
        <v>4885283.333333333</v>
      </c>
      <c r="E126" s="988">
        <f t="shared" si="72"/>
        <v>900350</v>
      </c>
      <c r="F126" s="988">
        <f t="shared" si="72"/>
        <v>625350</v>
      </c>
      <c r="G126" s="989"/>
      <c r="H126" s="989"/>
      <c r="I126" s="989"/>
      <c r="J126" s="989"/>
      <c r="K126" s="989"/>
      <c r="L126" s="989"/>
      <c r="M126" s="989"/>
      <c r="N126" s="989"/>
      <c r="O126" s="989"/>
      <c r="P126" s="989"/>
      <c r="Q126" s="989"/>
      <c r="R126" s="989"/>
      <c r="S126" s="989"/>
      <c r="T126" s="989"/>
      <c r="U126" s="989"/>
      <c r="V126" s="989"/>
      <c r="W126" s="989"/>
      <c r="X126" s="989"/>
      <c r="Y126" s="989"/>
      <c r="Z126" s="989"/>
      <c r="AA126" s="989"/>
      <c r="AB126" s="989"/>
      <c r="AC126" s="989"/>
      <c r="AD126" s="989"/>
      <c r="AE126" s="988"/>
      <c r="AF126" s="988"/>
      <c r="AG126" s="988"/>
      <c r="AH126" s="988"/>
      <c r="AI126" s="991"/>
      <c r="AJ126" s="991"/>
      <c r="AK126" s="991"/>
      <c r="AL126" s="991"/>
      <c r="AM126" s="988"/>
      <c r="AN126" s="988"/>
      <c r="AO126" s="988"/>
      <c r="AP126" s="988"/>
      <c r="AQ126" s="988"/>
      <c r="AR126" s="988"/>
      <c r="AS126" s="988"/>
      <c r="AT126" s="988"/>
      <c r="AU126" s="988"/>
      <c r="AV126" s="988"/>
      <c r="AW126" s="988"/>
      <c r="AX126" s="988"/>
      <c r="AY126" s="988"/>
      <c r="AZ126" s="988"/>
      <c r="BA126" s="988"/>
      <c r="BB126" s="988"/>
      <c r="BC126" s="988"/>
      <c r="BD126" s="988"/>
      <c r="BE126" s="988"/>
      <c r="BF126" s="988"/>
      <c r="BG126" s="988"/>
      <c r="BH126" s="988"/>
      <c r="BI126" s="988"/>
      <c r="BJ126" s="988"/>
      <c r="BK126" s="988"/>
      <c r="BL126" s="988"/>
      <c r="BM126" s="988"/>
      <c r="BN126" s="988"/>
      <c r="BO126" s="988"/>
      <c r="BP126" s="988"/>
      <c r="BQ126" s="988"/>
      <c r="BR126" s="988"/>
      <c r="BS126" s="991"/>
      <c r="BT126" s="991"/>
      <c r="BU126" s="991"/>
      <c r="BV126" s="991"/>
      <c r="BW126" s="991"/>
      <c r="BX126" s="991"/>
      <c r="BY126" s="991"/>
      <c r="BZ126" s="991"/>
      <c r="CA126" s="640">
        <f t="shared" si="52"/>
        <v>5000000</v>
      </c>
      <c r="CB126" s="640">
        <f t="shared" si="52"/>
        <v>4885283.333333333</v>
      </c>
      <c r="CC126" s="640">
        <f t="shared" si="52"/>
        <v>900350</v>
      </c>
      <c r="CD126" s="640">
        <f t="shared" si="52"/>
        <v>625350</v>
      </c>
      <c r="CE126" s="641">
        <f t="shared" si="43"/>
        <v>0</v>
      </c>
      <c r="CF126" s="642">
        <f t="shared" si="44"/>
        <v>1118980.1333333328</v>
      </c>
      <c r="CG126" s="642">
        <f t="shared" si="44"/>
        <v>-2865953.2</v>
      </c>
      <c r="CH126" s="643">
        <f t="shared" si="44"/>
        <v>625350</v>
      </c>
      <c r="CK126" s="89" t="s">
        <v>405</v>
      </c>
      <c r="CL126" s="638">
        <v>3766303.2</v>
      </c>
      <c r="CM126" s="638">
        <v>3766303.2</v>
      </c>
    </row>
    <row r="127" spans="1:92" s="982" customFormat="1" ht="79.5" customHeight="1" x14ac:dyDescent="0.25">
      <c r="A127" s="644" t="s">
        <v>408</v>
      </c>
      <c r="B127" s="645">
        <v>30000000</v>
      </c>
      <c r="C127" s="645">
        <v>30000000</v>
      </c>
      <c r="D127" s="645">
        <v>2056666</v>
      </c>
      <c r="E127" s="645">
        <v>0</v>
      </c>
      <c r="F127" s="645">
        <v>0</v>
      </c>
      <c r="G127" s="645">
        <f t="shared" ref="G127:BR127" si="73">SUM(G128:G129)</f>
        <v>0</v>
      </c>
      <c r="H127" s="645">
        <f t="shared" si="73"/>
        <v>0</v>
      </c>
      <c r="I127" s="645">
        <f t="shared" si="73"/>
        <v>0</v>
      </c>
      <c r="J127" s="645">
        <f t="shared" si="73"/>
        <v>0</v>
      </c>
      <c r="K127" s="645">
        <f t="shared" si="73"/>
        <v>0</v>
      </c>
      <c r="L127" s="645">
        <f t="shared" si="73"/>
        <v>0</v>
      </c>
      <c r="M127" s="645">
        <f t="shared" si="73"/>
        <v>0</v>
      </c>
      <c r="N127" s="645">
        <f t="shared" si="73"/>
        <v>0</v>
      </c>
      <c r="O127" s="645">
        <f t="shared" si="73"/>
        <v>0</v>
      </c>
      <c r="P127" s="645">
        <f t="shared" si="73"/>
        <v>0</v>
      </c>
      <c r="Q127" s="645">
        <f t="shared" si="73"/>
        <v>0</v>
      </c>
      <c r="R127" s="645">
        <f t="shared" si="73"/>
        <v>0</v>
      </c>
      <c r="S127" s="645">
        <f t="shared" si="73"/>
        <v>0</v>
      </c>
      <c r="T127" s="645">
        <f t="shared" si="73"/>
        <v>0</v>
      </c>
      <c r="U127" s="645">
        <f t="shared" si="73"/>
        <v>0</v>
      </c>
      <c r="V127" s="645">
        <f t="shared" si="73"/>
        <v>0</v>
      </c>
      <c r="W127" s="645">
        <f t="shared" si="73"/>
        <v>0</v>
      </c>
      <c r="X127" s="645">
        <f t="shared" si="73"/>
        <v>0</v>
      </c>
      <c r="Y127" s="645">
        <f t="shared" si="73"/>
        <v>0</v>
      </c>
      <c r="Z127" s="645">
        <f t="shared" si="73"/>
        <v>0</v>
      </c>
      <c r="AA127" s="645">
        <f t="shared" si="73"/>
        <v>0</v>
      </c>
      <c r="AB127" s="645">
        <f t="shared" si="73"/>
        <v>0</v>
      </c>
      <c r="AC127" s="645">
        <f t="shared" si="73"/>
        <v>0</v>
      </c>
      <c r="AD127" s="645">
        <f t="shared" si="73"/>
        <v>0</v>
      </c>
      <c r="AE127" s="645">
        <f t="shared" si="73"/>
        <v>0</v>
      </c>
      <c r="AF127" s="645">
        <f t="shared" si="73"/>
        <v>0</v>
      </c>
      <c r="AG127" s="645">
        <f t="shared" si="73"/>
        <v>0</v>
      </c>
      <c r="AH127" s="645">
        <f t="shared" si="73"/>
        <v>0</v>
      </c>
      <c r="AI127" s="645">
        <v>0</v>
      </c>
      <c r="AJ127" s="645">
        <f t="shared" si="73"/>
        <v>0</v>
      </c>
      <c r="AK127" s="645">
        <f t="shared" si="73"/>
        <v>0</v>
      </c>
      <c r="AL127" s="645">
        <f t="shared" si="73"/>
        <v>0</v>
      </c>
      <c r="AM127" s="645">
        <f t="shared" si="73"/>
        <v>0</v>
      </c>
      <c r="AN127" s="645">
        <f t="shared" si="73"/>
        <v>0</v>
      </c>
      <c r="AO127" s="645">
        <f t="shared" si="73"/>
        <v>0</v>
      </c>
      <c r="AP127" s="645">
        <f t="shared" si="73"/>
        <v>0</v>
      </c>
      <c r="AQ127" s="645">
        <f t="shared" si="73"/>
        <v>0</v>
      </c>
      <c r="AR127" s="645">
        <f t="shared" si="73"/>
        <v>0</v>
      </c>
      <c r="AS127" s="645">
        <f t="shared" si="73"/>
        <v>0</v>
      </c>
      <c r="AT127" s="645">
        <f t="shared" si="73"/>
        <v>0</v>
      </c>
      <c r="AU127" s="645">
        <f t="shared" si="73"/>
        <v>0</v>
      </c>
      <c r="AV127" s="645">
        <f t="shared" si="73"/>
        <v>0</v>
      </c>
      <c r="AW127" s="645">
        <f t="shared" si="73"/>
        <v>0</v>
      </c>
      <c r="AX127" s="645">
        <f t="shared" si="73"/>
        <v>0</v>
      </c>
      <c r="AY127" s="645">
        <f t="shared" si="73"/>
        <v>0</v>
      </c>
      <c r="AZ127" s="645">
        <f t="shared" si="73"/>
        <v>0</v>
      </c>
      <c r="BA127" s="645">
        <f t="shared" si="73"/>
        <v>0</v>
      </c>
      <c r="BB127" s="645">
        <f t="shared" si="73"/>
        <v>0</v>
      </c>
      <c r="BC127" s="645">
        <f t="shared" si="73"/>
        <v>0</v>
      </c>
      <c r="BD127" s="645">
        <f t="shared" si="73"/>
        <v>0</v>
      </c>
      <c r="BE127" s="645">
        <f t="shared" si="73"/>
        <v>0</v>
      </c>
      <c r="BF127" s="645">
        <f t="shared" si="73"/>
        <v>0</v>
      </c>
      <c r="BG127" s="645">
        <f t="shared" si="73"/>
        <v>0</v>
      </c>
      <c r="BH127" s="645">
        <f t="shared" si="73"/>
        <v>0</v>
      </c>
      <c r="BI127" s="645">
        <f t="shared" si="73"/>
        <v>0</v>
      </c>
      <c r="BJ127" s="645">
        <f t="shared" si="73"/>
        <v>0</v>
      </c>
      <c r="BK127" s="645">
        <f t="shared" si="73"/>
        <v>0</v>
      </c>
      <c r="BL127" s="645">
        <f t="shared" si="73"/>
        <v>0</v>
      </c>
      <c r="BM127" s="645">
        <f t="shared" si="73"/>
        <v>0</v>
      </c>
      <c r="BN127" s="645">
        <f t="shared" si="73"/>
        <v>0</v>
      </c>
      <c r="BO127" s="645">
        <f t="shared" si="73"/>
        <v>0</v>
      </c>
      <c r="BP127" s="645">
        <f t="shared" si="73"/>
        <v>0</v>
      </c>
      <c r="BQ127" s="645">
        <f t="shared" si="73"/>
        <v>0</v>
      </c>
      <c r="BR127" s="645">
        <f t="shared" si="73"/>
        <v>0</v>
      </c>
      <c r="BS127" s="645">
        <f t="shared" ref="BS127:CD127" si="74">SUM(BS128:BS129)</f>
        <v>0</v>
      </c>
      <c r="BT127" s="645">
        <f t="shared" si="74"/>
        <v>0</v>
      </c>
      <c r="BU127" s="645">
        <f t="shared" si="74"/>
        <v>0</v>
      </c>
      <c r="BV127" s="645">
        <f t="shared" si="74"/>
        <v>0</v>
      </c>
      <c r="BW127" s="645">
        <f t="shared" si="74"/>
        <v>0</v>
      </c>
      <c r="BX127" s="645">
        <f t="shared" si="74"/>
        <v>0</v>
      </c>
      <c r="BY127" s="645">
        <f t="shared" si="74"/>
        <v>0</v>
      </c>
      <c r="BZ127" s="645">
        <f t="shared" si="74"/>
        <v>0</v>
      </c>
      <c r="CA127" s="645">
        <f t="shared" si="74"/>
        <v>30000000</v>
      </c>
      <c r="CB127" s="645">
        <f t="shared" si="74"/>
        <v>2056666</v>
      </c>
      <c r="CC127" s="645">
        <f t="shared" si="74"/>
        <v>0</v>
      </c>
      <c r="CD127" s="645" t="e">
        <f t="shared" si="74"/>
        <v>#DIV/0!</v>
      </c>
      <c r="CE127" s="664">
        <f t="shared" si="43"/>
        <v>0</v>
      </c>
      <c r="CF127" s="665">
        <f t="shared" si="44"/>
        <v>2056666</v>
      </c>
      <c r="CG127" s="665">
        <f t="shared" si="44"/>
        <v>0</v>
      </c>
      <c r="CH127" s="1054" t="e">
        <f t="shared" si="44"/>
        <v>#DIV/0!</v>
      </c>
      <c r="CJ127" s="983"/>
      <c r="CK127" s="1055"/>
      <c r="CL127" s="1004">
        <f>+'[5]Anexo 5.2.A'!Z136</f>
        <v>0</v>
      </c>
      <c r="CM127" s="1004">
        <f>+'[5]Anexo 5.2.A'!AA136</f>
        <v>0</v>
      </c>
      <c r="CN127" s="1004">
        <f>+'[5]Anexo 5.2.A'!AB136</f>
        <v>0</v>
      </c>
    </row>
    <row r="128" spans="1:92" ht="49.5" x14ac:dyDescent="0.25">
      <c r="A128" s="666" t="s">
        <v>409</v>
      </c>
      <c r="B128" s="663">
        <v>30000000</v>
      </c>
      <c r="C128" s="988">
        <f>C$127*(B128/B$127)</f>
        <v>30000000</v>
      </c>
      <c r="D128" s="988">
        <f t="shared" ref="D128:F129" si="75">D$127*(C128/C$127)</f>
        <v>2056666</v>
      </c>
      <c r="E128" s="988">
        <f t="shared" si="75"/>
        <v>0</v>
      </c>
      <c r="F128" s="988" t="e">
        <f t="shared" si="75"/>
        <v>#DIV/0!</v>
      </c>
      <c r="G128" s="989"/>
      <c r="H128" s="989"/>
      <c r="I128" s="989"/>
      <c r="J128" s="989"/>
      <c r="K128" s="989"/>
      <c r="L128" s="989"/>
      <c r="M128" s="989"/>
      <c r="N128" s="989"/>
      <c r="O128" s="989"/>
      <c r="P128" s="989"/>
      <c r="Q128" s="989"/>
      <c r="R128" s="989"/>
      <c r="S128" s="989"/>
      <c r="T128" s="989"/>
      <c r="U128" s="989"/>
      <c r="V128" s="989"/>
      <c r="W128" s="989"/>
      <c r="X128" s="989"/>
      <c r="Y128" s="989"/>
      <c r="Z128" s="989"/>
      <c r="AA128" s="989"/>
      <c r="AB128" s="989"/>
      <c r="AC128" s="989"/>
      <c r="AD128" s="989"/>
      <c r="AE128" s="988"/>
      <c r="AF128" s="988"/>
      <c r="AG128" s="988"/>
      <c r="AH128" s="988"/>
      <c r="AI128" s="988"/>
      <c r="AJ128" s="988"/>
      <c r="AK128" s="988"/>
      <c r="AL128" s="988"/>
      <c r="AM128" s="988"/>
      <c r="AN128" s="988"/>
      <c r="AO128" s="988"/>
      <c r="AP128" s="988"/>
      <c r="AQ128" s="988"/>
      <c r="AR128" s="988"/>
      <c r="AS128" s="988"/>
      <c r="AT128" s="988"/>
      <c r="AU128" s="988"/>
      <c r="AV128" s="988"/>
      <c r="AW128" s="988"/>
      <c r="AX128" s="988"/>
      <c r="AY128" s="988"/>
      <c r="AZ128" s="988"/>
      <c r="BA128" s="988"/>
      <c r="BB128" s="988"/>
      <c r="BC128" s="988"/>
      <c r="BD128" s="988"/>
      <c r="BE128" s="988"/>
      <c r="BF128" s="988"/>
      <c r="BG128" s="988"/>
      <c r="BH128" s="988"/>
      <c r="BI128" s="988"/>
      <c r="BJ128" s="988"/>
      <c r="BK128" s="988"/>
      <c r="BL128" s="988"/>
      <c r="BM128" s="988"/>
      <c r="BN128" s="988"/>
      <c r="BO128" s="988"/>
      <c r="BP128" s="988"/>
      <c r="BQ128" s="988"/>
      <c r="BR128" s="988"/>
      <c r="BS128" s="991"/>
      <c r="BT128" s="991"/>
      <c r="BU128" s="991"/>
      <c r="BV128" s="991"/>
      <c r="BW128" s="991"/>
      <c r="BX128" s="991"/>
      <c r="BY128" s="991"/>
      <c r="BZ128" s="991"/>
      <c r="CA128" s="640">
        <f t="shared" si="52"/>
        <v>30000000</v>
      </c>
      <c r="CB128" s="640">
        <f t="shared" si="52"/>
        <v>2056666</v>
      </c>
      <c r="CC128" s="640">
        <f t="shared" si="52"/>
        <v>0</v>
      </c>
      <c r="CD128" s="640" t="e">
        <f t="shared" si="52"/>
        <v>#DIV/0!</v>
      </c>
      <c r="CE128" s="641">
        <f t="shared" si="43"/>
        <v>0</v>
      </c>
      <c r="CF128" s="642">
        <f t="shared" si="44"/>
        <v>2056666</v>
      </c>
      <c r="CG128" s="642">
        <f t="shared" si="44"/>
        <v>0</v>
      </c>
      <c r="CH128" s="643" t="e">
        <f t="shared" si="44"/>
        <v>#DIV/0!</v>
      </c>
      <c r="CK128" s="39" t="s">
        <v>409</v>
      </c>
    </row>
    <row r="129" spans="1:92" ht="33" x14ac:dyDescent="0.25">
      <c r="A129" s="666" t="s">
        <v>412</v>
      </c>
      <c r="B129" s="663"/>
      <c r="C129" s="988">
        <f>C$127*(B129/B$127)</f>
        <v>0</v>
      </c>
      <c r="D129" s="988">
        <f t="shared" si="75"/>
        <v>0</v>
      </c>
      <c r="E129" s="988">
        <f t="shared" si="75"/>
        <v>0</v>
      </c>
      <c r="F129" s="988" t="e">
        <f t="shared" si="75"/>
        <v>#DIV/0!</v>
      </c>
      <c r="G129" s="989"/>
      <c r="H129" s="989"/>
      <c r="I129" s="989"/>
      <c r="J129" s="989"/>
      <c r="K129" s="989"/>
      <c r="L129" s="989"/>
      <c r="M129" s="989"/>
      <c r="N129" s="989"/>
      <c r="O129" s="989"/>
      <c r="P129" s="989"/>
      <c r="Q129" s="989"/>
      <c r="R129" s="989"/>
      <c r="S129" s="989"/>
      <c r="T129" s="989"/>
      <c r="U129" s="989"/>
      <c r="V129" s="989"/>
      <c r="W129" s="989"/>
      <c r="X129" s="989"/>
      <c r="Y129" s="989"/>
      <c r="Z129" s="989"/>
      <c r="AA129" s="989"/>
      <c r="AB129" s="989"/>
      <c r="AC129" s="989"/>
      <c r="AD129" s="989"/>
      <c r="AE129" s="988"/>
      <c r="AF129" s="988"/>
      <c r="AG129" s="988"/>
      <c r="AH129" s="988"/>
      <c r="AI129" s="991"/>
      <c r="AJ129" s="988"/>
      <c r="AK129" s="988"/>
      <c r="AL129" s="988"/>
      <c r="AM129" s="988"/>
      <c r="AN129" s="988"/>
      <c r="AO129" s="988"/>
      <c r="AP129" s="988"/>
      <c r="AQ129" s="988"/>
      <c r="AR129" s="988"/>
      <c r="AS129" s="988"/>
      <c r="AT129" s="988"/>
      <c r="AU129" s="988"/>
      <c r="AV129" s="988"/>
      <c r="AW129" s="988"/>
      <c r="AX129" s="988"/>
      <c r="AY129" s="988"/>
      <c r="AZ129" s="988"/>
      <c r="BA129" s="988"/>
      <c r="BB129" s="988"/>
      <c r="BC129" s="988"/>
      <c r="BD129" s="988"/>
      <c r="BE129" s="988"/>
      <c r="BF129" s="988"/>
      <c r="BG129" s="988"/>
      <c r="BH129" s="988"/>
      <c r="BI129" s="988"/>
      <c r="BJ129" s="988"/>
      <c r="BK129" s="988"/>
      <c r="BL129" s="988"/>
      <c r="BM129" s="988"/>
      <c r="BN129" s="988"/>
      <c r="BO129" s="988"/>
      <c r="BP129" s="988"/>
      <c r="BQ129" s="988"/>
      <c r="BR129" s="988"/>
      <c r="BS129" s="991"/>
      <c r="BT129" s="991"/>
      <c r="BU129" s="991"/>
      <c r="BV129" s="991"/>
      <c r="BW129" s="991"/>
      <c r="BX129" s="991"/>
      <c r="BY129" s="991"/>
      <c r="BZ129" s="991"/>
      <c r="CA129" s="640">
        <f t="shared" si="52"/>
        <v>0</v>
      </c>
      <c r="CB129" s="640">
        <f t="shared" si="52"/>
        <v>0</v>
      </c>
      <c r="CC129" s="640">
        <f t="shared" si="52"/>
        <v>0</v>
      </c>
      <c r="CD129" s="640" t="e">
        <f t="shared" si="52"/>
        <v>#DIV/0!</v>
      </c>
      <c r="CE129" s="641">
        <f t="shared" si="43"/>
        <v>0</v>
      </c>
      <c r="CF129" s="642">
        <f t="shared" si="44"/>
        <v>-19831622</v>
      </c>
      <c r="CG129" s="642">
        <f t="shared" si="44"/>
        <v>-19831622</v>
      </c>
      <c r="CH129" s="643" t="e">
        <f t="shared" si="44"/>
        <v>#DIV/0!</v>
      </c>
      <c r="CK129" s="39" t="s">
        <v>412</v>
      </c>
      <c r="CL129" s="638">
        <v>19831622</v>
      </c>
      <c r="CM129" s="638">
        <v>19831622</v>
      </c>
    </row>
    <row r="130" spans="1:92" s="982" customFormat="1" ht="75.75" customHeight="1" x14ac:dyDescent="0.25">
      <c r="A130" s="651" t="s">
        <v>417</v>
      </c>
      <c r="B130" s="645">
        <v>100000000</v>
      </c>
      <c r="C130" s="645">
        <v>100000000</v>
      </c>
      <c r="D130" s="645">
        <v>84853447</v>
      </c>
      <c r="E130" s="645">
        <v>22018913</v>
      </c>
      <c r="F130" s="645">
        <v>17321713</v>
      </c>
      <c r="G130" s="645">
        <f t="shared" ref="G130:BR130" si="76">SUM(G131:G135)</f>
        <v>0</v>
      </c>
      <c r="H130" s="645">
        <f t="shared" si="76"/>
        <v>0</v>
      </c>
      <c r="I130" s="645">
        <f t="shared" si="76"/>
        <v>0</v>
      </c>
      <c r="J130" s="645">
        <f t="shared" si="76"/>
        <v>0</v>
      </c>
      <c r="K130" s="645">
        <f t="shared" si="76"/>
        <v>0</v>
      </c>
      <c r="L130" s="645">
        <f t="shared" si="76"/>
        <v>0</v>
      </c>
      <c r="M130" s="645">
        <f t="shared" si="76"/>
        <v>0</v>
      </c>
      <c r="N130" s="645">
        <f t="shared" si="76"/>
        <v>0</v>
      </c>
      <c r="O130" s="645">
        <f t="shared" si="76"/>
        <v>0</v>
      </c>
      <c r="P130" s="645">
        <f t="shared" si="76"/>
        <v>0</v>
      </c>
      <c r="Q130" s="645">
        <f t="shared" si="76"/>
        <v>0</v>
      </c>
      <c r="R130" s="645">
        <f t="shared" si="76"/>
        <v>0</v>
      </c>
      <c r="S130" s="645">
        <f t="shared" si="76"/>
        <v>0</v>
      </c>
      <c r="T130" s="645">
        <f t="shared" si="76"/>
        <v>0</v>
      </c>
      <c r="U130" s="645">
        <f t="shared" si="76"/>
        <v>0</v>
      </c>
      <c r="V130" s="645">
        <f t="shared" si="76"/>
        <v>0</v>
      </c>
      <c r="W130" s="645">
        <f t="shared" si="76"/>
        <v>0</v>
      </c>
      <c r="X130" s="645">
        <f t="shared" si="76"/>
        <v>0</v>
      </c>
      <c r="Y130" s="645">
        <f t="shared" si="76"/>
        <v>0</v>
      </c>
      <c r="Z130" s="645">
        <f t="shared" si="76"/>
        <v>0</v>
      </c>
      <c r="AA130" s="645">
        <f t="shared" si="76"/>
        <v>0</v>
      </c>
      <c r="AB130" s="645">
        <f t="shared" si="76"/>
        <v>0</v>
      </c>
      <c r="AC130" s="645">
        <f t="shared" si="76"/>
        <v>0</v>
      </c>
      <c r="AD130" s="645">
        <f t="shared" si="76"/>
        <v>0</v>
      </c>
      <c r="AE130" s="645">
        <f t="shared" si="76"/>
        <v>0</v>
      </c>
      <c r="AF130" s="645">
        <f t="shared" si="76"/>
        <v>0</v>
      </c>
      <c r="AG130" s="645">
        <f t="shared" si="76"/>
        <v>0</v>
      </c>
      <c r="AH130" s="645">
        <f t="shared" si="76"/>
        <v>0</v>
      </c>
      <c r="AI130" s="645">
        <v>0</v>
      </c>
      <c r="AJ130" s="645">
        <v>0</v>
      </c>
      <c r="AK130" s="645">
        <v>0</v>
      </c>
      <c r="AL130" s="645">
        <v>0</v>
      </c>
      <c r="AM130" s="645">
        <f t="shared" si="76"/>
        <v>0</v>
      </c>
      <c r="AN130" s="645">
        <f t="shared" si="76"/>
        <v>0</v>
      </c>
      <c r="AO130" s="645">
        <f t="shared" si="76"/>
        <v>0</v>
      </c>
      <c r="AP130" s="645">
        <f t="shared" si="76"/>
        <v>0</v>
      </c>
      <c r="AQ130" s="645">
        <f t="shared" si="76"/>
        <v>0</v>
      </c>
      <c r="AR130" s="645">
        <f t="shared" si="76"/>
        <v>0</v>
      </c>
      <c r="AS130" s="645">
        <f t="shared" si="76"/>
        <v>0</v>
      </c>
      <c r="AT130" s="645">
        <f t="shared" si="76"/>
        <v>0</v>
      </c>
      <c r="AU130" s="645">
        <f t="shared" si="76"/>
        <v>0</v>
      </c>
      <c r="AV130" s="645">
        <f t="shared" si="76"/>
        <v>0</v>
      </c>
      <c r="AW130" s="645">
        <f t="shared" si="76"/>
        <v>0</v>
      </c>
      <c r="AX130" s="645">
        <f t="shared" si="76"/>
        <v>0</v>
      </c>
      <c r="AY130" s="645">
        <f t="shared" si="76"/>
        <v>0</v>
      </c>
      <c r="AZ130" s="645">
        <f t="shared" si="76"/>
        <v>0</v>
      </c>
      <c r="BA130" s="645">
        <f t="shared" si="76"/>
        <v>0</v>
      </c>
      <c r="BB130" s="645">
        <f t="shared" si="76"/>
        <v>0</v>
      </c>
      <c r="BC130" s="645">
        <f t="shared" si="76"/>
        <v>0</v>
      </c>
      <c r="BD130" s="645">
        <f t="shared" si="76"/>
        <v>0</v>
      </c>
      <c r="BE130" s="645">
        <f t="shared" si="76"/>
        <v>0</v>
      </c>
      <c r="BF130" s="645">
        <f t="shared" si="76"/>
        <v>0</v>
      </c>
      <c r="BG130" s="645">
        <f t="shared" si="76"/>
        <v>0</v>
      </c>
      <c r="BH130" s="645">
        <f t="shared" si="76"/>
        <v>0</v>
      </c>
      <c r="BI130" s="645">
        <f t="shared" si="76"/>
        <v>0</v>
      </c>
      <c r="BJ130" s="645">
        <f t="shared" si="76"/>
        <v>0</v>
      </c>
      <c r="BK130" s="645">
        <f t="shared" si="76"/>
        <v>0</v>
      </c>
      <c r="BL130" s="645">
        <f t="shared" si="76"/>
        <v>0</v>
      </c>
      <c r="BM130" s="645">
        <f t="shared" si="76"/>
        <v>0</v>
      </c>
      <c r="BN130" s="645">
        <f t="shared" si="76"/>
        <v>0</v>
      </c>
      <c r="BO130" s="645">
        <f t="shared" si="76"/>
        <v>0</v>
      </c>
      <c r="BP130" s="645">
        <f t="shared" si="76"/>
        <v>0</v>
      </c>
      <c r="BQ130" s="645">
        <f t="shared" si="76"/>
        <v>0</v>
      </c>
      <c r="BR130" s="645">
        <f t="shared" si="76"/>
        <v>0</v>
      </c>
      <c r="BS130" s="645">
        <f t="shared" ref="BS130:CD130" si="77">SUM(BS131:BS135)</f>
        <v>0</v>
      </c>
      <c r="BT130" s="645">
        <f t="shared" si="77"/>
        <v>0</v>
      </c>
      <c r="BU130" s="645">
        <f t="shared" si="77"/>
        <v>0</v>
      </c>
      <c r="BV130" s="645">
        <f t="shared" si="77"/>
        <v>0</v>
      </c>
      <c r="BW130" s="645">
        <f t="shared" si="77"/>
        <v>0</v>
      </c>
      <c r="BX130" s="645">
        <f t="shared" si="77"/>
        <v>0</v>
      </c>
      <c r="BY130" s="645">
        <f t="shared" si="77"/>
        <v>0</v>
      </c>
      <c r="BZ130" s="645">
        <f t="shared" si="77"/>
        <v>0</v>
      </c>
      <c r="CA130" s="645">
        <f t="shared" si="77"/>
        <v>100000000</v>
      </c>
      <c r="CB130" s="645">
        <f t="shared" si="77"/>
        <v>84853447</v>
      </c>
      <c r="CC130" s="645">
        <f t="shared" si="77"/>
        <v>22018913</v>
      </c>
      <c r="CD130" s="645">
        <f t="shared" si="77"/>
        <v>17321713</v>
      </c>
      <c r="CE130" s="664">
        <f t="shared" si="43"/>
        <v>0</v>
      </c>
      <c r="CF130" s="665">
        <f t="shared" si="44"/>
        <v>84853447</v>
      </c>
      <c r="CG130" s="665">
        <f t="shared" si="44"/>
        <v>22018913</v>
      </c>
      <c r="CH130" s="1054">
        <f t="shared" si="44"/>
        <v>17321713</v>
      </c>
      <c r="CJ130" s="983"/>
      <c r="CK130" s="1003"/>
      <c r="CL130" s="1004">
        <f>+'[5]Anexo 5.2.A'!Z146</f>
        <v>0</v>
      </c>
      <c r="CM130" s="1004">
        <f>+'[5]Anexo 5.2.A'!AA146</f>
        <v>0</v>
      </c>
      <c r="CN130" s="1004">
        <f>+'[5]Anexo 5.2.A'!AB146</f>
        <v>0</v>
      </c>
    </row>
    <row r="131" spans="1:92" ht="33" x14ac:dyDescent="0.3">
      <c r="A131" s="1056" t="s">
        <v>418</v>
      </c>
      <c r="B131" s="1005">
        <v>25000000</v>
      </c>
      <c r="C131" s="988">
        <f>C$130*(B131/B$130)</f>
        <v>25000000</v>
      </c>
      <c r="D131" s="988">
        <f t="shared" ref="D131:F131" si="78">D$130*(C131/C$130)</f>
        <v>21213361.75</v>
      </c>
      <c r="E131" s="988">
        <f t="shared" si="78"/>
        <v>5504728.25</v>
      </c>
      <c r="F131" s="988">
        <f t="shared" si="78"/>
        <v>4330428.25</v>
      </c>
      <c r="G131" s="989"/>
      <c r="H131" s="989"/>
      <c r="I131" s="989"/>
      <c r="J131" s="989"/>
      <c r="K131" s="989"/>
      <c r="L131" s="989"/>
      <c r="M131" s="989"/>
      <c r="N131" s="989"/>
      <c r="O131" s="989"/>
      <c r="P131" s="989"/>
      <c r="Q131" s="989"/>
      <c r="R131" s="989"/>
      <c r="S131" s="989"/>
      <c r="T131" s="989"/>
      <c r="U131" s="989"/>
      <c r="V131" s="989"/>
      <c r="W131" s="989"/>
      <c r="X131" s="989"/>
      <c r="Y131" s="989"/>
      <c r="Z131" s="989"/>
      <c r="AA131" s="989"/>
      <c r="AB131" s="989"/>
      <c r="AC131" s="989"/>
      <c r="AD131" s="989"/>
      <c r="AE131" s="988"/>
      <c r="AF131" s="988"/>
      <c r="AG131" s="988"/>
      <c r="AH131" s="988"/>
      <c r="AI131" s="991"/>
      <c r="AJ131" s="991"/>
      <c r="AK131" s="991"/>
      <c r="AL131" s="991"/>
      <c r="AM131" s="988"/>
      <c r="AN131" s="988"/>
      <c r="AO131" s="988"/>
      <c r="AP131" s="988"/>
      <c r="AQ131" s="988"/>
      <c r="AR131" s="988"/>
      <c r="AS131" s="988"/>
      <c r="AT131" s="988"/>
      <c r="AU131" s="988"/>
      <c r="AV131" s="988"/>
      <c r="AW131" s="988"/>
      <c r="AX131" s="988"/>
      <c r="AY131" s="988"/>
      <c r="AZ131" s="988"/>
      <c r="BA131" s="988"/>
      <c r="BB131" s="988"/>
      <c r="BC131" s="988"/>
      <c r="BD131" s="988"/>
      <c r="BE131" s="988"/>
      <c r="BF131" s="988"/>
      <c r="BG131" s="988"/>
      <c r="BH131" s="988"/>
      <c r="BI131" s="988"/>
      <c r="BJ131" s="988"/>
      <c r="BK131" s="988"/>
      <c r="BL131" s="988"/>
      <c r="BM131" s="988"/>
      <c r="BN131" s="988"/>
      <c r="BO131" s="988"/>
      <c r="BP131" s="988"/>
      <c r="BQ131" s="988"/>
      <c r="BR131" s="988"/>
      <c r="BS131" s="1017"/>
      <c r="BT131" s="1017"/>
      <c r="BU131" s="1017"/>
      <c r="BV131" s="1017"/>
      <c r="BW131" s="1017"/>
      <c r="BX131" s="1017"/>
      <c r="BY131" s="1017"/>
      <c r="BZ131" s="1017"/>
      <c r="CA131" s="640">
        <f t="shared" si="52"/>
        <v>25000000</v>
      </c>
      <c r="CB131" s="640">
        <f t="shared" si="52"/>
        <v>21213361.75</v>
      </c>
      <c r="CC131" s="640">
        <f t="shared" si="52"/>
        <v>5504728.25</v>
      </c>
      <c r="CD131" s="640">
        <f t="shared" si="52"/>
        <v>4330428.25</v>
      </c>
      <c r="CE131" s="641">
        <f t="shared" ref="CE131:CE194" si="79">+CA131-B131</f>
        <v>0</v>
      </c>
      <c r="CF131" s="642">
        <f t="shared" ref="CF131:CH194" si="80">+CB131-CL131</f>
        <v>-17549157.649999999</v>
      </c>
      <c r="CG131" s="642">
        <f t="shared" si="80"/>
        <v>-15187792.350000001</v>
      </c>
      <c r="CH131" s="643">
        <f t="shared" si="80"/>
        <v>4330428.25</v>
      </c>
      <c r="CI131" s="993"/>
      <c r="CK131" s="39" t="s">
        <v>418</v>
      </c>
      <c r="CL131" s="638">
        <v>38762519.399999999</v>
      </c>
      <c r="CM131" s="638">
        <v>20692520.600000001</v>
      </c>
    </row>
    <row r="132" spans="1:92" ht="49.5" x14ac:dyDescent="0.25">
      <c r="A132" s="1056" t="s">
        <v>421</v>
      </c>
      <c r="B132" s="1005">
        <v>25000000</v>
      </c>
      <c r="C132" s="988">
        <f t="shared" ref="C132:F135" si="81">C$130*(B132/B$130)</f>
        <v>25000000</v>
      </c>
      <c r="D132" s="988">
        <f t="shared" si="81"/>
        <v>21213361.75</v>
      </c>
      <c r="E132" s="988">
        <f t="shared" si="81"/>
        <v>5504728.25</v>
      </c>
      <c r="F132" s="988">
        <f t="shared" si="81"/>
        <v>4330428.25</v>
      </c>
      <c r="G132" s="989"/>
      <c r="H132" s="989"/>
      <c r="I132" s="989"/>
      <c r="J132" s="989"/>
      <c r="K132" s="989"/>
      <c r="L132" s="989"/>
      <c r="M132" s="989"/>
      <c r="N132" s="989"/>
      <c r="O132" s="989"/>
      <c r="P132" s="989"/>
      <c r="Q132" s="989"/>
      <c r="R132" s="989"/>
      <c r="S132" s="989"/>
      <c r="T132" s="989"/>
      <c r="U132" s="989"/>
      <c r="V132" s="989"/>
      <c r="W132" s="989"/>
      <c r="X132" s="989"/>
      <c r="Y132" s="989"/>
      <c r="Z132" s="989"/>
      <c r="AA132" s="989"/>
      <c r="AB132" s="989"/>
      <c r="AC132" s="989"/>
      <c r="AD132" s="989"/>
      <c r="AE132" s="988"/>
      <c r="AF132" s="988"/>
      <c r="AG132" s="988"/>
      <c r="AH132" s="988"/>
      <c r="AI132" s="991"/>
      <c r="AJ132" s="991"/>
      <c r="AK132" s="991"/>
      <c r="AL132" s="991"/>
      <c r="AM132" s="988"/>
      <c r="AN132" s="988"/>
      <c r="AO132" s="988"/>
      <c r="AP132" s="988"/>
      <c r="AQ132" s="988"/>
      <c r="AR132" s="988"/>
      <c r="AS132" s="988"/>
      <c r="AT132" s="988"/>
      <c r="AU132" s="988"/>
      <c r="AV132" s="988"/>
      <c r="AW132" s="988"/>
      <c r="AX132" s="988"/>
      <c r="AY132" s="988"/>
      <c r="AZ132" s="988"/>
      <c r="BA132" s="988"/>
      <c r="BB132" s="988"/>
      <c r="BC132" s="988"/>
      <c r="BD132" s="988"/>
      <c r="BE132" s="988"/>
      <c r="BF132" s="988"/>
      <c r="BG132" s="988"/>
      <c r="BH132" s="988"/>
      <c r="BI132" s="988"/>
      <c r="BJ132" s="988"/>
      <c r="BK132" s="988"/>
      <c r="BL132" s="988"/>
      <c r="BM132" s="988"/>
      <c r="BN132" s="988"/>
      <c r="BO132" s="988"/>
      <c r="BP132" s="988"/>
      <c r="BQ132" s="988"/>
      <c r="BR132" s="988"/>
      <c r="BS132" s="991"/>
      <c r="BT132" s="991"/>
      <c r="BU132" s="991"/>
      <c r="BV132" s="991"/>
      <c r="BW132" s="991"/>
      <c r="BX132" s="991"/>
      <c r="BY132" s="991"/>
      <c r="BZ132" s="991"/>
      <c r="CA132" s="640">
        <f t="shared" si="52"/>
        <v>25000000</v>
      </c>
      <c r="CB132" s="640">
        <f t="shared" si="52"/>
        <v>21213361.75</v>
      </c>
      <c r="CC132" s="640">
        <f t="shared" si="52"/>
        <v>5504728.25</v>
      </c>
      <c r="CD132" s="640">
        <f t="shared" si="52"/>
        <v>4330428.25</v>
      </c>
      <c r="CE132" s="641">
        <f t="shared" si="79"/>
        <v>0</v>
      </c>
      <c r="CF132" s="642">
        <f t="shared" si="80"/>
        <v>-17549157.649999999</v>
      </c>
      <c r="CG132" s="642">
        <f t="shared" si="80"/>
        <v>-15187792.350000001</v>
      </c>
      <c r="CH132" s="643">
        <f t="shared" si="80"/>
        <v>4330428.25</v>
      </c>
      <c r="CK132" s="39" t="s">
        <v>421</v>
      </c>
      <c r="CL132" s="638">
        <v>38762519.399999999</v>
      </c>
      <c r="CM132" s="638">
        <v>20692520.600000001</v>
      </c>
    </row>
    <row r="133" spans="1:92" ht="49.5" x14ac:dyDescent="0.3">
      <c r="A133" s="1056" t="s">
        <v>1584</v>
      </c>
      <c r="B133" s="1005">
        <v>25000000</v>
      </c>
      <c r="C133" s="988">
        <f t="shared" si="81"/>
        <v>25000000</v>
      </c>
      <c r="D133" s="988">
        <f t="shared" si="81"/>
        <v>21213361.75</v>
      </c>
      <c r="E133" s="988">
        <f t="shared" si="81"/>
        <v>5504728.25</v>
      </c>
      <c r="F133" s="988">
        <f t="shared" si="81"/>
        <v>4330428.25</v>
      </c>
      <c r="G133" s="989"/>
      <c r="H133" s="989"/>
      <c r="I133" s="989"/>
      <c r="J133" s="989"/>
      <c r="K133" s="989"/>
      <c r="L133" s="989"/>
      <c r="M133" s="989"/>
      <c r="N133" s="989"/>
      <c r="O133" s="989"/>
      <c r="P133" s="989"/>
      <c r="Q133" s="989"/>
      <c r="R133" s="989"/>
      <c r="S133" s="989"/>
      <c r="T133" s="989"/>
      <c r="U133" s="989"/>
      <c r="V133" s="989"/>
      <c r="W133" s="989"/>
      <c r="X133" s="989"/>
      <c r="Y133" s="989"/>
      <c r="Z133" s="989"/>
      <c r="AA133" s="989"/>
      <c r="AB133" s="989"/>
      <c r="AC133" s="989"/>
      <c r="AD133" s="989"/>
      <c r="AE133" s="988"/>
      <c r="AF133" s="988"/>
      <c r="AG133" s="988"/>
      <c r="AH133" s="988"/>
      <c r="AI133" s="991"/>
      <c r="AJ133" s="991"/>
      <c r="AK133" s="991"/>
      <c r="AL133" s="991"/>
      <c r="AM133" s="988"/>
      <c r="AN133" s="988"/>
      <c r="AO133" s="988"/>
      <c r="AP133" s="988"/>
      <c r="AQ133" s="988"/>
      <c r="AR133" s="988"/>
      <c r="AS133" s="988"/>
      <c r="AT133" s="988"/>
      <c r="AU133" s="988"/>
      <c r="AV133" s="988"/>
      <c r="AW133" s="988"/>
      <c r="AX133" s="988"/>
      <c r="AY133" s="988"/>
      <c r="AZ133" s="988"/>
      <c r="BA133" s="988"/>
      <c r="BB133" s="988"/>
      <c r="BC133" s="988"/>
      <c r="BD133" s="988"/>
      <c r="BE133" s="988"/>
      <c r="BF133" s="988"/>
      <c r="BG133" s="988"/>
      <c r="BH133" s="988"/>
      <c r="BI133" s="988"/>
      <c r="BJ133" s="988"/>
      <c r="BK133" s="988"/>
      <c r="BL133" s="988"/>
      <c r="BM133" s="988"/>
      <c r="BN133" s="988"/>
      <c r="BO133" s="988"/>
      <c r="BP133" s="988"/>
      <c r="BQ133" s="988"/>
      <c r="BR133" s="988"/>
      <c r="BS133" s="657"/>
      <c r="BT133" s="657"/>
      <c r="BU133" s="657"/>
      <c r="BV133" s="657"/>
      <c r="BW133" s="657"/>
      <c r="BX133" s="657"/>
      <c r="BY133" s="657"/>
      <c r="BZ133" s="657"/>
      <c r="CA133" s="640">
        <f t="shared" si="52"/>
        <v>25000000</v>
      </c>
      <c r="CB133" s="640">
        <f t="shared" si="52"/>
        <v>21213361.75</v>
      </c>
      <c r="CC133" s="640">
        <f t="shared" si="52"/>
        <v>5504728.25</v>
      </c>
      <c r="CD133" s="640">
        <f t="shared" si="52"/>
        <v>4330428.25</v>
      </c>
      <c r="CE133" s="641">
        <f t="shared" si="79"/>
        <v>0</v>
      </c>
      <c r="CF133" s="642">
        <f t="shared" si="80"/>
        <v>-17549157.649999999</v>
      </c>
      <c r="CG133" s="642">
        <f t="shared" si="80"/>
        <v>-15187792.350000001</v>
      </c>
      <c r="CH133" s="643">
        <f t="shared" si="80"/>
        <v>4330428.25</v>
      </c>
      <c r="CK133" s="39" t="s">
        <v>423</v>
      </c>
      <c r="CL133" s="638">
        <v>38762519.399999999</v>
      </c>
      <c r="CM133" s="638">
        <v>20692520.600000001</v>
      </c>
    </row>
    <row r="134" spans="1:92" ht="33" x14ac:dyDescent="0.3">
      <c r="A134" s="1056" t="s">
        <v>425</v>
      </c>
      <c r="B134" s="1005">
        <v>25000000</v>
      </c>
      <c r="C134" s="988">
        <f t="shared" si="81"/>
        <v>25000000</v>
      </c>
      <c r="D134" s="988">
        <f t="shared" si="81"/>
        <v>21213361.75</v>
      </c>
      <c r="E134" s="988">
        <f t="shared" si="81"/>
        <v>5504728.25</v>
      </c>
      <c r="F134" s="988">
        <f t="shared" si="81"/>
        <v>4330428.25</v>
      </c>
      <c r="G134" s="989"/>
      <c r="H134" s="989"/>
      <c r="I134" s="989"/>
      <c r="J134" s="989"/>
      <c r="K134" s="989"/>
      <c r="L134" s="989"/>
      <c r="M134" s="989"/>
      <c r="N134" s="989"/>
      <c r="O134" s="989"/>
      <c r="P134" s="989"/>
      <c r="Q134" s="989"/>
      <c r="R134" s="989"/>
      <c r="S134" s="989"/>
      <c r="T134" s="989"/>
      <c r="U134" s="989"/>
      <c r="V134" s="989"/>
      <c r="W134" s="989"/>
      <c r="X134" s="989"/>
      <c r="Y134" s="989"/>
      <c r="Z134" s="989"/>
      <c r="AA134" s="989"/>
      <c r="AB134" s="989"/>
      <c r="AC134" s="989"/>
      <c r="AD134" s="989"/>
      <c r="AE134" s="988"/>
      <c r="AF134" s="988"/>
      <c r="AG134" s="988"/>
      <c r="AH134" s="988"/>
      <c r="AI134" s="991"/>
      <c r="AJ134" s="991"/>
      <c r="AK134" s="991"/>
      <c r="AL134" s="991"/>
      <c r="AM134" s="988"/>
      <c r="AN134" s="988"/>
      <c r="AO134" s="988"/>
      <c r="AP134" s="988"/>
      <c r="AQ134" s="988"/>
      <c r="AR134" s="988"/>
      <c r="AS134" s="988"/>
      <c r="AT134" s="988"/>
      <c r="AU134" s="988"/>
      <c r="AV134" s="988"/>
      <c r="AW134" s="988"/>
      <c r="AX134" s="988"/>
      <c r="AY134" s="988"/>
      <c r="AZ134" s="988"/>
      <c r="BA134" s="988"/>
      <c r="BB134" s="988"/>
      <c r="BC134" s="988"/>
      <c r="BD134" s="988"/>
      <c r="BE134" s="988"/>
      <c r="BF134" s="988"/>
      <c r="BG134" s="988"/>
      <c r="BH134" s="988"/>
      <c r="BI134" s="988"/>
      <c r="BJ134" s="988"/>
      <c r="BK134" s="988"/>
      <c r="BL134" s="988"/>
      <c r="BM134" s="988"/>
      <c r="BN134" s="988"/>
      <c r="BO134" s="988"/>
      <c r="BP134" s="988"/>
      <c r="BQ134" s="988"/>
      <c r="BR134" s="988"/>
      <c r="BS134" s="1017"/>
      <c r="BT134" s="1017"/>
      <c r="BU134" s="1017"/>
      <c r="BV134" s="1017"/>
      <c r="BW134" s="1017"/>
      <c r="BX134" s="1017"/>
      <c r="BY134" s="1017"/>
      <c r="BZ134" s="1017"/>
      <c r="CA134" s="640">
        <f t="shared" si="52"/>
        <v>25000000</v>
      </c>
      <c r="CB134" s="640">
        <f t="shared" si="52"/>
        <v>21213361.75</v>
      </c>
      <c r="CC134" s="640">
        <f t="shared" si="52"/>
        <v>5504728.25</v>
      </c>
      <c r="CD134" s="640">
        <f t="shared" si="52"/>
        <v>4330428.25</v>
      </c>
      <c r="CE134" s="641">
        <f t="shared" si="79"/>
        <v>0</v>
      </c>
      <c r="CF134" s="642">
        <f t="shared" si="80"/>
        <v>-17549157.649999999</v>
      </c>
      <c r="CG134" s="642">
        <f t="shared" si="80"/>
        <v>-15187792.350000001</v>
      </c>
      <c r="CH134" s="643">
        <f t="shared" si="80"/>
        <v>4330428.25</v>
      </c>
      <c r="CK134" s="89" t="s">
        <v>425</v>
      </c>
      <c r="CL134" s="638">
        <v>38762519.399999999</v>
      </c>
      <c r="CM134" s="638">
        <v>20692520.600000001</v>
      </c>
    </row>
    <row r="135" spans="1:92" ht="66" x14ac:dyDescent="0.3">
      <c r="A135" s="1056" t="s">
        <v>427</v>
      </c>
      <c r="B135" s="1005"/>
      <c r="C135" s="988">
        <f t="shared" si="81"/>
        <v>0</v>
      </c>
      <c r="D135" s="988">
        <f t="shared" si="81"/>
        <v>0</v>
      </c>
      <c r="E135" s="988">
        <f t="shared" si="81"/>
        <v>0</v>
      </c>
      <c r="F135" s="988">
        <f t="shared" si="81"/>
        <v>0</v>
      </c>
      <c r="G135" s="989"/>
      <c r="H135" s="989"/>
      <c r="I135" s="989"/>
      <c r="J135" s="989"/>
      <c r="K135" s="989"/>
      <c r="L135" s="989"/>
      <c r="M135" s="989"/>
      <c r="N135" s="989"/>
      <c r="O135" s="989"/>
      <c r="P135" s="989"/>
      <c r="Q135" s="989"/>
      <c r="R135" s="989"/>
      <c r="S135" s="989"/>
      <c r="T135" s="989"/>
      <c r="U135" s="989"/>
      <c r="V135" s="989"/>
      <c r="W135" s="989"/>
      <c r="X135" s="989"/>
      <c r="Y135" s="989"/>
      <c r="Z135" s="989"/>
      <c r="AA135" s="989"/>
      <c r="AB135" s="989"/>
      <c r="AC135" s="989"/>
      <c r="AD135" s="989"/>
      <c r="AE135" s="988"/>
      <c r="AF135" s="988"/>
      <c r="AG135" s="988"/>
      <c r="AH135" s="988"/>
      <c r="AI135" s="991"/>
      <c r="AJ135" s="991"/>
      <c r="AK135" s="991"/>
      <c r="AL135" s="991"/>
      <c r="AM135" s="988"/>
      <c r="AN135" s="988"/>
      <c r="AO135" s="988"/>
      <c r="AP135" s="988"/>
      <c r="AQ135" s="988"/>
      <c r="AR135" s="988"/>
      <c r="AS135" s="988"/>
      <c r="AT135" s="988"/>
      <c r="AU135" s="988"/>
      <c r="AV135" s="988"/>
      <c r="AW135" s="988"/>
      <c r="AX135" s="988"/>
      <c r="AY135" s="988"/>
      <c r="AZ135" s="988"/>
      <c r="BA135" s="988"/>
      <c r="BB135" s="988"/>
      <c r="BC135" s="988"/>
      <c r="BD135" s="988"/>
      <c r="BE135" s="988"/>
      <c r="BF135" s="988"/>
      <c r="BG135" s="988"/>
      <c r="BH135" s="988"/>
      <c r="BI135" s="988"/>
      <c r="BJ135" s="988"/>
      <c r="BK135" s="988"/>
      <c r="BL135" s="988"/>
      <c r="BM135" s="988"/>
      <c r="BN135" s="988"/>
      <c r="BO135" s="988"/>
      <c r="BP135" s="988"/>
      <c r="BQ135" s="988"/>
      <c r="BR135" s="988"/>
      <c r="BS135" s="1017"/>
      <c r="BT135" s="1017"/>
      <c r="BU135" s="1017"/>
      <c r="BV135" s="1017"/>
      <c r="BW135" s="1017"/>
      <c r="BX135" s="1017"/>
      <c r="BY135" s="1017"/>
      <c r="BZ135" s="1017"/>
      <c r="CA135" s="640">
        <f t="shared" si="52"/>
        <v>0</v>
      </c>
      <c r="CB135" s="640">
        <f t="shared" si="52"/>
        <v>0</v>
      </c>
      <c r="CC135" s="640">
        <f t="shared" si="52"/>
        <v>0</v>
      </c>
      <c r="CD135" s="640">
        <f t="shared" si="52"/>
        <v>0</v>
      </c>
      <c r="CE135" s="641">
        <f t="shared" si="79"/>
        <v>0</v>
      </c>
      <c r="CF135" s="642">
        <f t="shared" si="80"/>
        <v>-38762519.399999999</v>
      </c>
      <c r="CG135" s="642">
        <f t="shared" si="80"/>
        <v>-20692520.600000001</v>
      </c>
      <c r="CH135" s="643">
        <f t="shared" si="80"/>
        <v>0</v>
      </c>
      <c r="CK135" s="89" t="s">
        <v>427</v>
      </c>
      <c r="CL135" s="638">
        <v>38762519.399999999</v>
      </c>
      <c r="CM135" s="638">
        <v>20692520.600000001</v>
      </c>
    </row>
    <row r="136" spans="1:92" s="1057" customFormat="1" ht="82.5" x14ac:dyDescent="0.25">
      <c r="A136" s="644" t="s">
        <v>430</v>
      </c>
      <c r="B136" s="645">
        <v>200000000</v>
      </c>
      <c r="C136" s="645">
        <v>200000000</v>
      </c>
      <c r="D136" s="645">
        <v>73117987</v>
      </c>
      <c r="E136" s="645">
        <v>31187853</v>
      </c>
      <c r="F136" s="645">
        <v>20936853</v>
      </c>
      <c r="G136" s="645">
        <f t="shared" ref="G136:BR136" si="82">SUM(G137:G142)</f>
        <v>0</v>
      </c>
      <c r="H136" s="645">
        <f t="shared" si="82"/>
        <v>0</v>
      </c>
      <c r="I136" s="645">
        <f t="shared" si="82"/>
        <v>0</v>
      </c>
      <c r="J136" s="645">
        <f t="shared" si="82"/>
        <v>0</v>
      </c>
      <c r="K136" s="645">
        <f t="shared" si="82"/>
        <v>0</v>
      </c>
      <c r="L136" s="645">
        <f t="shared" si="82"/>
        <v>0</v>
      </c>
      <c r="M136" s="645">
        <f t="shared" si="82"/>
        <v>0</v>
      </c>
      <c r="N136" s="645">
        <f t="shared" si="82"/>
        <v>0</v>
      </c>
      <c r="O136" s="645">
        <f t="shared" si="82"/>
        <v>0</v>
      </c>
      <c r="P136" s="645">
        <f t="shared" si="82"/>
        <v>0</v>
      </c>
      <c r="Q136" s="645">
        <f t="shared" si="82"/>
        <v>0</v>
      </c>
      <c r="R136" s="645">
        <f t="shared" si="82"/>
        <v>0</v>
      </c>
      <c r="S136" s="645">
        <f t="shared" si="82"/>
        <v>0</v>
      </c>
      <c r="T136" s="645">
        <f t="shared" si="82"/>
        <v>0</v>
      </c>
      <c r="U136" s="645">
        <f t="shared" si="82"/>
        <v>0</v>
      </c>
      <c r="V136" s="645">
        <f t="shared" si="82"/>
        <v>0</v>
      </c>
      <c r="W136" s="645">
        <f t="shared" si="82"/>
        <v>0</v>
      </c>
      <c r="X136" s="645">
        <f t="shared" si="82"/>
        <v>0</v>
      </c>
      <c r="Y136" s="645">
        <f t="shared" si="82"/>
        <v>0</v>
      </c>
      <c r="Z136" s="645">
        <f t="shared" si="82"/>
        <v>0</v>
      </c>
      <c r="AA136" s="645">
        <f t="shared" si="82"/>
        <v>0</v>
      </c>
      <c r="AB136" s="645">
        <f t="shared" si="82"/>
        <v>0</v>
      </c>
      <c r="AC136" s="645">
        <f t="shared" si="82"/>
        <v>0</v>
      </c>
      <c r="AD136" s="645">
        <f t="shared" si="82"/>
        <v>0</v>
      </c>
      <c r="AE136" s="645">
        <f t="shared" si="82"/>
        <v>0</v>
      </c>
      <c r="AF136" s="645">
        <f t="shared" si="82"/>
        <v>0</v>
      </c>
      <c r="AG136" s="645">
        <f t="shared" si="82"/>
        <v>0</v>
      </c>
      <c r="AH136" s="645">
        <f t="shared" si="82"/>
        <v>0</v>
      </c>
      <c r="AI136" s="645">
        <v>0</v>
      </c>
      <c r="AJ136" s="645">
        <v>0</v>
      </c>
      <c r="AK136" s="645">
        <v>0</v>
      </c>
      <c r="AL136" s="645">
        <v>0</v>
      </c>
      <c r="AM136" s="645">
        <f t="shared" si="82"/>
        <v>0</v>
      </c>
      <c r="AN136" s="645">
        <f t="shared" si="82"/>
        <v>0</v>
      </c>
      <c r="AO136" s="645">
        <f t="shared" si="82"/>
        <v>0</v>
      </c>
      <c r="AP136" s="645">
        <f t="shared" si="82"/>
        <v>0</v>
      </c>
      <c r="AQ136" s="645">
        <f t="shared" si="82"/>
        <v>0</v>
      </c>
      <c r="AR136" s="645">
        <f t="shared" si="82"/>
        <v>0</v>
      </c>
      <c r="AS136" s="645">
        <f t="shared" si="82"/>
        <v>0</v>
      </c>
      <c r="AT136" s="645">
        <f t="shared" si="82"/>
        <v>0</v>
      </c>
      <c r="AU136" s="645">
        <f t="shared" si="82"/>
        <v>0</v>
      </c>
      <c r="AV136" s="645">
        <f t="shared" si="82"/>
        <v>0</v>
      </c>
      <c r="AW136" s="645">
        <f t="shared" si="82"/>
        <v>0</v>
      </c>
      <c r="AX136" s="645">
        <f t="shared" si="82"/>
        <v>0</v>
      </c>
      <c r="AY136" s="645">
        <f t="shared" si="82"/>
        <v>0</v>
      </c>
      <c r="AZ136" s="645">
        <f t="shared" si="82"/>
        <v>0</v>
      </c>
      <c r="BA136" s="645">
        <f t="shared" si="82"/>
        <v>0</v>
      </c>
      <c r="BB136" s="645">
        <f t="shared" si="82"/>
        <v>0</v>
      </c>
      <c r="BC136" s="645">
        <f t="shared" si="82"/>
        <v>0</v>
      </c>
      <c r="BD136" s="645">
        <f t="shared" si="82"/>
        <v>0</v>
      </c>
      <c r="BE136" s="645">
        <f t="shared" si="82"/>
        <v>0</v>
      </c>
      <c r="BF136" s="645">
        <f t="shared" si="82"/>
        <v>0</v>
      </c>
      <c r="BG136" s="645">
        <f t="shared" si="82"/>
        <v>0</v>
      </c>
      <c r="BH136" s="645">
        <f t="shared" si="82"/>
        <v>0</v>
      </c>
      <c r="BI136" s="645">
        <f t="shared" si="82"/>
        <v>0</v>
      </c>
      <c r="BJ136" s="645">
        <f t="shared" si="82"/>
        <v>0</v>
      </c>
      <c r="BK136" s="645">
        <f t="shared" si="82"/>
        <v>0</v>
      </c>
      <c r="BL136" s="645">
        <f t="shared" si="82"/>
        <v>0</v>
      </c>
      <c r="BM136" s="645">
        <f t="shared" si="82"/>
        <v>0</v>
      </c>
      <c r="BN136" s="645">
        <f t="shared" si="82"/>
        <v>0</v>
      </c>
      <c r="BO136" s="645">
        <f t="shared" si="82"/>
        <v>0</v>
      </c>
      <c r="BP136" s="645">
        <f t="shared" si="82"/>
        <v>0</v>
      </c>
      <c r="BQ136" s="645">
        <f t="shared" si="82"/>
        <v>0</v>
      </c>
      <c r="BR136" s="645">
        <f t="shared" si="82"/>
        <v>0</v>
      </c>
      <c r="BS136" s="645">
        <f t="shared" ref="BS136:CD136" si="83">SUM(BS137:BS142)</f>
        <v>0</v>
      </c>
      <c r="BT136" s="645">
        <f t="shared" si="83"/>
        <v>0</v>
      </c>
      <c r="BU136" s="645">
        <f t="shared" si="83"/>
        <v>0</v>
      </c>
      <c r="BV136" s="645">
        <f t="shared" si="83"/>
        <v>0</v>
      </c>
      <c r="BW136" s="645">
        <f t="shared" si="83"/>
        <v>0</v>
      </c>
      <c r="BX136" s="645">
        <f t="shared" si="83"/>
        <v>0</v>
      </c>
      <c r="BY136" s="645">
        <f t="shared" si="83"/>
        <v>0</v>
      </c>
      <c r="BZ136" s="645">
        <f t="shared" si="83"/>
        <v>0</v>
      </c>
      <c r="CA136" s="645">
        <f t="shared" si="83"/>
        <v>200000000</v>
      </c>
      <c r="CB136" s="645">
        <f t="shared" si="83"/>
        <v>73117987</v>
      </c>
      <c r="CC136" s="645">
        <f t="shared" si="83"/>
        <v>31187853</v>
      </c>
      <c r="CD136" s="645">
        <f t="shared" si="83"/>
        <v>20936853</v>
      </c>
      <c r="CE136" s="667">
        <f t="shared" si="79"/>
        <v>0</v>
      </c>
      <c r="CF136" s="668">
        <f t="shared" si="80"/>
        <v>73117987</v>
      </c>
      <c r="CG136" s="668">
        <f t="shared" si="80"/>
        <v>31187853</v>
      </c>
      <c r="CH136" s="669">
        <f t="shared" si="80"/>
        <v>20936853</v>
      </c>
      <c r="CJ136" s="1058"/>
      <c r="CK136" s="984"/>
      <c r="CL136" s="1004">
        <f>+'[5]Anexo 5.2.A'!Z150</f>
        <v>0</v>
      </c>
      <c r="CM136" s="1004">
        <f>+'[5]Anexo 5.2.A'!AA150</f>
        <v>0</v>
      </c>
      <c r="CN136" s="1004">
        <f>+'[5]Anexo 5.2.A'!AB150</f>
        <v>0</v>
      </c>
    </row>
    <row r="137" spans="1:92" ht="25.5" x14ac:dyDescent="0.3">
      <c r="A137" s="1059" t="s">
        <v>1585</v>
      </c>
      <c r="B137" s="1005">
        <v>50000000</v>
      </c>
      <c r="C137" s="988">
        <f>C$136*(B137/B$136)</f>
        <v>50000000</v>
      </c>
      <c r="D137" s="988">
        <f t="shared" ref="D137:F137" si="84">D$136*(C137/C$136)</f>
        <v>18279496.75</v>
      </c>
      <c r="E137" s="988">
        <f t="shared" si="84"/>
        <v>7796963.25</v>
      </c>
      <c r="F137" s="988">
        <f t="shared" si="84"/>
        <v>5234213.25</v>
      </c>
      <c r="G137" s="989"/>
      <c r="H137" s="989"/>
      <c r="I137" s="989"/>
      <c r="J137" s="989"/>
      <c r="K137" s="989"/>
      <c r="L137" s="989"/>
      <c r="M137" s="989"/>
      <c r="N137" s="989"/>
      <c r="O137" s="989"/>
      <c r="P137" s="989"/>
      <c r="Q137" s="989"/>
      <c r="R137" s="989"/>
      <c r="S137" s="989"/>
      <c r="T137" s="989"/>
      <c r="U137" s="989"/>
      <c r="V137" s="989"/>
      <c r="W137" s="989"/>
      <c r="X137" s="989"/>
      <c r="Y137" s="989"/>
      <c r="Z137" s="989"/>
      <c r="AA137" s="989"/>
      <c r="AB137" s="989"/>
      <c r="AC137" s="989"/>
      <c r="AD137" s="989"/>
      <c r="AE137" s="988"/>
      <c r="AF137" s="988"/>
      <c r="AG137" s="988"/>
      <c r="AH137" s="988"/>
      <c r="AI137" s="991"/>
      <c r="AJ137" s="991"/>
      <c r="AK137" s="991"/>
      <c r="AL137" s="991"/>
      <c r="AM137" s="988"/>
      <c r="AN137" s="988"/>
      <c r="AO137" s="988"/>
      <c r="AP137" s="988"/>
      <c r="AQ137" s="988"/>
      <c r="AR137" s="988"/>
      <c r="AS137" s="988"/>
      <c r="AT137" s="988"/>
      <c r="AU137" s="988"/>
      <c r="AV137" s="988"/>
      <c r="AW137" s="988"/>
      <c r="AX137" s="988"/>
      <c r="AY137" s="988"/>
      <c r="AZ137" s="988"/>
      <c r="BA137" s="988"/>
      <c r="BB137" s="988"/>
      <c r="BC137" s="988"/>
      <c r="BD137" s="988"/>
      <c r="BE137" s="988"/>
      <c r="BF137" s="988"/>
      <c r="BG137" s="988"/>
      <c r="BH137" s="988"/>
      <c r="BI137" s="988"/>
      <c r="BJ137" s="988"/>
      <c r="BK137" s="988"/>
      <c r="BL137" s="988"/>
      <c r="BM137" s="988"/>
      <c r="BN137" s="988"/>
      <c r="BO137" s="988"/>
      <c r="BP137" s="988"/>
      <c r="BQ137" s="988"/>
      <c r="BR137" s="988"/>
      <c r="BS137" s="1017"/>
      <c r="BT137" s="1017"/>
      <c r="BU137" s="1017"/>
      <c r="BV137" s="1017"/>
      <c r="BW137" s="1017"/>
      <c r="BX137" s="1017"/>
      <c r="BY137" s="1017"/>
      <c r="BZ137" s="1017"/>
      <c r="CA137" s="640">
        <f t="shared" si="52"/>
        <v>50000000</v>
      </c>
      <c r="CB137" s="640">
        <f t="shared" si="52"/>
        <v>18279496.75</v>
      </c>
      <c r="CC137" s="640">
        <f t="shared" si="52"/>
        <v>7796963.25</v>
      </c>
      <c r="CD137" s="640">
        <f t="shared" si="52"/>
        <v>5234213.25</v>
      </c>
      <c r="CE137" s="641">
        <f t="shared" si="79"/>
        <v>0</v>
      </c>
      <c r="CF137" s="642">
        <f t="shared" si="80"/>
        <v>-690664.84999999776</v>
      </c>
      <c r="CG137" s="642">
        <f t="shared" si="80"/>
        <v>-10090398.350000001</v>
      </c>
      <c r="CH137" s="643">
        <f t="shared" si="80"/>
        <v>5234213.25</v>
      </c>
      <c r="CK137" s="39" t="s">
        <v>431</v>
      </c>
      <c r="CL137" s="638">
        <v>18970161.599999998</v>
      </c>
      <c r="CM137" s="638">
        <v>17887361.600000001</v>
      </c>
    </row>
    <row r="138" spans="1:92" x14ac:dyDescent="0.3">
      <c r="A138" s="1059" t="s">
        <v>433</v>
      </c>
      <c r="B138" s="1005">
        <v>50000000</v>
      </c>
      <c r="C138" s="988">
        <f t="shared" ref="C138:F142" si="85">C$136*(B138/B$136)</f>
        <v>50000000</v>
      </c>
      <c r="D138" s="988">
        <f t="shared" si="85"/>
        <v>18279496.75</v>
      </c>
      <c r="E138" s="988">
        <f t="shared" si="85"/>
        <v>7796963.25</v>
      </c>
      <c r="F138" s="988">
        <f t="shared" si="85"/>
        <v>5234213.25</v>
      </c>
      <c r="G138" s="989"/>
      <c r="H138" s="989"/>
      <c r="I138" s="989"/>
      <c r="J138" s="989"/>
      <c r="K138" s="989"/>
      <c r="L138" s="989"/>
      <c r="M138" s="989"/>
      <c r="N138" s="989"/>
      <c r="O138" s="989"/>
      <c r="P138" s="989"/>
      <c r="Q138" s="989"/>
      <c r="R138" s="989"/>
      <c r="S138" s="989"/>
      <c r="T138" s="989"/>
      <c r="U138" s="989"/>
      <c r="V138" s="989"/>
      <c r="W138" s="989"/>
      <c r="X138" s="989"/>
      <c r="Y138" s="989"/>
      <c r="Z138" s="989"/>
      <c r="AA138" s="989"/>
      <c r="AB138" s="989"/>
      <c r="AC138" s="989"/>
      <c r="AD138" s="989"/>
      <c r="AE138" s="988"/>
      <c r="AF138" s="988"/>
      <c r="AG138" s="988"/>
      <c r="AH138" s="988"/>
      <c r="AI138" s="991"/>
      <c r="AJ138" s="988"/>
      <c r="AK138" s="988"/>
      <c r="AL138" s="988"/>
      <c r="AM138" s="988"/>
      <c r="AN138" s="988"/>
      <c r="AO138" s="988"/>
      <c r="AP138" s="988"/>
      <c r="AQ138" s="988"/>
      <c r="AR138" s="988"/>
      <c r="AS138" s="988"/>
      <c r="AT138" s="988"/>
      <c r="AU138" s="988"/>
      <c r="AV138" s="988"/>
      <c r="AW138" s="988"/>
      <c r="AX138" s="988"/>
      <c r="AY138" s="988"/>
      <c r="AZ138" s="988"/>
      <c r="BA138" s="988"/>
      <c r="BB138" s="988"/>
      <c r="BC138" s="988"/>
      <c r="BD138" s="988"/>
      <c r="BE138" s="988"/>
      <c r="BF138" s="988"/>
      <c r="BG138" s="988"/>
      <c r="BH138" s="988"/>
      <c r="BI138" s="988"/>
      <c r="BJ138" s="988"/>
      <c r="BK138" s="988"/>
      <c r="BL138" s="988"/>
      <c r="BM138" s="988"/>
      <c r="BN138" s="988"/>
      <c r="BO138" s="988"/>
      <c r="BP138" s="988"/>
      <c r="BQ138" s="988"/>
      <c r="BR138" s="988"/>
      <c r="BS138" s="1017"/>
      <c r="BT138" s="1017"/>
      <c r="BU138" s="1017"/>
      <c r="BV138" s="1017"/>
      <c r="BW138" s="1017"/>
      <c r="BX138" s="1017"/>
      <c r="BY138" s="1017"/>
      <c r="BZ138" s="1017"/>
      <c r="CA138" s="640">
        <f t="shared" si="52"/>
        <v>50000000</v>
      </c>
      <c r="CB138" s="640">
        <f t="shared" si="52"/>
        <v>18279496.75</v>
      </c>
      <c r="CC138" s="640">
        <f t="shared" si="52"/>
        <v>7796963.25</v>
      </c>
      <c r="CD138" s="640">
        <f t="shared" si="52"/>
        <v>5234213.25</v>
      </c>
      <c r="CE138" s="641">
        <f t="shared" si="79"/>
        <v>0</v>
      </c>
      <c r="CF138" s="642">
        <f t="shared" si="80"/>
        <v>-57601149.649999991</v>
      </c>
      <c r="CG138" s="642">
        <f t="shared" si="80"/>
        <v>-63752483.150000006</v>
      </c>
      <c r="CH138" s="643">
        <f t="shared" si="80"/>
        <v>5234213.25</v>
      </c>
      <c r="CK138" s="39" t="s">
        <v>433</v>
      </c>
      <c r="CL138" s="638">
        <v>75880646.399999991</v>
      </c>
      <c r="CM138" s="638">
        <v>71549446.400000006</v>
      </c>
    </row>
    <row r="139" spans="1:92" x14ac:dyDescent="0.3">
      <c r="A139" s="1059" t="s">
        <v>435</v>
      </c>
      <c r="B139" s="1005"/>
      <c r="C139" s="988">
        <f t="shared" si="85"/>
        <v>0</v>
      </c>
      <c r="D139" s="988">
        <f t="shared" si="85"/>
        <v>0</v>
      </c>
      <c r="E139" s="988">
        <f t="shared" si="85"/>
        <v>0</v>
      </c>
      <c r="F139" s="988">
        <f t="shared" si="85"/>
        <v>0</v>
      </c>
      <c r="G139" s="989"/>
      <c r="H139" s="989"/>
      <c r="I139" s="989"/>
      <c r="J139" s="989"/>
      <c r="K139" s="989"/>
      <c r="L139" s="989"/>
      <c r="M139" s="989"/>
      <c r="N139" s="989"/>
      <c r="O139" s="989"/>
      <c r="P139" s="989"/>
      <c r="Q139" s="989"/>
      <c r="R139" s="989"/>
      <c r="S139" s="989"/>
      <c r="T139" s="989"/>
      <c r="U139" s="989"/>
      <c r="V139" s="989"/>
      <c r="W139" s="989"/>
      <c r="X139" s="989"/>
      <c r="Y139" s="989"/>
      <c r="Z139" s="989"/>
      <c r="AA139" s="989"/>
      <c r="AB139" s="989"/>
      <c r="AC139" s="989"/>
      <c r="AD139" s="989"/>
      <c r="AE139" s="988"/>
      <c r="AF139" s="988"/>
      <c r="AG139" s="988"/>
      <c r="AH139" s="988"/>
      <c r="AI139" s="991"/>
      <c r="AJ139" s="988"/>
      <c r="AK139" s="988"/>
      <c r="AL139" s="988"/>
      <c r="AM139" s="988"/>
      <c r="AN139" s="988"/>
      <c r="AO139" s="988"/>
      <c r="AP139" s="988"/>
      <c r="AQ139" s="988"/>
      <c r="AR139" s="988"/>
      <c r="AS139" s="988"/>
      <c r="AT139" s="988"/>
      <c r="AU139" s="988"/>
      <c r="AV139" s="988"/>
      <c r="AW139" s="988"/>
      <c r="AX139" s="988"/>
      <c r="AY139" s="988"/>
      <c r="AZ139" s="988"/>
      <c r="BA139" s="988"/>
      <c r="BB139" s="988"/>
      <c r="BC139" s="988"/>
      <c r="BD139" s="988"/>
      <c r="BE139" s="988"/>
      <c r="BF139" s="988"/>
      <c r="BG139" s="988"/>
      <c r="BH139" s="988"/>
      <c r="BI139" s="988"/>
      <c r="BJ139" s="988"/>
      <c r="BK139" s="988"/>
      <c r="BL139" s="988"/>
      <c r="BM139" s="988"/>
      <c r="BN139" s="988"/>
      <c r="BO139" s="988"/>
      <c r="BP139" s="988"/>
      <c r="BQ139" s="988"/>
      <c r="BR139" s="988"/>
      <c r="BS139" s="1017"/>
      <c r="BT139" s="1017"/>
      <c r="BU139" s="1017"/>
      <c r="BV139" s="1017"/>
      <c r="BW139" s="1017"/>
      <c r="BX139" s="1017"/>
      <c r="BY139" s="1017"/>
      <c r="BZ139" s="1017"/>
      <c r="CA139" s="640">
        <f t="shared" si="52"/>
        <v>0</v>
      </c>
      <c r="CB139" s="640">
        <f t="shared" si="52"/>
        <v>0</v>
      </c>
      <c r="CC139" s="640">
        <f t="shared" si="52"/>
        <v>0</v>
      </c>
      <c r="CD139" s="640">
        <f t="shared" si="52"/>
        <v>0</v>
      </c>
      <c r="CE139" s="641">
        <f t="shared" si="79"/>
        <v>0</v>
      </c>
      <c r="CF139" s="642">
        <f t="shared" si="80"/>
        <v>0</v>
      </c>
      <c r="CG139" s="642">
        <f t="shared" si="80"/>
        <v>0</v>
      </c>
      <c r="CH139" s="643">
        <f t="shared" si="80"/>
        <v>0</v>
      </c>
      <c r="CK139" s="39" t="s">
        <v>435</v>
      </c>
      <c r="CL139" s="638">
        <v>0</v>
      </c>
      <c r="CM139" s="638">
        <v>0</v>
      </c>
    </row>
    <row r="140" spans="1:92" ht="33" x14ac:dyDescent="0.3">
      <c r="A140" s="1059" t="s">
        <v>438</v>
      </c>
      <c r="B140" s="1005">
        <v>50000000</v>
      </c>
      <c r="C140" s="988">
        <f t="shared" si="85"/>
        <v>50000000</v>
      </c>
      <c r="D140" s="988">
        <f t="shared" si="85"/>
        <v>18279496.75</v>
      </c>
      <c r="E140" s="988">
        <f t="shared" si="85"/>
        <v>7796963.25</v>
      </c>
      <c r="F140" s="988">
        <f t="shared" si="85"/>
        <v>5234213.25</v>
      </c>
      <c r="G140" s="989"/>
      <c r="H140" s="989"/>
      <c r="I140" s="989"/>
      <c r="J140" s="989"/>
      <c r="K140" s="989"/>
      <c r="L140" s="989"/>
      <c r="M140" s="989"/>
      <c r="N140" s="989"/>
      <c r="O140" s="989"/>
      <c r="P140" s="989"/>
      <c r="Q140" s="989"/>
      <c r="R140" s="989"/>
      <c r="S140" s="989"/>
      <c r="T140" s="989"/>
      <c r="U140" s="989"/>
      <c r="V140" s="989"/>
      <c r="W140" s="989"/>
      <c r="X140" s="989"/>
      <c r="Y140" s="989"/>
      <c r="Z140" s="989"/>
      <c r="AA140" s="989"/>
      <c r="AB140" s="989"/>
      <c r="AC140" s="989"/>
      <c r="AD140" s="989"/>
      <c r="AE140" s="988"/>
      <c r="AF140" s="988"/>
      <c r="AG140" s="988"/>
      <c r="AH140" s="988"/>
      <c r="AI140" s="991"/>
      <c r="AJ140" s="988"/>
      <c r="AK140" s="988"/>
      <c r="AL140" s="988"/>
      <c r="AM140" s="988"/>
      <c r="AN140" s="988"/>
      <c r="AO140" s="988"/>
      <c r="AP140" s="988"/>
      <c r="AQ140" s="988"/>
      <c r="AR140" s="988"/>
      <c r="AS140" s="988"/>
      <c r="AT140" s="988"/>
      <c r="AU140" s="988"/>
      <c r="AV140" s="988"/>
      <c r="AW140" s="988"/>
      <c r="AX140" s="988"/>
      <c r="AY140" s="988"/>
      <c r="AZ140" s="988"/>
      <c r="BA140" s="988"/>
      <c r="BB140" s="988"/>
      <c r="BC140" s="988"/>
      <c r="BD140" s="988"/>
      <c r="BE140" s="988"/>
      <c r="BF140" s="988"/>
      <c r="BG140" s="988"/>
      <c r="BH140" s="988"/>
      <c r="BI140" s="988"/>
      <c r="BJ140" s="988"/>
      <c r="BK140" s="988"/>
      <c r="BL140" s="988"/>
      <c r="BM140" s="988"/>
      <c r="BN140" s="988"/>
      <c r="BO140" s="988"/>
      <c r="BP140" s="988"/>
      <c r="BQ140" s="988"/>
      <c r="BR140" s="988"/>
      <c r="BS140" s="1017"/>
      <c r="BT140" s="1017"/>
      <c r="BU140" s="1017"/>
      <c r="BV140" s="1017"/>
      <c r="BW140" s="1017"/>
      <c r="BX140" s="1017"/>
      <c r="BY140" s="1017"/>
      <c r="BZ140" s="1017"/>
      <c r="CA140" s="640">
        <f t="shared" si="52"/>
        <v>50000000</v>
      </c>
      <c r="CB140" s="640">
        <f t="shared" si="52"/>
        <v>18279496.75</v>
      </c>
      <c r="CC140" s="640">
        <f t="shared" si="52"/>
        <v>7796963.25</v>
      </c>
      <c r="CD140" s="640">
        <f t="shared" si="52"/>
        <v>5234213.25</v>
      </c>
      <c r="CE140" s="641">
        <f t="shared" si="79"/>
        <v>0</v>
      </c>
      <c r="CF140" s="642">
        <f t="shared" si="80"/>
        <v>-29145907.25</v>
      </c>
      <c r="CG140" s="642">
        <f t="shared" si="80"/>
        <v>-36921440.75</v>
      </c>
      <c r="CH140" s="643">
        <f t="shared" si="80"/>
        <v>5234213.25</v>
      </c>
      <c r="CK140" s="89" t="s">
        <v>438</v>
      </c>
      <c r="CL140" s="638">
        <v>47425404</v>
      </c>
      <c r="CM140" s="638">
        <v>44718404</v>
      </c>
    </row>
    <row r="141" spans="1:92" ht="33" x14ac:dyDescent="0.3">
      <c r="A141" s="1059" t="s">
        <v>1586</v>
      </c>
      <c r="B141" s="1005"/>
      <c r="C141" s="988">
        <f t="shared" si="85"/>
        <v>0</v>
      </c>
      <c r="D141" s="988">
        <f t="shared" si="85"/>
        <v>0</v>
      </c>
      <c r="E141" s="988">
        <f t="shared" si="85"/>
        <v>0</v>
      </c>
      <c r="F141" s="988">
        <f t="shared" si="85"/>
        <v>0</v>
      </c>
      <c r="G141" s="989"/>
      <c r="H141" s="989"/>
      <c r="I141" s="989"/>
      <c r="J141" s="989"/>
      <c r="K141" s="989"/>
      <c r="L141" s="989"/>
      <c r="M141" s="989"/>
      <c r="N141" s="989"/>
      <c r="O141" s="989"/>
      <c r="P141" s="989"/>
      <c r="Q141" s="989"/>
      <c r="R141" s="989"/>
      <c r="S141" s="989"/>
      <c r="T141" s="989"/>
      <c r="U141" s="989"/>
      <c r="V141" s="989"/>
      <c r="W141" s="989"/>
      <c r="X141" s="989"/>
      <c r="Y141" s="989"/>
      <c r="Z141" s="989"/>
      <c r="AA141" s="989"/>
      <c r="AB141" s="989"/>
      <c r="AC141" s="989"/>
      <c r="AD141" s="989"/>
      <c r="AE141" s="988"/>
      <c r="AF141" s="988"/>
      <c r="AG141" s="988"/>
      <c r="AH141" s="988"/>
      <c r="AI141" s="991"/>
      <c r="AJ141" s="988"/>
      <c r="AK141" s="988"/>
      <c r="AL141" s="988"/>
      <c r="AM141" s="988"/>
      <c r="AN141" s="988"/>
      <c r="AO141" s="988"/>
      <c r="AP141" s="988"/>
      <c r="AQ141" s="988"/>
      <c r="AR141" s="988"/>
      <c r="AS141" s="988"/>
      <c r="AT141" s="988"/>
      <c r="AU141" s="988"/>
      <c r="AV141" s="988"/>
      <c r="AW141" s="988"/>
      <c r="AX141" s="988"/>
      <c r="AY141" s="988"/>
      <c r="AZ141" s="988"/>
      <c r="BA141" s="988"/>
      <c r="BB141" s="988"/>
      <c r="BC141" s="988"/>
      <c r="BD141" s="988"/>
      <c r="BE141" s="988"/>
      <c r="BF141" s="988"/>
      <c r="BG141" s="988"/>
      <c r="BH141" s="988"/>
      <c r="BI141" s="988"/>
      <c r="BJ141" s="988"/>
      <c r="BK141" s="988"/>
      <c r="BL141" s="988"/>
      <c r="BM141" s="988"/>
      <c r="BN141" s="988"/>
      <c r="BO141" s="988"/>
      <c r="BP141" s="988"/>
      <c r="BQ141" s="988"/>
      <c r="BR141" s="988"/>
      <c r="BS141" s="1017"/>
      <c r="BT141" s="1017"/>
      <c r="BU141" s="1017"/>
      <c r="BV141" s="1017"/>
      <c r="BW141" s="1017"/>
      <c r="BX141" s="1017"/>
      <c r="BY141" s="1017"/>
      <c r="BZ141" s="1017"/>
      <c r="CA141" s="640">
        <f t="shared" si="52"/>
        <v>0</v>
      </c>
      <c r="CB141" s="640">
        <f t="shared" si="52"/>
        <v>0</v>
      </c>
      <c r="CC141" s="640">
        <f t="shared" si="52"/>
        <v>0</v>
      </c>
      <c r="CD141" s="640">
        <f t="shared" si="52"/>
        <v>0</v>
      </c>
      <c r="CE141" s="641">
        <f t="shared" si="79"/>
        <v>0</v>
      </c>
      <c r="CF141" s="642">
        <f t="shared" si="80"/>
        <v>-56910484.799999997</v>
      </c>
      <c r="CG141" s="642">
        <f t="shared" si="80"/>
        <v>-53662084.799999997</v>
      </c>
      <c r="CH141" s="643">
        <f t="shared" si="80"/>
        <v>0</v>
      </c>
      <c r="CK141" s="39" t="s">
        <v>440</v>
      </c>
      <c r="CL141" s="638">
        <v>56910484.799999997</v>
      </c>
      <c r="CM141" s="638">
        <v>53662084.799999997</v>
      </c>
    </row>
    <row r="142" spans="1:92" ht="49.5" x14ac:dyDescent="0.3">
      <c r="A142" s="1059" t="s">
        <v>442</v>
      </c>
      <c r="B142" s="1005">
        <v>50000000</v>
      </c>
      <c r="C142" s="988">
        <f t="shared" si="85"/>
        <v>50000000</v>
      </c>
      <c r="D142" s="988">
        <f t="shared" si="85"/>
        <v>18279496.75</v>
      </c>
      <c r="E142" s="988">
        <f t="shared" si="85"/>
        <v>7796963.25</v>
      </c>
      <c r="F142" s="988">
        <f t="shared" si="85"/>
        <v>5234213.25</v>
      </c>
      <c r="G142" s="989"/>
      <c r="H142" s="989"/>
      <c r="I142" s="989"/>
      <c r="J142" s="989"/>
      <c r="K142" s="989"/>
      <c r="L142" s="989"/>
      <c r="M142" s="989"/>
      <c r="N142" s="989"/>
      <c r="O142" s="989"/>
      <c r="P142" s="989"/>
      <c r="Q142" s="989"/>
      <c r="R142" s="989"/>
      <c r="S142" s="989"/>
      <c r="T142" s="989"/>
      <c r="U142" s="989"/>
      <c r="V142" s="989"/>
      <c r="W142" s="989"/>
      <c r="X142" s="989"/>
      <c r="Y142" s="989"/>
      <c r="Z142" s="989"/>
      <c r="AA142" s="989"/>
      <c r="AB142" s="989"/>
      <c r="AC142" s="989"/>
      <c r="AD142" s="989"/>
      <c r="AE142" s="988"/>
      <c r="AF142" s="988"/>
      <c r="AG142" s="988"/>
      <c r="AH142" s="988"/>
      <c r="AI142" s="991"/>
      <c r="AJ142" s="988"/>
      <c r="AK142" s="988"/>
      <c r="AL142" s="988"/>
      <c r="AM142" s="988"/>
      <c r="AN142" s="988"/>
      <c r="AO142" s="988"/>
      <c r="AP142" s="988"/>
      <c r="AQ142" s="988"/>
      <c r="AR142" s="988"/>
      <c r="AS142" s="988"/>
      <c r="AT142" s="988"/>
      <c r="AU142" s="988"/>
      <c r="AV142" s="988"/>
      <c r="AW142" s="988"/>
      <c r="AX142" s="988"/>
      <c r="AY142" s="988"/>
      <c r="AZ142" s="988"/>
      <c r="BA142" s="988"/>
      <c r="BB142" s="988"/>
      <c r="BC142" s="988"/>
      <c r="BD142" s="988"/>
      <c r="BE142" s="988"/>
      <c r="BF142" s="988"/>
      <c r="BG142" s="988"/>
      <c r="BH142" s="988"/>
      <c r="BI142" s="988"/>
      <c r="BJ142" s="988"/>
      <c r="BK142" s="988"/>
      <c r="BL142" s="988"/>
      <c r="BM142" s="988"/>
      <c r="BN142" s="988"/>
      <c r="BO142" s="988"/>
      <c r="BP142" s="988"/>
      <c r="BQ142" s="988"/>
      <c r="BR142" s="988"/>
      <c r="BS142" s="657"/>
      <c r="BT142" s="657"/>
      <c r="BU142" s="657"/>
      <c r="BV142" s="657"/>
      <c r="BW142" s="657"/>
      <c r="BX142" s="657"/>
      <c r="BY142" s="657"/>
      <c r="BZ142" s="657"/>
      <c r="CA142" s="640">
        <f t="shared" si="52"/>
        <v>50000000</v>
      </c>
      <c r="CB142" s="640">
        <f t="shared" si="52"/>
        <v>18279496.75</v>
      </c>
      <c r="CC142" s="640">
        <f t="shared" si="52"/>
        <v>7796963.25</v>
      </c>
      <c r="CD142" s="640">
        <f t="shared" si="52"/>
        <v>5234213.25</v>
      </c>
      <c r="CE142" s="641">
        <f t="shared" si="79"/>
        <v>0</v>
      </c>
      <c r="CF142" s="642">
        <f t="shared" si="80"/>
        <v>-19660826.449999996</v>
      </c>
      <c r="CG142" s="642">
        <f t="shared" si="80"/>
        <v>-27977759.950000003</v>
      </c>
      <c r="CH142" s="643">
        <f t="shared" si="80"/>
        <v>5234213.25</v>
      </c>
      <c r="CK142" s="89" t="s">
        <v>442</v>
      </c>
      <c r="CL142" s="638">
        <v>37940323.199999996</v>
      </c>
      <c r="CM142" s="638">
        <v>35774723.200000003</v>
      </c>
    </row>
    <row r="143" spans="1:92" s="1057" customFormat="1" ht="49.5" x14ac:dyDescent="0.25">
      <c r="A143" s="644" t="s">
        <v>444</v>
      </c>
      <c r="B143" s="1060">
        <f>B144+B145+B146</f>
        <v>100000000</v>
      </c>
      <c r="C143" s="645">
        <v>100000000</v>
      </c>
      <c r="D143" s="645">
        <v>6527000</v>
      </c>
      <c r="E143" s="645">
        <v>1527000</v>
      </c>
      <c r="F143" s="645">
        <v>1527000</v>
      </c>
      <c r="G143" s="645">
        <f t="shared" ref="G143:BR143" si="86">SUM(G144:G146)</f>
        <v>0</v>
      </c>
      <c r="H143" s="645">
        <f t="shared" si="86"/>
        <v>0</v>
      </c>
      <c r="I143" s="645">
        <f t="shared" si="86"/>
        <v>0</v>
      </c>
      <c r="J143" s="645">
        <f t="shared" si="86"/>
        <v>0</v>
      </c>
      <c r="K143" s="645">
        <f t="shared" si="86"/>
        <v>0</v>
      </c>
      <c r="L143" s="645">
        <f t="shared" si="86"/>
        <v>0</v>
      </c>
      <c r="M143" s="645">
        <f t="shared" si="86"/>
        <v>0</v>
      </c>
      <c r="N143" s="645">
        <f t="shared" si="86"/>
        <v>0</v>
      </c>
      <c r="O143" s="645">
        <f t="shared" si="86"/>
        <v>0</v>
      </c>
      <c r="P143" s="645">
        <f t="shared" si="86"/>
        <v>0</v>
      </c>
      <c r="Q143" s="645">
        <f t="shared" si="86"/>
        <v>0</v>
      </c>
      <c r="R143" s="645">
        <f t="shared" si="86"/>
        <v>0</v>
      </c>
      <c r="S143" s="645">
        <f t="shared" si="86"/>
        <v>0</v>
      </c>
      <c r="T143" s="645"/>
      <c r="U143" s="645">
        <f t="shared" si="86"/>
        <v>0</v>
      </c>
      <c r="V143" s="645">
        <f t="shared" si="86"/>
        <v>0</v>
      </c>
      <c r="W143" s="645">
        <f t="shared" si="86"/>
        <v>0</v>
      </c>
      <c r="X143" s="645">
        <f t="shared" si="86"/>
        <v>0</v>
      </c>
      <c r="Y143" s="645">
        <f t="shared" si="86"/>
        <v>0</v>
      </c>
      <c r="Z143" s="645">
        <v>100000000</v>
      </c>
      <c r="AA143" s="645">
        <f t="shared" si="86"/>
        <v>0</v>
      </c>
      <c r="AB143" s="645">
        <f t="shared" si="86"/>
        <v>0</v>
      </c>
      <c r="AC143" s="645">
        <f t="shared" si="86"/>
        <v>0</v>
      </c>
      <c r="AD143" s="645">
        <f t="shared" si="86"/>
        <v>0</v>
      </c>
      <c r="AE143" s="645">
        <f t="shared" si="86"/>
        <v>0</v>
      </c>
      <c r="AF143" s="645">
        <f t="shared" si="86"/>
        <v>0</v>
      </c>
      <c r="AG143" s="645">
        <f t="shared" si="86"/>
        <v>0</v>
      </c>
      <c r="AH143" s="645">
        <f t="shared" si="86"/>
        <v>0</v>
      </c>
      <c r="AI143" s="645">
        <v>0</v>
      </c>
      <c r="AJ143" s="645">
        <f t="shared" si="86"/>
        <v>0</v>
      </c>
      <c r="AK143" s="645">
        <f t="shared" si="86"/>
        <v>0</v>
      </c>
      <c r="AL143" s="645">
        <f t="shared" si="86"/>
        <v>0</v>
      </c>
      <c r="AM143" s="645">
        <f t="shared" si="86"/>
        <v>0</v>
      </c>
      <c r="AN143" s="645">
        <f t="shared" si="86"/>
        <v>0</v>
      </c>
      <c r="AO143" s="645">
        <f t="shared" si="86"/>
        <v>0</v>
      </c>
      <c r="AP143" s="645">
        <f t="shared" si="86"/>
        <v>0</v>
      </c>
      <c r="AQ143" s="645">
        <f t="shared" si="86"/>
        <v>0</v>
      </c>
      <c r="AR143" s="645">
        <f t="shared" si="86"/>
        <v>0</v>
      </c>
      <c r="AS143" s="645">
        <f t="shared" si="86"/>
        <v>0</v>
      </c>
      <c r="AT143" s="645">
        <f t="shared" si="86"/>
        <v>0</v>
      </c>
      <c r="AU143" s="645">
        <f t="shared" si="86"/>
        <v>0</v>
      </c>
      <c r="AV143" s="645">
        <f t="shared" si="86"/>
        <v>0</v>
      </c>
      <c r="AW143" s="645">
        <f t="shared" si="86"/>
        <v>0</v>
      </c>
      <c r="AX143" s="645">
        <f t="shared" si="86"/>
        <v>0</v>
      </c>
      <c r="AY143" s="645">
        <f t="shared" si="86"/>
        <v>0</v>
      </c>
      <c r="AZ143" s="645">
        <f t="shared" si="86"/>
        <v>0</v>
      </c>
      <c r="BA143" s="645">
        <f t="shared" si="86"/>
        <v>0</v>
      </c>
      <c r="BB143" s="645">
        <f t="shared" si="86"/>
        <v>0</v>
      </c>
      <c r="BC143" s="645">
        <f t="shared" si="86"/>
        <v>0</v>
      </c>
      <c r="BD143" s="645">
        <f t="shared" si="86"/>
        <v>0</v>
      </c>
      <c r="BE143" s="645">
        <f t="shared" si="86"/>
        <v>0</v>
      </c>
      <c r="BF143" s="645">
        <f t="shared" si="86"/>
        <v>0</v>
      </c>
      <c r="BG143" s="645">
        <f t="shared" si="86"/>
        <v>0</v>
      </c>
      <c r="BH143" s="645">
        <f t="shared" si="86"/>
        <v>0</v>
      </c>
      <c r="BI143" s="645">
        <f t="shared" si="86"/>
        <v>0</v>
      </c>
      <c r="BJ143" s="645">
        <f t="shared" si="86"/>
        <v>0</v>
      </c>
      <c r="BK143" s="645">
        <f t="shared" si="86"/>
        <v>0</v>
      </c>
      <c r="BL143" s="645">
        <f t="shared" si="86"/>
        <v>0</v>
      </c>
      <c r="BM143" s="645">
        <f t="shared" si="86"/>
        <v>0</v>
      </c>
      <c r="BN143" s="645">
        <f t="shared" si="86"/>
        <v>0</v>
      </c>
      <c r="BO143" s="645">
        <f t="shared" si="86"/>
        <v>0</v>
      </c>
      <c r="BP143" s="645">
        <f t="shared" si="86"/>
        <v>0</v>
      </c>
      <c r="BQ143" s="645">
        <f t="shared" si="86"/>
        <v>0</v>
      </c>
      <c r="BR143" s="645">
        <f t="shared" si="86"/>
        <v>0</v>
      </c>
      <c r="BS143" s="645">
        <f t="shared" ref="BS143:CD143" si="87">SUM(BS144:BS146)</f>
        <v>0</v>
      </c>
      <c r="BT143" s="645">
        <f t="shared" si="87"/>
        <v>0</v>
      </c>
      <c r="BU143" s="645">
        <f t="shared" si="87"/>
        <v>0</v>
      </c>
      <c r="BV143" s="645">
        <f t="shared" si="87"/>
        <v>0</v>
      </c>
      <c r="BW143" s="645">
        <f t="shared" si="87"/>
        <v>0</v>
      </c>
      <c r="BX143" s="645">
        <f t="shared" si="87"/>
        <v>0</v>
      </c>
      <c r="BY143" s="645">
        <f t="shared" si="87"/>
        <v>0</v>
      </c>
      <c r="BZ143" s="645">
        <f t="shared" si="87"/>
        <v>0</v>
      </c>
      <c r="CA143" s="645">
        <f t="shared" si="87"/>
        <v>100000000</v>
      </c>
      <c r="CB143" s="645">
        <v>0</v>
      </c>
      <c r="CC143" s="645">
        <f t="shared" si="87"/>
        <v>1527000</v>
      </c>
      <c r="CD143" s="645">
        <f t="shared" si="87"/>
        <v>1527000</v>
      </c>
      <c r="CE143" s="667">
        <f t="shared" si="79"/>
        <v>0</v>
      </c>
      <c r="CF143" s="668">
        <f t="shared" si="80"/>
        <v>0</v>
      </c>
      <c r="CG143" s="668">
        <f t="shared" si="80"/>
        <v>1527000</v>
      </c>
      <c r="CH143" s="669">
        <f t="shared" si="80"/>
        <v>1527000</v>
      </c>
      <c r="CJ143" s="1058"/>
      <c r="CK143" s="984"/>
      <c r="CL143" s="1004">
        <f>+'[5]Anexo 5.2.A'!Z154</f>
        <v>0</v>
      </c>
      <c r="CM143" s="1004">
        <f>+'[5]Anexo 5.2.A'!AA154</f>
        <v>0</v>
      </c>
      <c r="CN143" s="1004">
        <f>+'[5]Anexo 5.2.A'!AB154</f>
        <v>0</v>
      </c>
    </row>
    <row r="144" spans="1:92" ht="49.5" x14ac:dyDescent="0.3">
      <c r="A144" s="1056" t="s">
        <v>445</v>
      </c>
      <c r="B144" s="1005">
        <v>100000000</v>
      </c>
      <c r="C144" s="1061">
        <f>C$143*(B144/B$143)</f>
        <v>100000000</v>
      </c>
      <c r="D144" s="1061">
        <f t="shared" ref="D144:F144" si="88">D$143*(C144/C$143)</f>
        <v>6527000</v>
      </c>
      <c r="E144" s="1061">
        <f t="shared" si="88"/>
        <v>1527000</v>
      </c>
      <c r="F144" s="1061">
        <f t="shared" si="88"/>
        <v>1527000</v>
      </c>
      <c r="G144" s="989"/>
      <c r="H144" s="989"/>
      <c r="I144" s="989"/>
      <c r="J144" s="989"/>
      <c r="K144" s="989"/>
      <c r="L144" s="989"/>
      <c r="M144" s="989"/>
      <c r="N144" s="989"/>
      <c r="O144" s="1014"/>
      <c r="P144" s="1014"/>
      <c r="Q144" s="1014"/>
      <c r="R144" s="1014"/>
      <c r="S144" s="989"/>
      <c r="T144" s="989"/>
      <c r="U144" s="989"/>
      <c r="V144" s="989"/>
      <c r="W144" s="989"/>
      <c r="X144" s="989"/>
      <c r="Y144" s="989"/>
      <c r="Z144" s="989"/>
      <c r="AA144" s="989"/>
      <c r="AB144" s="989"/>
      <c r="AC144" s="989"/>
      <c r="AD144" s="989"/>
      <c r="AE144" s="988"/>
      <c r="AF144" s="988"/>
      <c r="AG144" s="988"/>
      <c r="AH144" s="988"/>
      <c r="AI144" s="991"/>
      <c r="AJ144" s="988"/>
      <c r="AK144" s="988"/>
      <c r="AL144" s="988"/>
      <c r="AM144" s="988"/>
      <c r="AN144" s="988"/>
      <c r="AO144" s="988"/>
      <c r="AP144" s="988"/>
      <c r="AQ144" s="988"/>
      <c r="AR144" s="988"/>
      <c r="AS144" s="988"/>
      <c r="AT144" s="988"/>
      <c r="AU144" s="988"/>
      <c r="AV144" s="988"/>
      <c r="AW144" s="988"/>
      <c r="AX144" s="988"/>
      <c r="AY144" s="988"/>
      <c r="AZ144" s="988"/>
      <c r="BA144" s="988"/>
      <c r="BB144" s="988"/>
      <c r="BC144" s="988"/>
      <c r="BD144" s="988"/>
      <c r="BE144" s="988"/>
      <c r="BF144" s="988"/>
      <c r="BG144" s="988"/>
      <c r="BH144" s="988"/>
      <c r="BI144" s="988"/>
      <c r="BJ144" s="988"/>
      <c r="BK144" s="988"/>
      <c r="BL144" s="988"/>
      <c r="BM144" s="988"/>
      <c r="BN144" s="988"/>
      <c r="BO144" s="988"/>
      <c r="BP144" s="988"/>
      <c r="BQ144" s="988"/>
      <c r="BR144" s="988"/>
      <c r="BS144" s="657"/>
      <c r="BT144" s="657"/>
      <c r="BU144" s="657"/>
      <c r="BV144" s="657"/>
      <c r="BW144" s="657"/>
      <c r="BX144" s="657"/>
      <c r="BY144" s="657"/>
      <c r="BZ144" s="657"/>
      <c r="CA144" s="640">
        <f t="shared" si="52"/>
        <v>100000000</v>
      </c>
      <c r="CB144" s="640">
        <f t="shared" si="52"/>
        <v>6527000</v>
      </c>
      <c r="CC144" s="640">
        <f t="shared" si="52"/>
        <v>1527000</v>
      </c>
      <c r="CD144" s="640">
        <f t="shared" si="52"/>
        <v>1527000</v>
      </c>
      <c r="CE144" s="641">
        <f t="shared" si="79"/>
        <v>0</v>
      </c>
      <c r="CF144" s="642">
        <f t="shared" si="80"/>
        <v>6527000</v>
      </c>
      <c r="CG144" s="642">
        <f t="shared" si="80"/>
        <v>1527000</v>
      </c>
      <c r="CH144" s="643">
        <f t="shared" si="80"/>
        <v>1527000</v>
      </c>
      <c r="CK144" s="39" t="s">
        <v>445</v>
      </c>
    </row>
    <row r="145" spans="1:92" ht="49.5" x14ac:dyDescent="0.25">
      <c r="A145" s="1056" t="s">
        <v>1587</v>
      </c>
      <c r="B145" s="1005"/>
      <c r="C145" s="1061">
        <f t="shared" ref="C145:F146" si="89">C$143*(B145/B$143)</f>
        <v>0</v>
      </c>
      <c r="D145" s="1061">
        <f t="shared" si="89"/>
        <v>0</v>
      </c>
      <c r="E145" s="1061">
        <f t="shared" si="89"/>
        <v>0</v>
      </c>
      <c r="F145" s="1061">
        <f t="shared" si="89"/>
        <v>0</v>
      </c>
      <c r="G145" s="989"/>
      <c r="H145" s="989"/>
      <c r="I145" s="989"/>
      <c r="J145" s="989"/>
      <c r="K145" s="989"/>
      <c r="L145" s="989"/>
      <c r="M145" s="989"/>
      <c r="N145" s="989"/>
      <c r="O145" s="989"/>
      <c r="P145" s="989"/>
      <c r="Q145" s="989"/>
      <c r="R145" s="989"/>
      <c r="S145" s="989"/>
      <c r="T145" s="989"/>
      <c r="U145" s="989"/>
      <c r="V145" s="989"/>
      <c r="W145" s="989"/>
      <c r="X145" s="989"/>
      <c r="Y145" s="989"/>
      <c r="Z145" s="989"/>
      <c r="AA145" s="989"/>
      <c r="AB145" s="989"/>
      <c r="AC145" s="989"/>
      <c r="AD145" s="989"/>
      <c r="AE145" s="988"/>
      <c r="AF145" s="988"/>
      <c r="AG145" s="988"/>
      <c r="AH145" s="988"/>
      <c r="AI145" s="991"/>
      <c r="AJ145" s="988"/>
      <c r="AK145" s="988"/>
      <c r="AL145" s="988"/>
      <c r="AM145" s="988"/>
      <c r="AN145" s="988"/>
      <c r="AO145" s="988"/>
      <c r="AP145" s="988"/>
      <c r="AQ145" s="988"/>
      <c r="AR145" s="988"/>
      <c r="AS145" s="988"/>
      <c r="AT145" s="988"/>
      <c r="AU145" s="988"/>
      <c r="AV145" s="988"/>
      <c r="AW145" s="988"/>
      <c r="AX145" s="988"/>
      <c r="AY145" s="988"/>
      <c r="AZ145" s="988"/>
      <c r="BA145" s="988"/>
      <c r="BB145" s="988"/>
      <c r="BC145" s="988"/>
      <c r="BD145" s="988"/>
      <c r="BE145" s="988"/>
      <c r="BF145" s="988"/>
      <c r="BG145" s="988"/>
      <c r="BH145" s="988"/>
      <c r="BI145" s="988"/>
      <c r="BJ145" s="988"/>
      <c r="BK145" s="988"/>
      <c r="BL145" s="988"/>
      <c r="BM145" s="988"/>
      <c r="BN145" s="988"/>
      <c r="BO145" s="988"/>
      <c r="BP145" s="988"/>
      <c r="BQ145" s="988"/>
      <c r="BR145" s="988"/>
      <c r="BS145" s="991"/>
      <c r="BT145" s="991"/>
      <c r="BU145" s="991"/>
      <c r="BV145" s="991"/>
      <c r="BW145" s="991"/>
      <c r="BX145" s="991"/>
      <c r="BY145" s="991"/>
      <c r="BZ145" s="991"/>
      <c r="CA145" s="640">
        <f t="shared" si="52"/>
        <v>0</v>
      </c>
      <c r="CB145" s="640">
        <f t="shared" si="52"/>
        <v>0</v>
      </c>
      <c r="CC145" s="640">
        <f t="shared" si="52"/>
        <v>0</v>
      </c>
      <c r="CD145" s="640">
        <f t="shared" si="52"/>
        <v>0</v>
      </c>
      <c r="CE145" s="641">
        <f t="shared" si="79"/>
        <v>0</v>
      </c>
      <c r="CF145" s="642">
        <f t="shared" si="80"/>
        <v>0</v>
      </c>
      <c r="CG145" s="642">
        <f t="shared" si="80"/>
        <v>0</v>
      </c>
      <c r="CH145" s="643">
        <f t="shared" si="80"/>
        <v>0</v>
      </c>
      <c r="CK145" s="39" t="s">
        <v>447</v>
      </c>
    </row>
    <row r="146" spans="1:92" ht="33" x14ac:dyDescent="0.3">
      <c r="A146" s="1056" t="s">
        <v>449</v>
      </c>
      <c r="B146" s="1005"/>
      <c r="C146" s="1061">
        <f t="shared" si="89"/>
        <v>0</v>
      </c>
      <c r="D146" s="1061">
        <f t="shared" si="89"/>
        <v>0</v>
      </c>
      <c r="E146" s="1061">
        <f t="shared" si="89"/>
        <v>0</v>
      </c>
      <c r="F146" s="1061">
        <f t="shared" si="89"/>
        <v>0</v>
      </c>
      <c r="G146" s="989"/>
      <c r="H146" s="989"/>
      <c r="I146" s="989"/>
      <c r="J146" s="989"/>
      <c r="K146" s="989"/>
      <c r="L146" s="989"/>
      <c r="M146" s="989"/>
      <c r="N146" s="989"/>
      <c r="O146" s="989"/>
      <c r="P146" s="989"/>
      <c r="Q146" s="989"/>
      <c r="R146" s="989"/>
      <c r="S146" s="989"/>
      <c r="T146" s="989"/>
      <c r="U146" s="989"/>
      <c r="V146" s="989"/>
      <c r="W146" s="989"/>
      <c r="X146" s="989"/>
      <c r="Y146" s="989"/>
      <c r="Z146" s="989"/>
      <c r="AA146" s="989"/>
      <c r="AB146" s="989"/>
      <c r="AC146" s="989"/>
      <c r="AD146" s="989"/>
      <c r="AE146" s="988"/>
      <c r="AF146" s="988"/>
      <c r="AG146" s="988"/>
      <c r="AH146" s="988"/>
      <c r="AI146" s="991"/>
      <c r="AJ146" s="988"/>
      <c r="AK146" s="988"/>
      <c r="AL146" s="988"/>
      <c r="AM146" s="988"/>
      <c r="AN146" s="988"/>
      <c r="AO146" s="988"/>
      <c r="AP146" s="988"/>
      <c r="AQ146" s="988"/>
      <c r="AR146" s="988"/>
      <c r="AS146" s="988"/>
      <c r="AT146" s="988"/>
      <c r="AU146" s="988"/>
      <c r="AV146" s="988"/>
      <c r="AW146" s="988"/>
      <c r="AX146" s="988"/>
      <c r="AY146" s="988"/>
      <c r="AZ146" s="988"/>
      <c r="BA146" s="988"/>
      <c r="BB146" s="988"/>
      <c r="BC146" s="988"/>
      <c r="BD146" s="988"/>
      <c r="BE146" s="988"/>
      <c r="BF146" s="988"/>
      <c r="BG146" s="988"/>
      <c r="BH146" s="988"/>
      <c r="BI146" s="988"/>
      <c r="BJ146" s="988"/>
      <c r="BK146" s="988"/>
      <c r="BL146" s="988"/>
      <c r="BM146" s="988"/>
      <c r="BN146" s="988"/>
      <c r="BO146" s="988"/>
      <c r="BP146" s="988"/>
      <c r="BQ146" s="988"/>
      <c r="BR146" s="988"/>
      <c r="BS146" s="1017"/>
      <c r="BT146" s="1017"/>
      <c r="BU146" s="1017"/>
      <c r="BV146" s="1017"/>
      <c r="BW146" s="1017"/>
      <c r="BX146" s="1017"/>
      <c r="BY146" s="1017"/>
      <c r="BZ146" s="1017"/>
      <c r="CA146" s="640">
        <f t="shared" si="52"/>
        <v>0</v>
      </c>
      <c r="CB146" s="640">
        <f t="shared" si="52"/>
        <v>0</v>
      </c>
      <c r="CC146" s="640">
        <f t="shared" si="52"/>
        <v>0</v>
      </c>
      <c r="CD146" s="640">
        <f t="shared" si="52"/>
        <v>0</v>
      </c>
      <c r="CE146" s="641">
        <f t="shared" si="79"/>
        <v>0</v>
      </c>
      <c r="CF146" s="642">
        <f t="shared" si="80"/>
        <v>-148000000</v>
      </c>
      <c r="CG146" s="642">
        <f t="shared" si="80"/>
        <v>-138470088</v>
      </c>
      <c r="CH146" s="643">
        <f t="shared" si="80"/>
        <v>0</v>
      </c>
      <c r="CK146" s="39" t="s">
        <v>449</v>
      </c>
      <c r="CL146" s="638">
        <v>148000000</v>
      </c>
      <c r="CM146" s="638">
        <v>138470088</v>
      </c>
    </row>
    <row r="147" spans="1:92" s="982" customFormat="1" ht="49.5" x14ac:dyDescent="0.25">
      <c r="A147" s="644" t="s">
        <v>453</v>
      </c>
      <c r="B147" s="645">
        <v>400000000</v>
      </c>
      <c r="C147" s="645">
        <v>400000000</v>
      </c>
      <c r="D147" s="645">
        <v>353282510</v>
      </c>
      <c r="E147" s="645">
        <v>118390447</v>
      </c>
      <c r="F147" s="645">
        <v>102387567</v>
      </c>
      <c r="G147" s="645">
        <f t="shared" ref="G147:BR147" si="90">SUM(G148:G161)</f>
        <v>0</v>
      </c>
      <c r="H147" s="645">
        <f t="shared" si="90"/>
        <v>0</v>
      </c>
      <c r="I147" s="645">
        <f t="shared" si="90"/>
        <v>0</v>
      </c>
      <c r="J147" s="645">
        <f t="shared" si="90"/>
        <v>0</v>
      </c>
      <c r="K147" s="645">
        <f t="shared" si="90"/>
        <v>0</v>
      </c>
      <c r="L147" s="645">
        <f t="shared" si="90"/>
        <v>0</v>
      </c>
      <c r="M147" s="645">
        <f t="shared" si="90"/>
        <v>0</v>
      </c>
      <c r="N147" s="645">
        <f t="shared" si="90"/>
        <v>0</v>
      </c>
      <c r="O147" s="645">
        <f t="shared" si="90"/>
        <v>0</v>
      </c>
      <c r="P147" s="645">
        <f t="shared" si="90"/>
        <v>0</v>
      </c>
      <c r="Q147" s="645">
        <f t="shared" si="90"/>
        <v>0</v>
      </c>
      <c r="R147" s="645">
        <f t="shared" si="90"/>
        <v>0</v>
      </c>
      <c r="S147" s="645">
        <f t="shared" si="90"/>
        <v>0</v>
      </c>
      <c r="T147" s="645">
        <f t="shared" si="90"/>
        <v>0</v>
      </c>
      <c r="U147" s="645">
        <f t="shared" si="90"/>
        <v>0</v>
      </c>
      <c r="V147" s="645">
        <f t="shared" si="90"/>
        <v>0</v>
      </c>
      <c r="W147" s="645">
        <f t="shared" si="90"/>
        <v>0</v>
      </c>
      <c r="X147" s="645">
        <f t="shared" si="90"/>
        <v>0</v>
      </c>
      <c r="Y147" s="645">
        <f t="shared" si="90"/>
        <v>0</v>
      </c>
      <c r="Z147" s="645">
        <f t="shared" si="90"/>
        <v>0</v>
      </c>
      <c r="AA147" s="645">
        <f t="shared" si="90"/>
        <v>0</v>
      </c>
      <c r="AB147" s="645">
        <f t="shared" si="90"/>
        <v>0</v>
      </c>
      <c r="AC147" s="645">
        <f t="shared" si="90"/>
        <v>0</v>
      </c>
      <c r="AD147" s="645">
        <f t="shared" si="90"/>
        <v>0</v>
      </c>
      <c r="AE147" s="645">
        <f t="shared" si="90"/>
        <v>0</v>
      </c>
      <c r="AF147" s="645">
        <f t="shared" si="90"/>
        <v>0</v>
      </c>
      <c r="AG147" s="645">
        <f t="shared" si="90"/>
        <v>0</v>
      </c>
      <c r="AH147" s="645">
        <f t="shared" si="90"/>
        <v>0</v>
      </c>
      <c r="AI147" s="645">
        <v>0</v>
      </c>
      <c r="AJ147" s="645">
        <v>0</v>
      </c>
      <c r="AK147" s="645">
        <v>0</v>
      </c>
      <c r="AL147" s="645">
        <v>0</v>
      </c>
      <c r="AM147" s="645">
        <f t="shared" si="90"/>
        <v>0</v>
      </c>
      <c r="AN147" s="645">
        <f t="shared" si="90"/>
        <v>0</v>
      </c>
      <c r="AO147" s="645">
        <f t="shared" si="90"/>
        <v>0</v>
      </c>
      <c r="AP147" s="645">
        <f t="shared" si="90"/>
        <v>0</v>
      </c>
      <c r="AQ147" s="645">
        <v>0</v>
      </c>
      <c r="AR147" s="645">
        <v>0</v>
      </c>
      <c r="AS147" s="645">
        <v>0</v>
      </c>
      <c r="AT147" s="645">
        <v>0</v>
      </c>
      <c r="AU147" s="645">
        <v>0</v>
      </c>
      <c r="AV147" s="645">
        <v>0</v>
      </c>
      <c r="AW147" s="645">
        <v>0</v>
      </c>
      <c r="AX147" s="645">
        <v>0</v>
      </c>
      <c r="AY147" s="645">
        <f t="shared" si="90"/>
        <v>0</v>
      </c>
      <c r="AZ147" s="645">
        <f t="shared" si="90"/>
        <v>0</v>
      </c>
      <c r="BA147" s="645">
        <f t="shared" si="90"/>
        <v>0</v>
      </c>
      <c r="BB147" s="645">
        <f t="shared" si="90"/>
        <v>0</v>
      </c>
      <c r="BC147" s="645">
        <f t="shared" si="90"/>
        <v>0</v>
      </c>
      <c r="BD147" s="645">
        <f t="shared" si="90"/>
        <v>0</v>
      </c>
      <c r="BE147" s="645">
        <f t="shared" si="90"/>
        <v>0</v>
      </c>
      <c r="BF147" s="645">
        <f t="shared" si="90"/>
        <v>0</v>
      </c>
      <c r="BG147" s="645">
        <f t="shared" si="90"/>
        <v>0</v>
      </c>
      <c r="BH147" s="645">
        <f t="shared" si="90"/>
        <v>0</v>
      </c>
      <c r="BI147" s="645">
        <f t="shared" si="90"/>
        <v>0</v>
      </c>
      <c r="BJ147" s="645">
        <f t="shared" si="90"/>
        <v>0</v>
      </c>
      <c r="BK147" s="645">
        <f t="shared" si="90"/>
        <v>0</v>
      </c>
      <c r="BL147" s="645">
        <f t="shared" si="90"/>
        <v>0</v>
      </c>
      <c r="BM147" s="645">
        <f t="shared" si="90"/>
        <v>0</v>
      </c>
      <c r="BN147" s="645">
        <f t="shared" si="90"/>
        <v>0</v>
      </c>
      <c r="BO147" s="645">
        <f t="shared" si="90"/>
        <v>0</v>
      </c>
      <c r="BP147" s="645">
        <f t="shared" si="90"/>
        <v>0</v>
      </c>
      <c r="BQ147" s="645">
        <f t="shared" si="90"/>
        <v>0</v>
      </c>
      <c r="BR147" s="645">
        <f t="shared" si="90"/>
        <v>0</v>
      </c>
      <c r="BS147" s="645">
        <v>0</v>
      </c>
      <c r="BT147" s="645">
        <v>0</v>
      </c>
      <c r="BU147" s="645">
        <v>0</v>
      </c>
      <c r="BV147" s="645">
        <v>0</v>
      </c>
      <c r="BW147" s="645">
        <f t="shared" ref="BW147:CD147" si="91">SUM(BW148:BW161)</f>
        <v>0</v>
      </c>
      <c r="BX147" s="645">
        <f t="shared" si="91"/>
        <v>0</v>
      </c>
      <c r="BY147" s="645">
        <f t="shared" si="91"/>
        <v>0</v>
      </c>
      <c r="BZ147" s="645">
        <f t="shared" si="91"/>
        <v>0</v>
      </c>
      <c r="CA147" s="645">
        <f t="shared" si="91"/>
        <v>400000000</v>
      </c>
      <c r="CB147" s="645">
        <f t="shared" si="91"/>
        <v>353282510</v>
      </c>
      <c r="CC147" s="645">
        <f t="shared" si="91"/>
        <v>118390446.99999999</v>
      </c>
      <c r="CD147" s="645">
        <f t="shared" si="91"/>
        <v>102387566.99999999</v>
      </c>
      <c r="CE147" s="664">
        <f t="shared" si="79"/>
        <v>0</v>
      </c>
      <c r="CF147" s="665">
        <f t="shared" si="80"/>
        <v>353282510</v>
      </c>
      <c r="CG147" s="665">
        <f t="shared" si="80"/>
        <v>118390446.99999999</v>
      </c>
      <c r="CH147" s="1054">
        <f t="shared" si="80"/>
        <v>102387566.99999999</v>
      </c>
      <c r="CJ147" s="983"/>
      <c r="CK147" s="1003"/>
      <c r="CL147" s="1004">
        <f>+'[5]Anexo 5.2.A'!Z160</f>
        <v>0</v>
      </c>
      <c r="CM147" s="1004">
        <f>+'[5]Anexo 5.2.A'!AA160</f>
        <v>0</v>
      </c>
      <c r="CN147" s="1004">
        <f>+'[5]Anexo 5.2.A'!AB160</f>
        <v>0</v>
      </c>
    </row>
    <row r="148" spans="1:92" ht="66" x14ac:dyDescent="0.25">
      <c r="A148" s="670" t="s">
        <v>1588</v>
      </c>
      <c r="B148" s="1005">
        <v>150000000</v>
      </c>
      <c r="C148" s="988">
        <f>C$147*(B148/B$147)</f>
        <v>150000000</v>
      </c>
      <c r="D148" s="988">
        <f t="shared" ref="D148:F148" si="92">D$147*(C148/C$147)</f>
        <v>132480941.25</v>
      </c>
      <c r="E148" s="988">
        <f t="shared" si="92"/>
        <v>44396417.625</v>
      </c>
      <c r="F148" s="988">
        <f t="shared" si="92"/>
        <v>38395337.625</v>
      </c>
      <c r="G148" s="989"/>
      <c r="H148" s="989"/>
      <c r="I148" s="989"/>
      <c r="J148" s="989"/>
      <c r="K148" s="989"/>
      <c r="L148" s="989"/>
      <c r="M148" s="989"/>
      <c r="N148" s="989"/>
      <c r="O148" s="989"/>
      <c r="P148" s="989"/>
      <c r="Q148" s="989"/>
      <c r="R148" s="989"/>
      <c r="S148" s="989"/>
      <c r="T148" s="989"/>
      <c r="U148" s="989"/>
      <c r="V148" s="989"/>
      <c r="W148" s="989"/>
      <c r="X148" s="989"/>
      <c r="Y148" s="989"/>
      <c r="Z148" s="989"/>
      <c r="AA148" s="989"/>
      <c r="AB148" s="989"/>
      <c r="AC148" s="989"/>
      <c r="AD148" s="989"/>
      <c r="AE148" s="988"/>
      <c r="AF148" s="988"/>
      <c r="AG148" s="988"/>
      <c r="AH148" s="988"/>
      <c r="AI148" s="991"/>
      <c r="AJ148" s="991"/>
      <c r="AK148" s="991"/>
      <c r="AL148" s="991"/>
      <c r="AM148" s="988"/>
      <c r="AN148" s="988"/>
      <c r="AO148" s="988"/>
      <c r="AP148" s="988"/>
      <c r="AQ148" s="988"/>
      <c r="AR148" s="988"/>
      <c r="AS148" s="988"/>
      <c r="AT148" s="988"/>
      <c r="AU148" s="988"/>
      <c r="AV148" s="988"/>
      <c r="AW148" s="988"/>
      <c r="AX148" s="988"/>
      <c r="AY148" s="988"/>
      <c r="AZ148" s="988"/>
      <c r="BA148" s="988"/>
      <c r="BB148" s="988"/>
      <c r="BC148" s="988"/>
      <c r="BD148" s="988"/>
      <c r="BE148" s="988"/>
      <c r="BF148" s="988"/>
      <c r="BG148" s="988"/>
      <c r="BH148" s="988"/>
      <c r="BI148" s="988"/>
      <c r="BJ148" s="988"/>
      <c r="BK148" s="988"/>
      <c r="BL148" s="988"/>
      <c r="BM148" s="988"/>
      <c r="BN148" s="988"/>
      <c r="BO148" s="988"/>
      <c r="BP148" s="988"/>
      <c r="BQ148" s="988"/>
      <c r="BR148" s="988"/>
      <c r="BS148" s="991"/>
      <c r="BT148" s="991"/>
      <c r="BU148" s="991"/>
      <c r="BV148" s="991"/>
      <c r="BW148" s="991"/>
      <c r="BX148" s="991"/>
      <c r="BY148" s="991"/>
      <c r="BZ148" s="991"/>
      <c r="CA148" s="640">
        <f t="shared" si="52"/>
        <v>150000000</v>
      </c>
      <c r="CB148" s="640">
        <f t="shared" si="52"/>
        <v>132480941.25</v>
      </c>
      <c r="CC148" s="640">
        <f t="shared" si="52"/>
        <v>44396417.625</v>
      </c>
      <c r="CD148" s="640">
        <f t="shared" si="52"/>
        <v>38395337.625</v>
      </c>
      <c r="CE148" s="641">
        <f t="shared" si="79"/>
        <v>0</v>
      </c>
      <c r="CF148" s="642">
        <f t="shared" si="80"/>
        <v>-186857421.58053213</v>
      </c>
      <c r="CG148" s="642">
        <f t="shared" si="80"/>
        <v>-239804028.44646794</v>
      </c>
      <c r="CH148" s="643">
        <f t="shared" si="80"/>
        <v>38395337.625</v>
      </c>
      <c r="CI148" s="993"/>
      <c r="CK148" s="39" t="s">
        <v>454</v>
      </c>
      <c r="CL148" s="638">
        <v>319338362.83053213</v>
      </c>
      <c r="CM148" s="638">
        <v>284200446.07146794</v>
      </c>
    </row>
    <row r="149" spans="1:92" ht="66" x14ac:dyDescent="0.25">
      <c r="A149" s="670" t="s">
        <v>1589</v>
      </c>
      <c r="B149" s="1005"/>
      <c r="C149" s="988">
        <f t="shared" ref="C149:F161" si="93">C$147*(B149/B$147)</f>
        <v>0</v>
      </c>
      <c r="D149" s="988">
        <f t="shared" si="93"/>
        <v>0</v>
      </c>
      <c r="E149" s="988">
        <f t="shared" si="93"/>
        <v>0</v>
      </c>
      <c r="F149" s="988">
        <f t="shared" si="93"/>
        <v>0</v>
      </c>
      <c r="G149" s="989"/>
      <c r="H149" s="989"/>
      <c r="I149" s="989"/>
      <c r="J149" s="989"/>
      <c r="K149" s="989"/>
      <c r="L149" s="989"/>
      <c r="M149" s="989"/>
      <c r="N149" s="989"/>
      <c r="O149" s="989"/>
      <c r="P149" s="989"/>
      <c r="Q149" s="989"/>
      <c r="R149" s="989"/>
      <c r="S149" s="989"/>
      <c r="T149" s="989"/>
      <c r="U149" s="989"/>
      <c r="V149" s="989"/>
      <c r="W149" s="989"/>
      <c r="X149" s="989"/>
      <c r="Y149" s="989"/>
      <c r="Z149" s="989"/>
      <c r="AA149" s="989"/>
      <c r="AB149" s="989"/>
      <c r="AC149" s="989"/>
      <c r="AD149" s="989"/>
      <c r="AE149" s="988"/>
      <c r="AF149" s="988"/>
      <c r="AG149" s="988"/>
      <c r="AH149" s="988"/>
      <c r="AI149" s="988"/>
      <c r="AJ149" s="988"/>
      <c r="AK149" s="988"/>
      <c r="AL149" s="988"/>
      <c r="AM149" s="988"/>
      <c r="AN149" s="988"/>
      <c r="AO149" s="988"/>
      <c r="AP149" s="988"/>
      <c r="AQ149" s="988"/>
      <c r="AR149" s="988"/>
      <c r="AS149" s="988"/>
      <c r="AT149" s="988"/>
      <c r="AU149" s="988"/>
      <c r="AV149" s="988"/>
      <c r="AW149" s="988"/>
      <c r="AX149" s="988"/>
      <c r="AY149" s="988"/>
      <c r="AZ149" s="988"/>
      <c r="BA149" s="988"/>
      <c r="BB149" s="988"/>
      <c r="BC149" s="988"/>
      <c r="BD149" s="988"/>
      <c r="BE149" s="988"/>
      <c r="BF149" s="988"/>
      <c r="BG149" s="988"/>
      <c r="BH149" s="988"/>
      <c r="BI149" s="988"/>
      <c r="BJ149" s="988"/>
      <c r="BK149" s="988"/>
      <c r="BL149" s="988"/>
      <c r="BM149" s="988"/>
      <c r="BN149" s="988"/>
      <c r="BO149" s="988"/>
      <c r="BP149" s="988"/>
      <c r="BQ149" s="988"/>
      <c r="BR149" s="988"/>
      <c r="BS149" s="991"/>
      <c r="BT149" s="991"/>
      <c r="BU149" s="991"/>
      <c r="BV149" s="991"/>
      <c r="BW149" s="991"/>
      <c r="BX149" s="991"/>
      <c r="BY149" s="991"/>
      <c r="BZ149" s="991"/>
      <c r="CA149" s="640">
        <f t="shared" si="52"/>
        <v>0</v>
      </c>
      <c r="CB149" s="640">
        <f t="shared" si="52"/>
        <v>0</v>
      </c>
      <c r="CC149" s="640">
        <f t="shared" si="52"/>
        <v>0</v>
      </c>
      <c r="CD149" s="640">
        <f t="shared" si="52"/>
        <v>0</v>
      </c>
      <c r="CE149" s="641">
        <f t="shared" si="79"/>
        <v>0</v>
      </c>
      <c r="CF149" s="642">
        <f t="shared" si="80"/>
        <v>0</v>
      </c>
      <c r="CG149" s="642">
        <f t="shared" si="80"/>
        <v>0</v>
      </c>
      <c r="CH149" s="643">
        <f t="shared" si="80"/>
        <v>0</v>
      </c>
    </row>
    <row r="150" spans="1:92" ht="67.5" customHeight="1" x14ac:dyDescent="0.3">
      <c r="A150" s="670" t="s">
        <v>1590</v>
      </c>
      <c r="B150" s="1005"/>
      <c r="C150" s="988">
        <f t="shared" si="93"/>
        <v>0</v>
      </c>
      <c r="D150" s="988">
        <f t="shared" si="93"/>
        <v>0</v>
      </c>
      <c r="E150" s="988">
        <f t="shared" si="93"/>
        <v>0</v>
      </c>
      <c r="F150" s="988">
        <f t="shared" si="93"/>
        <v>0</v>
      </c>
      <c r="G150" s="989"/>
      <c r="H150" s="989"/>
      <c r="I150" s="989"/>
      <c r="J150" s="989"/>
      <c r="K150" s="989"/>
      <c r="L150" s="989"/>
      <c r="M150" s="989"/>
      <c r="N150" s="989"/>
      <c r="O150" s="989"/>
      <c r="P150" s="989"/>
      <c r="Q150" s="989"/>
      <c r="R150" s="989"/>
      <c r="S150" s="989"/>
      <c r="T150" s="989"/>
      <c r="U150" s="989"/>
      <c r="V150" s="989"/>
      <c r="W150" s="989"/>
      <c r="X150" s="989"/>
      <c r="Y150" s="989"/>
      <c r="Z150" s="989"/>
      <c r="AA150" s="989"/>
      <c r="AB150" s="989"/>
      <c r="AC150" s="989"/>
      <c r="AD150" s="989"/>
      <c r="AE150" s="988"/>
      <c r="AF150" s="988"/>
      <c r="AG150" s="988"/>
      <c r="AH150" s="988"/>
      <c r="AI150" s="988"/>
      <c r="AJ150" s="988"/>
      <c r="AK150" s="988"/>
      <c r="AL150" s="988"/>
      <c r="AM150" s="988"/>
      <c r="AN150" s="988"/>
      <c r="AO150" s="988"/>
      <c r="AP150" s="988"/>
      <c r="AQ150" s="988"/>
      <c r="AR150" s="988"/>
      <c r="AS150" s="988"/>
      <c r="AT150" s="988"/>
      <c r="AU150" s="991"/>
      <c r="AV150" s="991"/>
      <c r="AW150" s="991"/>
      <c r="AX150" s="991"/>
      <c r="AY150" s="988"/>
      <c r="AZ150" s="988"/>
      <c r="BA150" s="988"/>
      <c r="BB150" s="988"/>
      <c r="BC150" s="988"/>
      <c r="BD150" s="988"/>
      <c r="BE150" s="988"/>
      <c r="BF150" s="988"/>
      <c r="BG150" s="988"/>
      <c r="BH150" s="988"/>
      <c r="BI150" s="988"/>
      <c r="BJ150" s="988"/>
      <c r="BK150" s="988"/>
      <c r="BL150" s="988"/>
      <c r="BM150" s="988"/>
      <c r="BN150" s="988"/>
      <c r="BO150" s="988"/>
      <c r="BP150" s="988"/>
      <c r="BQ150" s="988"/>
      <c r="BR150" s="988"/>
      <c r="BS150" s="1017"/>
      <c r="BT150" s="1017"/>
      <c r="BU150" s="1017"/>
      <c r="BV150" s="1017"/>
      <c r="BW150" s="1017"/>
      <c r="BX150" s="1017"/>
      <c r="BY150" s="1017"/>
      <c r="BZ150" s="1017"/>
      <c r="CA150" s="640">
        <f t="shared" si="52"/>
        <v>0</v>
      </c>
      <c r="CB150" s="640">
        <f t="shared" si="52"/>
        <v>0</v>
      </c>
      <c r="CC150" s="640">
        <f t="shared" si="52"/>
        <v>0</v>
      </c>
      <c r="CD150" s="640">
        <f t="shared" si="52"/>
        <v>0</v>
      </c>
      <c r="CE150" s="641">
        <f t="shared" si="79"/>
        <v>0</v>
      </c>
      <c r="CF150" s="642">
        <f t="shared" si="80"/>
        <v>-31933836.283053216</v>
      </c>
      <c r="CG150" s="642">
        <f t="shared" si="80"/>
        <v>-28420044.607146796</v>
      </c>
      <c r="CH150" s="643">
        <f t="shared" si="80"/>
        <v>0</v>
      </c>
      <c r="CK150" s="39" t="s">
        <v>457</v>
      </c>
      <c r="CL150" s="638">
        <v>31933836.283053216</v>
      </c>
      <c r="CM150" s="638">
        <v>28420044.607146796</v>
      </c>
    </row>
    <row r="151" spans="1:92" ht="67.5" customHeight="1" x14ac:dyDescent="0.3">
      <c r="A151" s="670" t="s">
        <v>1591</v>
      </c>
      <c r="B151" s="1005"/>
      <c r="C151" s="988">
        <f t="shared" si="93"/>
        <v>0</v>
      </c>
      <c r="D151" s="988">
        <f t="shared" si="93"/>
        <v>0</v>
      </c>
      <c r="E151" s="988">
        <f t="shared" si="93"/>
        <v>0</v>
      </c>
      <c r="F151" s="988">
        <f t="shared" si="93"/>
        <v>0</v>
      </c>
      <c r="G151" s="989"/>
      <c r="H151" s="989"/>
      <c r="I151" s="989"/>
      <c r="J151" s="989"/>
      <c r="K151" s="989"/>
      <c r="L151" s="989"/>
      <c r="M151" s="989"/>
      <c r="N151" s="989"/>
      <c r="O151" s="989"/>
      <c r="P151" s="989"/>
      <c r="Q151" s="989"/>
      <c r="R151" s="989"/>
      <c r="S151" s="989"/>
      <c r="T151" s="989"/>
      <c r="U151" s="989"/>
      <c r="V151" s="989"/>
      <c r="W151" s="989"/>
      <c r="X151" s="989"/>
      <c r="Y151" s="989"/>
      <c r="Z151" s="989"/>
      <c r="AA151" s="989"/>
      <c r="AB151" s="989"/>
      <c r="AC151" s="989"/>
      <c r="AD151" s="989"/>
      <c r="AE151" s="988"/>
      <c r="AF151" s="988"/>
      <c r="AG151" s="988"/>
      <c r="AH151" s="988"/>
      <c r="AI151" s="988"/>
      <c r="AJ151" s="988"/>
      <c r="AK151" s="988"/>
      <c r="AL151" s="988"/>
      <c r="AM151" s="988"/>
      <c r="AN151" s="988"/>
      <c r="AO151" s="988"/>
      <c r="AP151" s="988"/>
      <c r="AQ151" s="988"/>
      <c r="AR151" s="988"/>
      <c r="AS151" s="988"/>
      <c r="AT151" s="988"/>
      <c r="AU151" s="988"/>
      <c r="AV151" s="988"/>
      <c r="AW151" s="988"/>
      <c r="AX151" s="988"/>
      <c r="AY151" s="988"/>
      <c r="AZ151" s="988"/>
      <c r="BA151" s="988"/>
      <c r="BB151" s="988"/>
      <c r="BC151" s="988"/>
      <c r="BD151" s="988"/>
      <c r="BE151" s="988"/>
      <c r="BF151" s="988"/>
      <c r="BG151" s="988"/>
      <c r="BH151" s="988"/>
      <c r="BI151" s="988"/>
      <c r="BJ151" s="988"/>
      <c r="BK151" s="988"/>
      <c r="BL151" s="988"/>
      <c r="BM151" s="988"/>
      <c r="BN151" s="988"/>
      <c r="BO151" s="988"/>
      <c r="BP151" s="988"/>
      <c r="BQ151" s="988"/>
      <c r="BR151" s="988"/>
      <c r="BS151" s="1017"/>
      <c r="BT151" s="1017"/>
      <c r="BU151" s="1017"/>
      <c r="BV151" s="1017"/>
      <c r="BW151" s="1017"/>
      <c r="BX151" s="1017"/>
      <c r="BY151" s="1017"/>
      <c r="BZ151" s="1017"/>
      <c r="CA151" s="640">
        <f t="shared" si="52"/>
        <v>0</v>
      </c>
      <c r="CB151" s="640">
        <f t="shared" si="52"/>
        <v>0</v>
      </c>
      <c r="CC151" s="640">
        <f t="shared" si="52"/>
        <v>0</v>
      </c>
      <c r="CD151" s="640">
        <f t="shared" si="52"/>
        <v>0</v>
      </c>
      <c r="CE151" s="641">
        <f t="shared" si="79"/>
        <v>0</v>
      </c>
      <c r="CF151" s="642">
        <f t="shared" si="80"/>
        <v>-25547069.026442572</v>
      </c>
      <c r="CG151" s="642">
        <f t="shared" si="80"/>
        <v>-22736035.685717437</v>
      </c>
      <c r="CH151" s="643">
        <f t="shared" si="80"/>
        <v>0</v>
      </c>
      <c r="CK151" s="39" t="s">
        <v>461</v>
      </c>
      <c r="CL151" s="638">
        <v>25547069.026442572</v>
      </c>
      <c r="CM151" s="638">
        <v>22736035.685717437</v>
      </c>
    </row>
    <row r="152" spans="1:92" ht="66" x14ac:dyDescent="0.25">
      <c r="A152" s="670" t="s">
        <v>1592</v>
      </c>
      <c r="B152" s="1005">
        <v>100000000</v>
      </c>
      <c r="C152" s="988">
        <f t="shared" si="93"/>
        <v>100000000</v>
      </c>
      <c r="D152" s="988">
        <f t="shared" si="93"/>
        <v>88320627.5</v>
      </c>
      <c r="E152" s="988">
        <f t="shared" si="93"/>
        <v>29597611.75</v>
      </c>
      <c r="F152" s="988">
        <f t="shared" si="93"/>
        <v>25596891.75</v>
      </c>
      <c r="G152" s="989"/>
      <c r="H152" s="989"/>
      <c r="I152" s="989"/>
      <c r="J152" s="989"/>
      <c r="K152" s="989"/>
      <c r="L152" s="989"/>
      <c r="M152" s="989"/>
      <c r="N152" s="989"/>
      <c r="O152" s="989"/>
      <c r="P152" s="989"/>
      <c r="Q152" s="989"/>
      <c r="R152" s="989"/>
      <c r="S152" s="989"/>
      <c r="T152" s="989"/>
      <c r="U152" s="989"/>
      <c r="V152" s="989"/>
      <c r="W152" s="989"/>
      <c r="X152" s="989"/>
      <c r="Y152" s="989"/>
      <c r="Z152" s="989"/>
      <c r="AA152" s="989"/>
      <c r="AB152" s="989"/>
      <c r="AC152" s="989"/>
      <c r="AD152" s="989"/>
      <c r="AE152" s="988"/>
      <c r="AF152" s="988"/>
      <c r="AG152" s="988"/>
      <c r="AH152" s="988"/>
      <c r="AI152" s="988"/>
      <c r="AJ152" s="988"/>
      <c r="AK152" s="988"/>
      <c r="AL152" s="988"/>
      <c r="AM152" s="988"/>
      <c r="AN152" s="988"/>
      <c r="AO152" s="988"/>
      <c r="AP152" s="988"/>
      <c r="AQ152" s="988"/>
      <c r="AR152" s="988"/>
      <c r="AS152" s="988"/>
      <c r="AT152" s="988"/>
      <c r="AU152" s="988"/>
      <c r="AV152" s="988"/>
      <c r="AW152" s="988"/>
      <c r="AX152" s="988"/>
      <c r="AY152" s="988"/>
      <c r="AZ152" s="988"/>
      <c r="BA152" s="988"/>
      <c r="BB152" s="988"/>
      <c r="BC152" s="988"/>
      <c r="BD152" s="988"/>
      <c r="BE152" s="988"/>
      <c r="BF152" s="988"/>
      <c r="BG152" s="988"/>
      <c r="BH152" s="988"/>
      <c r="BI152" s="988"/>
      <c r="BJ152" s="988"/>
      <c r="BK152" s="988"/>
      <c r="BL152" s="988"/>
      <c r="BM152" s="988"/>
      <c r="BN152" s="988"/>
      <c r="BO152" s="988"/>
      <c r="BP152" s="988"/>
      <c r="BQ152" s="988"/>
      <c r="BR152" s="988"/>
      <c r="BS152" s="661">
        <v>0</v>
      </c>
      <c r="BT152" s="661">
        <v>0</v>
      </c>
      <c r="BU152" s="661">
        <v>0</v>
      </c>
      <c r="BV152" s="661">
        <v>0</v>
      </c>
      <c r="BW152" s="661"/>
      <c r="BX152" s="661"/>
      <c r="BY152" s="661"/>
      <c r="BZ152" s="661"/>
      <c r="CA152" s="640">
        <f t="shared" si="52"/>
        <v>100000000</v>
      </c>
      <c r="CB152" s="640">
        <f t="shared" si="52"/>
        <v>88320627.5</v>
      </c>
      <c r="CC152" s="640">
        <f t="shared" si="52"/>
        <v>29597611.75</v>
      </c>
      <c r="CD152" s="640">
        <f t="shared" si="52"/>
        <v>25596891.75</v>
      </c>
      <c r="CE152" s="641">
        <f t="shared" si="79"/>
        <v>0</v>
      </c>
      <c r="CF152" s="642">
        <f t="shared" si="80"/>
        <v>-599032.97114849091</v>
      </c>
      <c r="CG152" s="642">
        <f t="shared" si="80"/>
        <v>-49537907.535651267</v>
      </c>
      <c r="CH152" s="643">
        <f t="shared" si="80"/>
        <v>25596891.75</v>
      </c>
      <c r="CK152" s="39" t="s">
        <v>463</v>
      </c>
      <c r="CL152" s="638">
        <v>88919660.471148491</v>
      </c>
      <c r="CM152" s="638">
        <v>79135519.285651267</v>
      </c>
    </row>
    <row r="153" spans="1:92" ht="49.5" x14ac:dyDescent="0.25">
      <c r="A153" s="670" t="s">
        <v>1593</v>
      </c>
      <c r="B153" s="1005">
        <v>10000000</v>
      </c>
      <c r="C153" s="988">
        <f t="shared" si="93"/>
        <v>10000000</v>
      </c>
      <c r="D153" s="988">
        <f t="shared" si="93"/>
        <v>8832062.75</v>
      </c>
      <c r="E153" s="988">
        <f t="shared" si="93"/>
        <v>2959761.1750000003</v>
      </c>
      <c r="F153" s="988">
        <f t="shared" si="93"/>
        <v>2559689.1750000003</v>
      </c>
      <c r="G153" s="989"/>
      <c r="H153" s="989"/>
      <c r="I153" s="989"/>
      <c r="J153" s="989"/>
      <c r="K153" s="989"/>
      <c r="L153" s="989"/>
      <c r="M153" s="989"/>
      <c r="N153" s="989"/>
      <c r="O153" s="989"/>
      <c r="P153" s="989"/>
      <c r="Q153" s="989"/>
      <c r="R153" s="989"/>
      <c r="S153" s="989"/>
      <c r="T153" s="989"/>
      <c r="U153" s="989"/>
      <c r="V153" s="989"/>
      <c r="W153" s="989"/>
      <c r="X153" s="989"/>
      <c r="Y153" s="989"/>
      <c r="Z153" s="989"/>
      <c r="AA153" s="989"/>
      <c r="AB153" s="989"/>
      <c r="AC153" s="989"/>
      <c r="AD153" s="989"/>
      <c r="AE153" s="988"/>
      <c r="AF153" s="988"/>
      <c r="AG153" s="988"/>
      <c r="AH153" s="988"/>
      <c r="AI153" s="988"/>
      <c r="AJ153" s="988"/>
      <c r="AK153" s="988"/>
      <c r="AL153" s="988"/>
      <c r="AM153" s="988"/>
      <c r="AN153" s="988"/>
      <c r="AO153" s="988"/>
      <c r="AP153" s="988"/>
      <c r="AQ153" s="988"/>
      <c r="AR153" s="988"/>
      <c r="AS153" s="988"/>
      <c r="AT153" s="988"/>
      <c r="AU153" s="988"/>
      <c r="AV153" s="988"/>
      <c r="AW153" s="988"/>
      <c r="AX153" s="988"/>
      <c r="AY153" s="988"/>
      <c r="AZ153" s="988"/>
      <c r="BA153" s="988"/>
      <c r="BB153" s="988"/>
      <c r="BC153" s="988"/>
      <c r="BD153" s="988"/>
      <c r="BE153" s="988"/>
      <c r="BF153" s="988"/>
      <c r="BG153" s="988"/>
      <c r="BH153" s="988"/>
      <c r="BI153" s="988"/>
      <c r="BJ153" s="988"/>
      <c r="BK153" s="988"/>
      <c r="BL153" s="988"/>
      <c r="BM153" s="988"/>
      <c r="BN153" s="988"/>
      <c r="BO153" s="988"/>
      <c r="BP153" s="988"/>
      <c r="BQ153" s="988"/>
      <c r="BR153" s="988"/>
      <c r="BS153" s="991"/>
      <c r="BT153" s="991"/>
      <c r="BU153" s="991"/>
      <c r="BV153" s="991"/>
      <c r="BW153" s="991"/>
      <c r="BX153" s="991"/>
      <c r="BY153" s="991"/>
      <c r="BZ153" s="991"/>
      <c r="CA153" s="640">
        <f t="shared" si="52"/>
        <v>10000000</v>
      </c>
      <c r="CB153" s="640">
        <f t="shared" si="52"/>
        <v>8832062.75</v>
      </c>
      <c r="CC153" s="640">
        <f t="shared" si="52"/>
        <v>2959761.1750000003</v>
      </c>
      <c r="CD153" s="640">
        <f t="shared" ref="CD153:CD210" si="94">+F153+J153+N153+R153+V153+Z153+AD153+AH153+AL153+AP153+AT153+AX153+BB153+BF153+BJ153+BN153+BR153+BV153+BZ153</f>
        <v>2559689.1750000003</v>
      </c>
      <c r="CE153" s="641">
        <f t="shared" si="79"/>
        <v>0</v>
      </c>
      <c r="CF153" s="642">
        <f t="shared" si="80"/>
        <v>-3941471.7632212862</v>
      </c>
      <c r="CG153" s="642">
        <f t="shared" si="80"/>
        <v>-8408256.667858718</v>
      </c>
      <c r="CH153" s="643">
        <f t="shared" si="80"/>
        <v>2559689.1750000003</v>
      </c>
      <c r="CK153" s="1013" t="s">
        <v>466</v>
      </c>
      <c r="CL153" s="638">
        <v>12773534.513221286</v>
      </c>
      <c r="CM153" s="638">
        <v>11368017.842858719</v>
      </c>
    </row>
    <row r="154" spans="1:92" ht="49.5" x14ac:dyDescent="0.25">
      <c r="A154" s="1062" t="s">
        <v>1769</v>
      </c>
      <c r="B154" s="1005">
        <v>0</v>
      </c>
      <c r="C154" s="988">
        <f t="shared" si="93"/>
        <v>0</v>
      </c>
      <c r="D154" s="988">
        <f t="shared" si="93"/>
        <v>0</v>
      </c>
      <c r="E154" s="988">
        <f t="shared" si="93"/>
        <v>0</v>
      </c>
      <c r="F154" s="988">
        <f t="shared" si="93"/>
        <v>0</v>
      </c>
      <c r="G154" s="989"/>
      <c r="H154" s="989"/>
      <c r="I154" s="989"/>
      <c r="J154" s="989"/>
      <c r="K154" s="989"/>
      <c r="L154" s="989"/>
      <c r="M154" s="989"/>
      <c r="N154" s="989"/>
      <c r="O154" s="989"/>
      <c r="P154" s="989"/>
      <c r="Q154" s="989"/>
      <c r="R154" s="989"/>
      <c r="S154" s="989"/>
      <c r="T154" s="989"/>
      <c r="U154" s="989"/>
      <c r="V154" s="989"/>
      <c r="W154" s="989"/>
      <c r="X154" s="989"/>
      <c r="Y154" s="989"/>
      <c r="Z154" s="989"/>
      <c r="AA154" s="989"/>
      <c r="AB154" s="989"/>
      <c r="AC154" s="989"/>
      <c r="AD154" s="989"/>
      <c r="AE154" s="988"/>
      <c r="AF154" s="988"/>
      <c r="AG154" s="988"/>
      <c r="AH154" s="988"/>
      <c r="AI154" s="988"/>
      <c r="AJ154" s="988"/>
      <c r="AK154" s="988"/>
      <c r="AL154" s="988"/>
      <c r="AM154" s="988"/>
      <c r="AN154" s="988"/>
      <c r="AO154" s="988"/>
      <c r="AP154" s="988"/>
      <c r="AQ154" s="988"/>
      <c r="AR154" s="988"/>
      <c r="AS154" s="988"/>
      <c r="AT154" s="988"/>
      <c r="AU154" s="988"/>
      <c r="AV154" s="988"/>
      <c r="AW154" s="988"/>
      <c r="AX154" s="988"/>
      <c r="AY154" s="988"/>
      <c r="AZ154" s="988"/>
      <c r="BA154" s="988"/>
      <c r="BB154" s="988"/>
      <c r="BC154" s="988"/>
      <c r="BD154" s="988"/>
      <c r="BE154" s="988"/>
      <c r="BF154" s="988"/>
      <c r="BG154" s="988"/>
      <c r="BH154" s="988"/>
      <c r="BI154" s="988"/>
      <c r="BJ154" s="988"/>
      <c r="BK154" s="988"/>
      <c r="BL154" s="988"/>
      <c r="BM154" s="988"/>
      <c r="BN154" s="988"/>
      <c r="BO154" s="988"/>
      <c r="BP154" s="988"/>
      <c r="BQ154" s="988"/>
      <c r="BR154" s="988"/>
      <c r="BS154" s="991"/>
      <c r="BT154" s="991"/>
      <c r="BU154" s="991"/>
      <c r="BV154" s="991"/>
      <c r="BW154" s="991"/>
      <c r="BX154" s="991"/>
      <c r="BY154" s="991"/>
      <c r="BZ154" s="991"/>
      <c r="CA154" s="640">
        <f t="shared" ref="CA154:CC210" si="95">+C154+G154+K154+O154+S154+W154+AA154+AE154+AI154+AM154+AQ154+AU154+AY154+BC154+BG154+BK154+BO154+BS154+BW154</f>
        <v>0</v>
      </c>
      <c r="CB154" s="640">
        <f t="shared" si="95"/>
        <v>0</v>
      </c>
      <c r="CC154" s="640">
        <f t="shared" si="95"/>
        <v>0</v>
      </c>
      <c r="CD154" s="640">
        <f t="shared" si="94"/>
        <v>0</v>
      </c>
      <c r="CE154" s="641">
        <f t="shared" si="79"/>
        <v>0</v>
      </c>
      <c r="CF154" s="642">
        <f t="shared" si="80"/>
        <v>-12773534.513221286</v>
      </c>
      <c r="CG154" s="642">
        <f t="shared" si="80"/>
        <v>-11368017.842858719</v>
      </c>
      <c r="CH154" s="643">
        <f t="shared" si="80"/>
        <v>0</v>
      </c>
      <c r="CK154" s="1013" t="s">
        <v>468</v>
      </c>
      <c r="CL154" s="638">
        <v>12773534.513221286</v>
      </c>
      <c r="CM154" s="638">
        <v>11368017.842858719</v>
      </c>
    </row>
    <row r="155" spans="1:92" s="996" customFormat="1" ht="33" x14ac:dyDescent="0.3">
      <c r="A155" s="670" t="s">
        <v>471</v>
      </c>
      <c r="B155" s="1005"/>
      <c r="C155" s="988">
        <f t="shared" si="93"/>
        <v>0</v>
      </c>
      <c r="D155" s="988">
        <f t="shared" si="93"/>
        <v>0</v>
      </c>
      <c r="E155" s="988">
        <f t="shared" si="93"/>
        <v>0</v>
      </c>
      <c r="F155" s="988">
        <f t="shared" si="93"/>
        <v>0</v>
      </c>
      <c r="G155" s="994"/>
      <c r="H155" s="994"/>
      <c r="I155" s="994"/>
      <c r="J155" s="994"/>
      <c r="K155" s="994"/>
      <c r="L155" s="994"/>
      <c r="M155" s="994"/>
      <c r="N155" s="994"/>
      <c r="O155" s="994"/>
      <c r="P155" s="994"/>
      <c r="Q155" s="994"/>
      <c r="R155" s="994"/>
      <c r="S155" s="994"/>
      <c r="T155" s="994"/>
      <c r="U155" s="994"/>
      <c r="V155" s="994"/>
      <c r="W155" s="994"/>
      <c r="X155" s="994"/>
      <c r="Y155" s="994"/>
      <c r="Z155" s="994"/>
      <c r="AA155" s="994"/>
      <c r="AB155" s="994"/>
      <c r="AC155" s="994"/>
      <c r="AD155" s="994"/>
      <c r="AE155" s="994"/>
      <c r="AF155" s="994"/>
      <c r="AG155" s="994"/>
      <c r="AH155" s="994"/>
      <c r="AI155" s="994"/>
      <c r="AJ155" s="994"/>
      <c r="AK155" s="994"/>
      <c r="AL155" s="994"/>
      <c r="AM155" s="994"/>
      <c r="AN155" s="994"/>
      <c r="AO155" s="994"/>
      <c r="AP155" s="994"/>
      <c r="AQ155" s="994"/>
      <c r="AR155" s="994"/>
      <c r="AS155" s="994"/>
      <c r="AT155" s="994"/>
      <c r="AU155" s="994"/>
      <c r="AV155" s="994"/>
      <c r="AW155" s="994"/>
      <c r="AX155" s="994"/>
      <c r="AY155" s="994"/>
      <c r="AZ155" s="994"/>
      <c r="BA155" s="994"/>
      <c r="BB155" s="994"/>
      <c r="BC155" s="994"/>
      <c r="BD155" s="994"/>
      <c r="BE155" s="994"/>
      <c r="BF155" s="994"/>
      <c r="BG155" s="994"/>
      <c r="BH155" s="994"/>
      <c r="BI155" s="994"/>
      <c r="BJ155" s="994"/>
      <c r="BK155" s="988"/>
      <c r="BL155" s="988"/>
      <c r="BM155" s="988"/>
      <c r="BN155" s="988"/>
      <c r="BO155" s="994"/>
      <c r="BP155" s="994"/>
      <c r="BQ155" s="994"/>
      <c r="BR155" s="994"/>
      <c r="BS155" s="991"/>
      <c r="BT155" s="991"/>
      <c r="BU155" s="991"/>
      <c r="BV155" s="991"/>
      <c r="BW155" s="991"/>
      <c r="BX155" s="991"/>
      <c r="BY155" s="991"/>
      <c r="BZ155" s="991"/>
      <c r="CA155" s="640">
        <f t="shared" si="95"/>
        <v>0</v>
      </c>
      <c r="CB155" s="640">
        <f t="shared" si="95"/>
        <v>0</v>
      </c>
      <c r="CC155" s="640">
        <f t="shared" si="95"/>
        <v>0</v>
      </c>
      <c r="CD155" s="640">
        <f t="shared" si="94"/>
        <v>0</v>
      </c>
      <c r="CE155" s="641">
        <f t="shared" si="79"/>
        <v>0</v>
      </c>
      <c r="CF155" s="642">
        <f t="shared" si="80"/>
        <v>0</v>
      </c>
      <c r="CG155" s="642">
        <f t="shared" si="80"/>
        <v>0</v>
      </c>
      <c r="CH155" s="997">
        <f t="shared" si="80"/>
        <v>0</v>
      </c>
      <c r="CK155" s="1013" t="s">
        <v>471</v>
      </c>
      <c r="CL155" s="638">
        <v>0</v>
      </c>
      <c r="CM155" s="638">
        <v>0</v>
      </c>
    </row>
    <row r="156" spans="1:92" ht="33" x14ac:dyDescent="0.25">
      <c r="A156" s="1062" t="s">
        <v>1770</v>
      </c>
      <c r="B156" s="1005"/>
      <c r="C156" s="988">
        <f t="shared" si="93"/>
        <v>0</v>
      </c>
      <c r="D156" s="988">
        <f t="shared" si="93"/>
        <v>0</v>
      </c>
      <c r="E156" s="988">
        <f t="shared" si="93"/>
        <v>0</v>
      </c>
      <c r="F156" s="988">
        <f t="shared" si="93"/>
        <v>0</v>
      </c>
      <c r="G156" s="989"/>
      <c r="H156" s="989"/>
      <c r="I156" s="989"/>
      <c r="J156" s="989"/>
      <c r="K156" s="989"/>
      <c r="L156" s="989"/>
      <c r="M156" s="989"/>
      <c r="N156" s="989"/>
      <c r="O156" s="649"/>
      <c r="P156" s="649"/>
      <c r="Q156" s="649"/>
      <c r="R156" s="649"/>
      <c r="S156" s="1014"/>
      <c r="T156" s="1014"/>
      <c r="U156" s="1014"/>
      <c r="V156" s="1014"/>
      <c r="W156" s="989"/>
      <c r="X156" s="989"/>
      <c r="Y156" s="989"/>
      <c r="Z156" s="989"/>
      <c r="AA156" s="989"/>
      <c r="AB156" s="989"/>
      <c r="AC156" s="989"/>
      <c r="AD156" s="989"/>
      <c r="AE156" s="988"/>
      <c r="AF156" s="988"/>
      <c r="AG156" s="988"/>
      <c r="AH156" s="988"/>
      <c r="AI156" s="988"/>
      <c r="AJ156" s="988"/>
      <c r="AK156" s="988"/>
      <c r="AL156" s="988"/>
      <c r="AM156" s="988"/>
      <c r="AN156" s="988"/>
      <c r="AO156" s="988"/>
      <c r="AP156" s="988"/>
      <c r="AQ156" s="988"/>
      <c r="AR156" s="988"/>
      <c r="AS156" s="988"/>
      <c r="AT156" s="988"/>
      <c r="AU156" s="988"/>
      <c r="AV156" s="988"/>
      <c r="AW156" s="988"/>
      <c r="AX156" s="988"/>
      <c r="AY156" s="988"/>
      <c r="AZ156" s="988"/>
      <c r="BA156" s="988"/>
      <c r="BB156" s="988"/>
      <c r="BC156" s="988"/>
      <c r="BD156" s="988"/>
      <c r="BE156" s="988"/>
      <c r="BF156" s="988"/>
      <c r="BG156" s="988"/>
      <c r="BH156" s="988"/>
      <c r="BI156" s="988"/>
      <c r="BJ156" s="988"/>
      <c r="BK156" s="988"/>
      <c r="BL156" s="988"/>
      <c r="BM156" s="988"/>
      <c r="BN156" s="988"/>
      <c r="BO156" s="988"/>
      <c r="BP156" s="988"/>
      <c r="BQ156" s="988"/>
      <c r="BR156" s="988"/>
      <c r="BS156" s="991"/>
      <c r="BT156" s="991"/>
      <c r="BU156" s="991"/>
      <c r="BV156" s="991"/>
      <c r="BW156" s="991"/>
      <c r="BX156" s="991"/>
      <c r="BY156" s="991"/>
      <c r="BZ156" s="991"/>
      <c r="CA156" s="640">
        <f t="shared" si="95"/>
        <v>0</v>
      </c>
      <c r="CB156" s="640">
        <f t="shared" si="95"/>
        <v>0</v>
      </c>
      <c r="CC156" s="640">
        <f t="shared" si="95"/>
        <v>0</v>
      </c>
      <c r="CD156" s="640">
        <f t="shared" si="94"/>
        <v>0</v>
      </c>
      <c r="CE156" s="641">
        <f t="shared" si="79"/>
        <v>0</v>
      </c>
      <c r="CF156" s="642">
        <f t="shared" si="80"/>
        <v>0</v>
      </c>
      <c r="CG156" s="642">
        <f t="shared" si="80"/>
        <v>0</v>
      </c>
      <c r="CH156" s="643">
        <f t="shared" si="80"/>
        <v>0</v>
      </c>
      <c r="CK156" s="1013" t="s">
        <v>474</v>
      </c>
      <c r="CL156" s="638">
        <v>0</v>
      </c>
      <c r="CM156" s="638">
        <v>0</v>
      </c>
    </row>
    <row r="157" spans="1:92" ht="33" x14ac:dyDescent="0.25">
      <c r="A157" s="670" t="s">
        <v>1594</v>
      </c>
      <c r="B157" s="1012">
        <v>20000000</v>
      </c>
      <c r="C157" s="988">
        <f t="shared" si="93"/>
        <v>20000000</v>
      </c>
      <c r="D157" s="988">
        <f t="shared" si="93"/>
        <v>17664125.5</v>
      </c>
      <c r="E157" s="988">
        <f t="shared" si="93"/>
        <v>5919522.3500000006</v>
      </c>
      <c r="F157" s="988">
        <f t="shared" si="93"/>
        <v>5119378.3500000006</v>
      </c>
      <c r="G157" s="1063"/>
      <c r="H157" s="1063"/>
      <c r="I157" s="1063"/>
      <c r="J157" s="1063"/>
      <c r="K157" s="1063"/>
      <c r="L157" s="1063"/>
      <c r="M157" s="1063"/>
      <c r="N157" s="1063"/>
      <c r="O157" s="1063"/>
      <c r="P157" s="1063"/>
      <c r="Q157" s="1063"/>
      <c r="R157" s="1063"/>
      <c r="S157" s="989"/>
      <c r="T157" s="989"/>
      <c r="U157" s="989"/>
      <c r="V157" s="989"/>
      <c r="W157" s="989"/>
      <c r="X157" s="989"/>
      <c r="Y157" s="989"/>
      <c r="Z157" s="989"/>
      <c r="AA157" s="989"/>
      <c r="AB157" s="989"/>
      <c r="AC157" s="989"/>
      <c r="AD157" s="989"/>
      <c r="AE157" s="988"/>
      <c r="AF157" s="988"/>
      <c r="AG157" s="988"/>
      <c r="AH157" s="988"/>
      <c r="AI157" s="988"/>
      <c r="AJ157" s="988"/>
      <c r="AK157" s="988"/>
      <c r="AL157" s="988"/>
      <c r="AM157" s="988"/>
      <c r="AN157" s="988"/>
      <c r="AO157" s="988"/>
      <c r="AP157" s="988"/>
      <c r="AQ157" s="988"/>
      <c r="AR157" s="988"/>
      <c r="AS157" s="988"/>
      <c r="AT157" s="988"/>
      <c r="AU157" s="988"/>
      <c r="AV157" s="988"/>
      <c r="AW157" s="988"/>
      <c r="AX157" s="988"/>
      <c r="AY157" s="988"/>
      <c r="AZ157" s="988"/>
      <c r="BA157" s="988"/>
      <c r="BB157" s="988"/>
      <c r="BC157" s="988"/>
      <c r="BD157" s="988"/>
      <c r="BE157" s="988"/>
      <c r="BF157" s="988"/>
      <c r="BG157" s="988"/>
      <c r="BH157" s="988"/>
      <c r="BI157" s="988"/>
      <c r="BJ157" s="988"/>
      <c r="BK157" s="988"/>
      <c r="BL157" s="988"/>
      <c r="BM157" s="988"/>
      <c r="BN157" s="988"/>
      <c r="BO157" s="988"/>
      <c r="BP157" s="988"/>
      <c r="BQ157" s="988"/>
      <c r="BR157" s="988"/>
      <c r="BS157" s="991"/>
      <c r="BT157" s="991"/>
      <c r="BU157" s="991"/>
      <c r="BV157" s="991"/>
      <c r="BW157" s="991"/>
      <c r="BX157" s="991"/>
      <c r="BY157" s="991"/>
      <c r="BZ157" s="991"/>
      <c r="CA157" s="640">
        <f t="shared" si="95"/>
        <v>20000000</v>
      </c>
      <c r="CB157" s="640">
        <f t="shared" si="95"/>
        <v>17664125.5</v>
      </c>
      <c r="CC157" s="640">
        <f t="shared" si="95"/>
        <v>5919522.3500000006</v>
      </c>
      <c r="CD157" s="640">
        <f t="shared" si="94"/>
        <v>5119378.3500000006</v>
      </c>
      <c r="CE157" s="641">
        <f t="shared" si="79"/>
        <v>0</v>
      </c>
      <c r="CF157" s="642">
        <f t="shared" si="80"/>
        <v>17664125.5</v>
      </c>
      <c r="CG157" s="642">
        <f t="shared" si="80"/>
        <v>5919522.3500000006</v>
      </c>
      <c r="CH157" s="643">
        <f t="shared" si="80"/>
        <v>5119378.3500000006</v>
      </c>
      <c r="CK157" s="1013" t="s">
        <v>477</v>
      </c>
      <c r="CL157" s="638">
        <v>0</v>
      </c>
      <c r="CM157" s="638">
        <v>0</v>
      </c>
    </row>
    <row r="158" spans="1:92" ht="33" x14ac:dyDescent="0.25">
      <c r="A158" s="1064" t="s">
        <v>477</v>
      </c>
      <c r="B158" s="1012">
        <v>20000000</v>
      </c>
      <c r="C158" s="988">
        <f t="shared" si="93"/>
        <v>20000000</v>
      </c>
      <c r="D158" s="988">
        <f t="shared" si="93"/>
        <v>17664125.5</v>
      </c>
      <c r="E158" s="988">
        <f t="shared" si="93"/>
        <v>5919522.3500000006</v>
      </c>
      <c r="F158" s="988">
        <f t="shared" si="93"/>
        <v>5119378.3500000006</v>
      </c>
      <c r="G158" s="989"/>
      <c r="H158" s="989"/>
      <c r="I158" s="989"/>
      <c r="J158" s="989"/>
      <c r="K158" s="989"/>
      <c r="L158" s="989"/>
      <c r="M158" s="989"/>
      <c r="N158" s="989"/>
      <c r="O158" s="989"/>
      <c r="P158" s="989"/>
      <c r="Q158" s="989"/>
      <c r="R158" s="989"/>
      <c r="S158" s="989"/>
      <c r="T158" s="989"/>
      <c r="U158" s="989"/>
      <c r="V158" s="989"/>
      <c r="W158" s="989"/>
      <c r="X158" s="989"/>
      <c r="Y158" s="989"/>
      <c r="Z158" s="989"/>
      <c r="AA158" s="989"/>
      <c r="AB158" s="989"/>
      <c r="AC158" s="989"/>
      <c r="AD158" s="989"/>
      <c r="AE158" s="988"/>
      <c r="AF158" s="988"/>
      <c r="AG158" s="988"/>
      <c r="AH158" s="988"/>
      <c r="AI158" s="988"/>
      <c r="AJ158" s="988"/>
      <c r="AK158" s="988"/>
      <c r="AL158" s="988"/>
      <c r="AM158" s="988"/>
      <c r="AN158" s="988"/>
      <c r="AO158" s="988"/>
      <c r="AP158" s="988"/>
      <c r="AQ158" s="988"/>
      <c r="AR158" s="988"/>
      <c r="AS158" s="988"/>
      <c r="AT158" s="988"/>
      <c r="AU158" s="988"/>
      <c r="AV158" s="988"/>
      <c r="AW158" s="988"/>
      <c r="AX158" s="988"/>
      <c r="AY158" s="988"/>
      <c r="AZ158" s="988"/>
      <c r="BA158" s="988"/>
      <c r="BB158" s="988"/>
      <c r="BC158" s="988"/>
      <c r="BD158" s="988"/>
      <c r="BE158" s="988"/>
      <c r="BF158" s="988"/>
      <c r="BG158" s="988"/>
      <c r="BH158" s="988"/>
      <c r="BI158" s="988"/>
      <c r="BJ158" s="988"/>
      <c r="BK158" s="988"/>
      <c r="BL158" s="988"/>
      <c r="BM158" s="988"/>
      <c r="BN158" s="988"/>
      <c r="BO158" s="988"/>
      <c r="BP158" s="988"/>
      <c r="BQ158" s="988"/>
      <c r="BR158" s="988"/>
      <c r="BS158" s="991"/>
      <c r="BT158" s="991"/>
      <c r="BU158" s="991"/>
      <c r="BV158" s="991"/>
      <c r="BW158" s="991"/>
      <c r="BX158" s="991"/>
      <c r="BY158" s="991"/>
      <c r="BZ158" s="991"/>
      <c r="CA158" s="640">
        <f t="shared" si="95"/>
        <v>20000000</v>
      </c>
      <c r="CB158" s="640">
        <f t="shared" si="95"/>
        <v>17664125.5</v>
      </c>
      <c r="CC158" s="640">
        <f t="shared" si="95"/>
        <v>5919522.3500000006</v>
      </c>
      <c r="CD158" s="640">
        <f t="shared" si="94"/>
        <v>5119378.3500000006</v>
      </c>
      <c r="CE158" s="641">
        <f t="shared" si="79"/>
        <v>0</v>
      </c>
      <c r="CF158" s="642">
        <f t="shared" si="80"/>
        <v>17664125.5</v>
      </c>
      <c r="CG158" s="642">
        <f t="shared" si="80"/>
        <v>5919522.3500000006</v>
      </c>
      <c r="CH158" s="643">
        <f t="shared" si="80"/>
        <v>5119378.3500000006</v>
      </c>
    </row>
    <row r="159" spans="1:92" ht="49.5" x14ac:dyDescent="0.25">
      <c r="A159" s="670" t="s">
        <v>1595</v>
      </c>
      <c r="B159" s="1012">
        <v>80000000</v>
      </c>
      <c r="C159" s="988">
        <f t="shared" si="93"/>
        <v>80000000</v>
      </c>
      <c r="D159" s="988">
        <f t="shared" si="93"/>
        <v>70656502</v>
      </c>
      <c r="E159" s="988">
        <f t="shared" si="93"/>
        <v>23678089.400000002</v>
      </c>
      <c r="F159" s="988">
        <f t="shared" si="93"/>
        <v>20477513.400000002</v>
      </c>
      <c r="G159" s="989"/>
      <c r="H159" s="989"/>
      <c r="I159" s="989"/>
      <c r="J159" s="989"/>
      <c r="K159" s="989"/>
      <c r="L159" s="989"/>
      <c r="M159" s="989"/>
      <c r="N159" s="989"/>
      <c r="O159" s="989"/>
      <c r="P159" s="989"/>
      <c r="Q159" s="989"/>
      <c r="R159" s="989"/>
      <c r="S159" s="989"/>
      <c r="T159" s="989"/>
      <c r="U159" s="989"/>
      <c r="V159" s="989"/>
      <c r="W159" s="989"/>
      <c r="X159" s="989"/>
      <c r="Y159" s="989"/>
      <c r="Z159" s="989"/>
      <c r="AA159" s="989"/>
      <c r="AB159" s="989"/>
      <c r="AC159" s="989"/>
      <c r="AD159" s="989"/>
      <c r="AE159" s="988"/>
      <c r="AF159" s="988"/>
      <c r="AG159" s="988"/>
      <c r="AH159" s="988"/>
      <c r="AI159" s="988"/>
      <c r="AJ159" s="988"/>
      <c r="AK159" s="988"/>
      <c r="AL159" s="988"/>
      <c r="AM159" s="988"/>
      <c r="AN159" s="988"/>
      <c r="AO159" s="988"/>
      <c r="AP159" s="988"/>
      <c r="AQ159" s="988"/>
      <c r="AR159" s="988"/>
      <c r="AS159" s="988"/>
      <c r="AT159" s="988"/>
      <c r="AU159" s="988"/>
      <c r="AV159" s="988"/>
      <c r="AW159" s="988"/>
      <c r="AX159" s="988"/>
      <c r="AY159" s="988"/>
      <c r="AZ159" s="988"/>
      <c r="BA159" s="988"/>
      <c r="BB159" s="988"/>
      <c r="BC159" s="988"/>
      <c r="BD159" s="988"/>
      <c r="BE159" s="988"/>
      <c r="BF159" s="988"/>
      <c r="BG159" s="988"/>
      <c r="BH159" s="988"/>
      <c r="BI159" s="988"/>
      <c r="BJ159" s="988"/>
      <c r="BK159" s="988"/>
      <c r="BL159" s="988"/>
      <c r="BM159" s="988"/>
      <c r="BN159" s="988"/>
      <c r="BO159" s="988"/>
      <c r="BP159" s="988"/>
      <c r="BQ159" s="988"/>
      <c r="BR159" s="988"/>
      <c r="BS159" s="991"/>
      <c r="BT159" s="991"/>
      <c r="BU159" s="991"/>
      <c r="BV159" s="991"/>
      <c r="BW159" s="991"/>
      <c r="BX159" s="991"/>
      <c r="BY159" s="991"/>
      <c r="BZ159" s="991"/>
      <c r="CA159" s="640">
        <f t="shared" si="95"/>
        <v>80000000</v>
      </c>
      <c r="CB159" s="640">
        <f t="shared" si="95"/>
        <v>70656502</v>
      </c>
      <c r="CC159" s="640">
        <f t="shared" si="95"/>
        <v>23678089.400000002</v>
      </c>
      <c r="CD159" s="640">
        <f t="shared" si="94"/>
        <v>20477513.400000002</v>
      </c>
      <c r="CE159" s="641">
        <f t="shared" si="79"/>
        <v>0</v>
      </c>
      <c r="CF159" s="642">
        <f t="shared" si="80"/>
        <v>70656502</v>
      </c>
      <c r="CG159" s="642">
        <f t="shared" si="80"/>
        <v>23678089.400000002</v>
      </c>
      <c r="CH159" s="643">
        <f t="shared" si="80"/>
        <v>20477513.400000002</v>
      </c>
      <c r="CK159" s="1013" t="s">
        <v>479</v>
      </c>
      <c r="CL159" s="638">
        <v>0</v>
      </c>
      <c r="CM159" s="638">
        <v>0</v>
      </c>
    </row>
    <row r="160" spans="1:92" ht="33" x14ac:dyDescent="0.25">
      <c r="A160" s="670" t="s">
        <v>1596</v>
      </c>
      <c r="B160" s="1005">
        <v>20000000</v>
      </c>
      <c r="C160" s="988">
        <f t="shared" si="93"/>
        <v>20000000</v>
      </c>
      <c r="D160" s="988">
        <f t="shared" si="93"/>
        <v>17664125.5</v>
      </c>
      <c r="E160" s="988">
        <f t="shared" si="93"/>
        <v>5919522.3500000006</v>
      </c>
      <c r="F160" s="988">
        <f t="shared" si="93"/>
        <v>5119378.3500000006</v>
      </c>
      <c r="G160" s="989"/>
      <c r="H160" s="989"/>
      <c r="I160" s="989"/>
      <c r="J160" s="989"/>
      <c r="K160" s="989"/>
      <c r="L160" s="989"/>
      <c r="M160" s="989"/>
      <c r="N160" s="989"/>
      <c r="O160" s="989"/>
      <c r="P160" s="989"/>
      <c r="Q160" s="989"/>
      <c r="R160" s="989"/>
      <c r="S160" s="989"/>
      <c r="T160" s="989"/>
      <c r="U160" s="989"/>
      <c r="V160" s="989"/>
      <c r="W160" s="989"/>
      <c r="X160" s="989"/>
      <c r="Y160" s="989"/>
      <c r="Z160" s="989"/>
      <c r="AA160" s="989"/>
      <c r="AB160" s="989"/>
      <c r="AC160" s="989"/>
      <c r="AD160" s="989"/>
      <c r="AE160" s="988"/>
      <c r="AF160" s="988"/>
      <c r="AG160" s="988"/>
      <c r="AH160" s="988"/>
      <c r="AI160" s="988"/>
      <c r="AJ160" s="988"/>
      <c r="AK160" s="988"/>
      <c r="AL160" s="988"/>
      <c r="AM160" s="988"/>
      <c r="AN160" s="988"/>
      <c r="AO160" s="988"/>
      <c r="AP160" s="988"/>
      <c r="AQ160" s="988"/>
      <c r="AR160" s="988"/>
      <c r="AS160" s="988"/>
      <c r="AT160" s="988"/>
      <c r="AU160" s="988"/>
      <c r="AV160" s="988"/>
      <c r="AW160" s="988"/>
      <c r="AX160" s="988"/>
      <c r="AY160" s="988"/>
      <c r="AZ160" s="988"/>
      <c r="BA160" s="988"/>
      <c r="BB160" s="988"/>
      <c r="BC160" s="988"/>
      <c r="BD160" s="988"/>
      <c r="BE160" s="988"/>
      <c r="BF160" s="988"/>
      <c r="BG160" s="988"/>
      <c r="BH160" s="988"/>
      <c r="BI160" s="988"/>
      <c r="BJ160" s="988"/>
      <c r="BK160" s="988"/>
      <c r="BL160" s="988"/>
      <c r="BM160" s="988"/>
      <c r="BN160" s="988"/>
      <c r="BO160" s="1008"/>
      <c r="BP160" s="1008"/>
      <c r="BQ160" s="1008"/>
      <c r="BR160" s="1008"/>
      <c r="BS160" s="991"/>
      <c r="BT160" s="991"/>
      <c r="BU160" s="991"/>
      <c r="BV160" s="991"/>
      <c r="BW160" s="991"/>
      <c r="BX160" s="991"/>
      <c r="BY160" s="991"/>
      <c r="BZ160" s="991"/>
      <c r="CA160" s="640">
        <f t="shared" si="95"/>
        <v>20000000</v>
      </c>
      <c r="CB160" s="640">
        <f t="shared" si="95"/>
        <v>17664125.5</v>
      </c>
      <c r="CC160" s="640">
        <f t="shared" si="95"/>
        <v>5919522.3500000006</v>
      </c>
      <c r="CD160" s="640">
        <f t="shared" si="94"/>
        <v>5119378.3500000006</v>
      </c>
      <c r="CE160" s="641">
        <f t="shared" si="79"/>
        <v>0</v>
      </c>
      <c r="CF160" s="642">
        <f t="shared" si="80"/>
        <v>-58977081.579327703</v>
      </c>
      <c r="CG160" s="642">
        <f t="shared" si="80"/>
        <v>-62288584.7071523</v>
      </c>
      <c r="CH160" s="643">
        <f t="shared" si="80"/>
        <v>5119378.3500000006</v>
      </c>
      <c r="CK160" s="1018" t="s">
        <v>482</v>
      </c>
      <c r="CL160" s="638">
        <v>76641207.079327703</v>
      </c>
      <c r="CM160" s="638">
        <v>68208107.057152301</v>
      </c>
    </row>
    <row r="161" spans="1:92" ht="49.5" x14ac:dyDescent="0.25">
      <c r="A161" s="670" t="s">
        <v>1597</v>
      </c>
      <c r="B161" s="1065">
        <v>0</v>
      </c>
      <c r="C161" s="988">
        <f t="shared" si="93"/>
        <v>0</v>
      </c>
      <c r="D161" s="988">
        <f t="shared" si="93"/>
        <v>0</v>
      </c>
      <c r="E161" s="988">
        <f t="shared" si="93"/>
        <v>0</v>
      </c>
      <c r="F161" s="988">
        <f t="shared" si="93"/>
        <v>0</v>
      </c>
      <c r="G161" s="989"/>
      <c r="H161" s="989"/>
      <c r="I161" s="989"/>
      <c r="J161" s="989"/>
      <c r="K161" s="989"/>
      <c r="L161" s="989"/>
      <c r="M161" s="989"/>
      <c r="N161" s="989"/>
      <c r="O161" s="989"/>
      <c r="P161" s="989"/>
      <c r="Q161" s="989"/>
      <c r="R161" s="989"/>
      <c r="S161" s="989"/>
      <c r="T161" s="989"/>
      <c r="U161" s="989"/>
      <c r="V161" s="989"/>
      <c r="W161" s="989"/>
      <c r="X161" s="989"/>
      <c r="Y161" s="989"/>
      <c r="Z161" s="989"/>
      <c r="AA161" s="989"/>
      <c r="AB161" s="989"/>
      <c r="AC161" s="989"/>
      <c r="AD161" s="989"/>
      <c r="AE161" s="988"/>
      <c r="AF161" s="988"/>
      <c r="AG161" s="988"/>
      <c r="AH161" s="988"/>
      <c r="AI161" s="988"/>
      <c r="AJ161" s="988"/>
      <c r="AK161" s="988"/>
      <c r="AL161" s="988"/>
      <c r="AM161" s="988"/>
      <c r="AN161" s="988"/>
      <c r="AO161" s="988"/>
      <c r="AP161" s="988"/>
      <c r="AQ161" s="988"/>
      <c r="AR161" s="988"/>
      <c r="AS161" s="988"/>
      <c r="AT161" s="988"/>
      <c r="AU161" s="988"/>
      <c r="AV161" s="988"/>
      <c r="AW161" s="988"/>
      <c r="AX161" s="988"/>
      <c r="AY161" s="988"/>
      <c r="AZ161" s="988"/>
      <c r="BA161" s="988"/>
      <c r="BB161" s="988"/>
      <c r="BC161" s="988"/>
      <c r="BD161" s="988"/>
      <c r="BE161" s="988"/>
      <c r="BF161" s="988"/>
      <c r="BG161" s="988"/>
      <c r="BH161" s="988"/>
      <c r="BI161" s="988"/>
      <c r="BJ161" s="988"/>
      <c r="BK161" s="988"/>
      <c r="BL161" s="988"/>
      <c r="BM161" s="988"/>
      <c r="BN161" s="988"/>
      <c r="BO161" s="1008"/>
      <c r="BP161" s="1008"/>
      <c r="BQ161" s="1008"/>
      <c r="BR161" s="1008"/>
      <c r="BS161" s="1008"/>
      <c r="BT161" s="1008"/>
      <c r="BU161" s="1008"/>
      <c r="BV161" s="1008"/>
      <c r="BW161" s="1008"/>
      <c r="BX161" s="1008"/>
      <c r="BY161" s="1008"/>
      <c r="BZ161" s="1008"/>
      <c r="CA161" s="640">
        <f t="shared" si="95"/>
        <v>0</v>
      </c>
      <c r="CB161" s="640">
        <f t="shared" si="95"/>
        <v>0</v>
      </c>
      <c r="CC161" s="640">
        <f t="shared" si="95"/>
        <v>0</v>
      </c>
      <c r="CD161" s="640">
        <f t="shared" si="94"/>
        <v>0</v>
      </c>
      <c r="CE161" s="641">
        <f t="shared" si="79"/>
        <v>0</v>
      </c>
      <c r="CF161" s="642">
        <f t="shared" si="80"/>
        <v>-31933836.283053216</v>
      </c>
      <c r="CG161" s="642">
        <f t="shared" si="80"/>
        <v>-28420044.607146796</v>
      </c>
      <c r="CH161" s="643">
        <f t="shared" si="80"/>
        <v>0</v>
      </c>
      <c r="CK161" s="1018" t="s">
        <v>485</v>
      </c>
      <c r="CL161" s="638">
        <v>31933836.283053216</v>
      </c>
      <c r="CM161" s="638">
        <v>28420044.607146796</v>
      </c>
    </row>
    <row r="162" spans="1:92" s="982" customFormat="1" ht="33" x14ac:dyDescent="0.25">
      <c r="A162" s="644" t="s">
        <v>487</v>
      </c>
      <c r="B162" s="645">
        <v>400000000</v>
      </c>
      <c r="C162" s="645">
        <v>400000000</v>
      </c>
      <c r="D162" s="645">
        <v>323886100</v>
      </c>
      <c r="E162" s="645">
        <v>115022599</v>
      </c>
      <c r="F162" s="645">
        <v>96287599</v>
      </c>
      <c r="G162" s="645">
        <v>0</v>
      </c>
      <c r="H162" s="645">
        <f t="shared" ref="H162:BR162" si="96">SUM(H163:H172)</f>
        <v>0</v>
      </c>
      <c r="I162" s="645">
        <f t="shared" si="96"/>
        <v>0</v>
      </c>
      <c r="J162" s="645">
        <f t="shared" si="96"/>
        <v>0</v>
      </c>
      <c r="K162" s="645">
        <f t="shared" si="96"/>
        <v>0</v>
      </c>
      <c r="L162" s="645">
        <f t="shared" si="96"/>
        <v>0</v>
      </c>
      <c r="M162" s="645">
        <f t="shared" si="96"/>
        <v>0</v>
      </c>
      <c r="N162" s="645">
        <f t="shared" si="96"/>
        <v>0</v>
      </c>
      <c r="O162" s="645">
        <f t="shared" si="96"/>
        <v>0</v>
      </c>
      <c r="P162" s="645">
        <f t="shared" si="96"/>
        <v>0</v>
      </c>
      <c r="Q162" s="645">
        <f t="shared" si="96"/>
        <v>0</v>
      </c>
      <c r="R162" s="645">
        <f t="shared" si="96"/>
        <v>0</v>
      </c>
      <c r="S162" s="645">
        <f t="shared" si="96"/>
        <v>0</v>
      </c>
      <c r="T162" s="645">
        <f t="shared" si="96"/>
        <v>0</v>
      </c>
      <c r="U162" s="645">
        <f t="shared" si="96"/>
        <v>0</v>
      </c>
      <c r="V162" s="645">
        <f t="shared" si="96"/>
        <v>0</v>
      </c>
      <c r="W162" s="645">
        <f t="shared" si="96"/>
        <v>0</v>
      </c>
      <c r="X162" s="645">
        <f t="shared" si="96"/>
        <v>0</v>
      </c>
      <c r="Y162" s="645">
        <f t="shared" si="96"/>
        <v>0</v>
      </c>
      <c r="Z162" s="645">
        <f t="shared" si="96"/>
        <v>0</v>
      </c>
      <c r="AA162" s="645">
        <f t="shared" si="96"/>
        <v>0</v>
      </c>
      <c r="AB162" s="645">
        <f t="shared" si="96"/>
        <v>0</v>
      </c>
      <c r="AC162" s="645">
        <f t="shared" si="96"/>
        <v>0</v>
      </c>
      <c r="AD162" s="645">
        <f t="shared" si="96"/>
        <v>0</v>
      </c>
      <c r="AE162" s="645">
        <f t="shared" si="96"/>
        <v>0</v>
      </c>
      <c r="AF162" s="645">
        <f t="shared" si="96"/>
        <v>0</v>
      </c>
      <c r="AG162" s="645">
        <f t="shared" si="96"/>
        <v>0</v>
      </c>
      <c r="AH162" s="645">
        <f t="shared" si="96"/>
        <v>0</v>
      </c>
      <c r="AI162" s="645">
        <f t="shared" si="96"/>
        <v>0</v>
      </c>
      <c r="AJ162" s="645">
        <f t="shared" si="96"/>
        <v>0</v>
      </c>
      <c r="AK162" s="645">
        <f t="shared" si="96"/>
        <v>0</v>
      </c>
      <c r="AL162" s="645">
        <f t="shared" si="96"/>
        <v>0</v>
      </c>
      <c r="AM162" s="645">
        <f t="shared" si="96"/>
        <v>0</v>
      </c>
      <c r="AN162" s="645">
        <f t="shared" si="96"/>
        <v>0</v>
      </c>
      <c r="AO162" s="645">
        <f t="shared" si="96"/>
        <v>0</v>
      </c>
      <c r="AP162" s="645">
        <f t="shared" si="96"/>
        <v>0</v>
      </c>
      <c r="AQ162" s="645">
        <v>0</v>
      </c>
      <c r="AR162" s="645">
        <v>0</v>
      </c>
      <c r="AS162" s="645">
        <v>0</v>
      </c>
      <c r="AT162" s="645">
        <v>0</v>
      </c>
      <c r="AU162" s="645">
        <f t="shared" si="96"/>
        <v>0</v>
      </c>
      <c r="AV162" s="645">
        <f t="shared" si="96"/>
        <v>0</v>
      </c>
      <c r="AW162" s="645">
        <f t="shared" si="96"/>
        <v>0</v>
      </c>
      <c r="AX162" s="645">
        <f t="shared" si="96"/>
        <v>0</v>
      </c>
      <c r="AY162" s="645">
        <f t="shared" si="96"/>
        <v>0</v>
      </c>
      <c r="AZ162" s="645">
        <f t="shared" si="96"/>
        <v>0</v>
      </c>
      <c r="BA162" s="645">
        <f t="shared" si="96"/>
        <v>0</v>
      </c>
      <c r="BB162" s="645">
        <f t="shared" si="96"/>
        <v>0</v>
      </c>
      <c r="BC162" s="645">
        <f t="shared" si="96"/>
        <v>0</v>
      </c>
      <c r="BD162" s="645">
        <f t="shared" si="96"/>
        <v>0</v>
      </c>
      <c r="BE162" s="645">
        <f t="shared" si="96"/>
        <v>0</v>
      </c>
      <c r="BF162" s="645">
        <f t="shared" si="96"/>
        <v>0</v>
      </c>
      <c r="BG162" s="645">
        <f t="shared" si="96"/>
        <v>0</v>
      </c>
      <c r="BH162" s="645">
        <f t="shared" si="96"/>
        <v>0</v>
      </c>
      <c r="BI162" s="645">
        <f t="shared" si="96"/>
        <v>0</v>
      </c>
      <c r="BJ162" s="645">
        <f t="shared" si="96"/>
        <v>0</v>
      </c>
      <c r="BK162" s="645">
        <f t="shared" si="96"/>
        <v>0</v>
      </c>
      <c r="BL162" s="645">
        <f t="shared" si="96"/>
        <v>0</v>
      </c>
      <c r="BM162" s="645">
        <f t="shared" si="96"/>
        <v>0</v>
      </c>
      <c r="BN162" s="645">
        <f t="shared" si="96"/>
        <v>0</v>
      </c>
      <c r="BO162" s="645">
        <f t="shared" si="96"/>
        <v>0</v>
      </c>
      <c r="BP162" s="645">
        <f t="shared" si="96"/>
        <v>0</v>
      </c>
      <c r="BQ162" s="645">
        <f t="shared" si="96"/>
        <v>0</v>
      </c>
      <c r="BR162" s="645">
        <f t="shared" si="96"/>
        <v>0</v>
      </c>
      <c r="BS162" s="645">
        <v>0</v>
      </c>
      <c r="BT162" s="645">
        <v>0</v>
      </c>
      <c r="BU162" s="645">
        <v>0</v>
      </c>
      <c r="BV162" s="645">
        <v>0</v>
      </c>
      <c r="BW162" s="645">
        <f t="shared" ref="BW162:CD162" si="97">SUM(BW163:BW172)</f>
        <v>0</v>
      </c>
      <c r="BX162" s="645">
        <f t="shared" si="97"/>
        <v>0</v>
      </c>
      <c r="BY162" s="645">
        <f t="shared" si="97"/>
        <v>0</v>
      </c>
      <c r="BZ162" s="645">
        <f t="shared" si="97"/>
        <v>0</v>
      </c>
      <c r="CA162" s="645">
        <f t="shared" si="97"/>
        <v>400000000</v>
      </c>
      <c r="CB162" s="645">
        <f t="shared" si="97"/>
        <v>323886100</v>
      </c>
      <c r="CC162" s="645">
        <f t="shared" si="97"/>
        <v>115022599</v>
      </c>
      <c r="CD162" s="645">
        <f t="shared" si="97"/>
        <v>96287599</v>
      </c>
      <c r="CE162" s="664">
        <f t="shared" si="79"/>
        <v>0</v>
      </c>
      <c r="CF162" s="665">
        <f t="shared" si="80"/>
        <v>323886100</v>
      </c>
      <c r="CG162" s="665">
        <f t="shared" si="80"/>
        <v>115022599</v>
      </c>
      <c r="CH162" s="1054">
        <f t="shared" si="80"/>
        <v>96287599</v>
      </c>
      <c r="CJ162" s="983"/>
      <c r="CK162" s="1055"/>
      <c r="CL162" s="1004">
        <f>+'[5]Anexo 5.2.A'!Z164</f>
        <v>0</v>
      </c>
      <c r="CM162" s="1004">
        <f>+'[5]Anexo 5.2.A'!AA164</f>
        <v>0</v>
      </c>
      <c r="CN162" s="1004">
        <f>+'[5]Anexo 5.2.A'!AB164</f>
        <v>0</v>
      </c>
    </row>
    <row r="163" spans="1:92" ht="31.5" customHeight="1" x14ac:dyDescent="0.25">
      <c r="A163" s="1066" t="s">
        <v>488</v>
      </c>
      <c r="B163" s="1005"/>
      <c r="C163" s="1008">
        <f>C$162*(B163/B$162)</f>
        <v>0</v>
      </c>
      <c r="D163" s="1008">
        <f t="shared" ref="D163:F164" si="98">D$162*(C163/C$162)</f>
        <v>0</v>
      </c>
      <c r="E163" s="1008">
        <f t="shared" si="98"/>
        <v>0</v>
      </c>
      <c r="F163" s="1008">
        <f t="shared" si="98"/>
        <v>0</v>
      </c>
      <c r="G163" s="989"/>
      <c r="H163" s="989"/>
      <c r="I163" s="989"/>
      <c r="J163" s="989"/>
      <c r="K163" s="989"/>
      <c r="L163" s="989"/>
      <c r="M163" s="989"/>
      <c r="N163" s="989"/>
      <c r="O163" s="989"/>
      <c r="P163" s="989"/>
      <c r="Q163" s="989"/>
      <c r="R163" s="989"/>
      <c r="S163" s="989"/>
      <c r="T163" s="989"/>
      <c r="U163" s="989"/>
      <c r="V163" s="989"/>
      <c r="W163" s="989"/>
      <c r="X163" s="989"/>
      <c r="Y163" s="989"/>
      <c r="Z163" s="989"/>
      <c r="AA163" s="989"/>
      <c r="AB163" s="989"/>
      <c r="AC163" s="989"/>
      <c r="AD163" s="989"/>
      <c r="AE163" s="1014"/>
      <c r="AF163" s="1014"/>
      <c r="AG163" s="1014"/>
      <c r="AH163" s="1014"/>
      <c r="AI163" s="1014"/>
      <c r="AJ163" s="1014"/>
      <c r="AK163" s="1014"/>
      <c r="AL163" s="1014"/>
      <c r="AM163" s="1014"/>
      <c r="AN163" s="1014"/>
      <c r="AO163" s="1014"/>
      <c r="AP163" s="1014"/>
      <c r="AQ163" s="1014"/>
      <c r="AR163" s="1014"/>
      <c r="AS163" s="1014"/>
      <c r="AT163" s="1014"/>
      <c r="AU163" s="988"/>
      <c r="AV163" s="988"/>
      <c r="AW163" s="988"/>
      <c r="AX163" s="988"/>
      <c r="AY163" s="988"/>
      <c r="AZ163" s="988"/>
      <c r="BA163" s="988"/>
      <c r="BB163" s="988"/>
      <c r="BC163" s="988"/>
      <c r="BD163" s="988"/>
      <c r="BE163" s="988"/>
      <c r="BF163" s="988"/>
      <c r="BG163" s="988"/>
      <c r="BH163" s="988"/>
      <c r="BI163" s="988"/>
      <c r="BJ163" s="988"/>
      <c r="BK163" s="1008"/>
      <c r="BL163" s="1008"/>
      <c r="BM163" s="1008"/>
      <c r="BN163" s="1008"/>
      <c r="BO163" s="1008"/>
      <c r="BP163" s="1008"/>
      <c r="BQ163" s="1008"/>
      <c r="BR163" s="1008"/>
      <c r="BS163" s="1008"/>
      <c r="BT163" s="1008"/>
      <c r="BU163" s="1008"/>
      <c r="BV163" s="1008"/>
      <c r="BW163" s="1008"/>
      <c r="BX163" s="1008"/>
      <c r="BY163" s="1008"/>
      <c r="BZ163" s="1008"/>
      <c r="CA163" s="640">
        <f>+C163+G163+K163+O163+S163+W163+AA163+AE163+AI163+AM163+AQ163+AU163+AY163+BC163+BG163+BK163+BO163+BS163+BW163</f>
        <v>0</v>
      </c>
      <c r="CB163" s="640">
        <f t="shared" si="95"/>
        <v>0</v>
      </c>
      <c r="CC163" s="640">
        <f t="shared" si="95"/>
        <v>0</v>
      </c>
      <c r="CD163" s="640">
        <f t="shared" si="94"/>
        <v>0</v>
      </c>
      <c r="CE163" s="641">
        <f t="shared" si="79"/>
        <v>0</v>
      </c>
      <c r="CF163" s="642">
        <f t="shared" si="80"/>
        <v>0</v>
      </c>
      <c r="CG163" s="642">
        <f t="shared" si="80"/>
        <v>0</v>
      </c>
      <c r="CH163" s="643">
        <f t="shared" si="80"/>
        <v>0</v>
      </c>
      <c r="CK163" s="39" t="s">
        <v>488</v>
      </c>
    </row>
    <row r="164" spans="1:92" ht="33" x14ac:dyDescent="0.25">
      <c r="A164" s="1066" t="s">
        <v>490</v>
      </c>
      <c r="B164" s="1005">
        <v>200000000</v>
      </c>
      <c r="C164" s="1008">
        <f>C$162*(B164/B$162)</f>
        <v>200000000</v>
      </c>
      <c r="D164" s="1008">
        <f t="shared" si="98"/>
        <v>161943050</v>
      </c>
      <c r="E164" s="1008">
        <f t="shared" si="98"/>
        <v>57511299.5</v>
      </c>
      <c r="F164" s="1008">
        <f t="shared" si="98"/>
        <v>48143799.5</v>
      </c>
      <c r="G164" s="989"/>
      <c r="H164" s="989"/>
      <c r="I164" s="989"/>
      <c r="J164" s="989"/>
      <c r="K164" s="989"/>
      <c r="L164" s="989"/>
      <c r="M164" s="989"/>
      <c r="N164" s="989"/>
      <c r="O164" s="989"/>
      <c r="P164" s="989"/>
      <c r="Q164" s="989"/>
      <c r="R164" s="989"/>
      <c r="S164" s="989"/>
      <c r="T164" s="989"/>
      <c r="U164" s="989"/>
      <c r="V164" s="989"/>
      <c r="W164" s="989"/>
      <c r="X164" s="989"/>
      <c r="Y164" s="989"/>
      <c r="Z164" s="989"/>
      <c r="AA164" s="989"/>
      <c r="AB164" s="989"/>
      <c r="AC164" s="989"/>
      <c r="AD164" s="989"/>
      <c r="AE164" s="988"/>
      <c r="AF164" s="988"/>
      <c r="AG164" s="988"/>
      <c r="AH164" s="988"/>
      <c r="AI164" s="988"/>
      <c r="AJ164" s="988"/>
      <c r="AK164" s="988"/>
      <c r="AL164" s="988"/>
      <c r="AM164" s="988"/>
      <c r="AN164" s="988"/>
      <c r="AO164" s="988"/>
      <c r="AP164" s="988"/>
      <c r="AQ164" s="649"/>
      <c r="AR164" s="649"/>
      <c r="AS164" s="649"/>
      <c r="AT164" s="649"/>
      <c r="AU164" s="988"/>
      <c r="AV164" s="988"/>
      <c r="AW164" s="988"/>
      <c r="AX164" s="988"/>
      <c r="AY164" s="988"/>
      <c r="AZ164" s="988"/>
      <c r="BA164" s="988"/>
      <c r="BB164" s="988"/>
      <c r="BC164" s="988"/>
      <c r="BD164" s="988"/>
      <c r="BE164" s="988"/>
      <c r="BF164" s="988"/>
      <c r="BG164" s="988"/>
      <c r="BH164" s="988"/>
      <c r="BI164" s="988"/>
      <c r="BJ164" s="988"/>
      <c r="BK164" s="1008"/>
      <c r="BL164" s="1008"/>
      <c r="BM164" s="1008"/>
      <c r="BN164" s="1008"/>
      <c r="BO164" s="1008"/>
      <c r="BP164" s="1008"/>
      <c r="BQ164" s="1008"/>
      <c r="BR164" s="1008"/>
      <c r="BS164" s="1008"/>
      <c r="BT164" s="1008"/>
      <c r="BU164" s="1008"/>
      <c r="BV164" s="1008"/>
      <c r="BW164" s="1008"/>
      <c r="BX164" s="1008"/>
      <c r="BY164" s="1008"/>
      <c r="BZ164" s="1008"/>
      <c r="CA164" s="640">
        <f>+C164+G164+K164+O164+S164+W164+AA164+AE164+AI164+AM164+AQ164+AU164+AY164+BC164+BG164+BK164+BO164+BS164+BW164</f>
        <v>200000000</v>
      </c>
      <c r="CB164" s="640">
        <f t="shared" si="95"/>
        <v>161943050</v>
      </c>
      <c r="CC164" s="640">
        <f t="shared" si="95"/>
        <v>57511299.5</v>
      </c>
      <c r="CD164" s="640">
        <f t="shared" si="94"/>
        <v>48143799.5</v>
      </c>
      <c r="CE164" s="641">
        <f t="shared" si="79"/>
        <v>0</v>
      </c>
      <c r="CF164" s="642">
        <f t="shared" si="80"/>
        <v>-238056950</v>
      </c>
      <c r="CG164" s="642">
        <f t="shared" si="80"/>
        <v>-342488700.5</v>
      </c>
      <c r="CH164" s="643">
        <f t="shared" si="80"/>
        <v>48143799.5</v>
      </c>
      <c r="CK164" s="39" t="s">
        <v>490</v>
      </c>
      <c r="CL164" s="638">
        <v>400000000</v>
      </c>
      <c r="CM164" s="638">
        <v>400000000</v>
      </c>
    </row>
    <row r="165" spans="1:92" ht="33" x14ac:dyDescent="0.25">
      <c r="A165" s="1066" t="s">
        <v>492</v>
      </c>
      <c r="B165" s="1005">
        <v>100000000</v>
      </c>
      <c r="C165" s="1008">
        <f t="shared" ref="C165:F172" si="99">C$162*(B165/B$162)</f>
        <v>100000000</v>
      </c>
      <c r="D165" s="1008">
        <f t="shared" si="99"/>
        <v>80971525</v>
      </c>
      <c r="E165" s="1008">
        <f t="shared" si="99"/>
        <v>28755649.75</v>
      </c>
      <c r="F165" s="1008">
        <f t="shared" si="99"/>
        <v>24071899.75</v>
      </c>
      <c r="G165" s="989"/>
      <c r="H165" s="989"/>
      <c r="I165" s="989"/>
      <c r="J165" s="989"/>
      <c r="K165" s="989"/>
      <c r="L165" s="989"/>
      <c r="M165" s="989"/>
      <c r="N165" s="989"/>
      <c r="O165" s="989"/>
      <c r="P165" s="989"/>
      <c r="Q165" s="989"/>
      <c r="R165" s="989"/>
      <c r="S165" s="989"/>
      <c r="T165" s="989"/>
      <c r="U165" s="989"/>
      <c r="V165" s="989"/>
      <c r="W165" s="988"/>
      <c r="X165" s="988"/>
      <c r="Y165" s="988"/>
      <c r="Z165" s="988"/>
      <c r="AA165" s="988"/>
      <c r="AB165" s="988"/>
      <c r="AC165" s="988"/>
      <c r="AD165" s="988"/>
      <c r="AE165" s="988"/>
      <c r="AF165" s="988"/>
      <c r="AG165" s="988"/>
      <c r="AH165" s="988"/>
      <c r="AI165" s="988"/>
      <c r="AJ165" s="988"/>
      <c r="AK165" s="988"/>
      <c r="AL165" s="988"/>
      <c r="AM165" s="988"/>
      <c r="AN165" s="988"/>
      <c r="AO165" s="988"/>
      <c r="AP165" s="988"/>
      <c r="AQ165" s="988"/>
      <c r="AR165" s="988"/>
      <c r="AS165" s="988"/>
      <c r="AT165" s="988"/>
      <c r="AU165" s="988"/>
      <c r="AV165" s="988"/>
      <c r="AW165" s="988"/>
      <c r="AX165" s="988"/>
      <c r="AY165" s="988"/>
      <c r="AZ165" s="988"/>
      <c r="BA165" s="988"/>
      <c r="BB165" s="988"/>
      <c r="BC165" s="988"/>
      <c r="BD165" s="988"/>
      <c r="BE165" s="988"/>
      <c r="BF165" s="988"/>
      <c r="BG165" s="988"/>
      <c r="BH165" s="988"/>
      <c r="BI165" s="988"/>
      <c r="BJ165" s="988"/>
      <c r="BK165" s="1008"/>
      <c r="BL165" s="1008"/>
      <c r="BM165" s="1008"/>
      <c r="BN165" s="1008"/>
      <c r="BO165" s="1008"/>
      <c r="BP165" s="1008"/>
      <c r="BQ165" s="1008"/>
      <c r="BR165" s="1008"/>
      <c r="BS165" s="1008"/>
      <c r="BT165" s="1008"/>
      <c r="BU165" s="1008"/>
      <c r="BV165" s="1008"/>
      <c r="BW165" s="1008"/>
      <c r="BX165" s="1008"/>
      <c r="BY165" s="1008"/>
      <c r="BZ165" s="1008"/>
      <c r="CA165" s="640">
        <f t="shared" si="95"/>
        <v>100000000</v>
      </c>
      <c r="CB165" s="640">
        <f t="shared" si="95"/>
        <v>80971525</v>
      </c>
      <c r="CC165" s="640">
        <f t="shared" si="95"/>
        <v>28755649.75</v>
      </c>
      <c r="CD165" s="640">
        <f t="shared" si="94"/>
        <v>24071899.75</v>
      </c>
      <c r="CE165" s="641">
        <f t="shared" si="79"/>
        <v>0</v>
      </c>
      <c r="CF165" s="642">
        <f t="shared" si="80"/>
        <v>-91219379.369835466</v>
      </c>
      <c r="CG165" s="642">
        <f t="shared" si="80"/>
        <v>-133179150.26780009</v>
      </c>
      <c r="CH165" s="643">
        <f t="shared" si="80"/>
        <v>24071899.75</v>
      </c>
      <c r="CK165" s="89" t="s">
        <v>492</v>
      </c>
      <c r="CL165" s="638">
        <v>172190904.36983547</v>
      </c>
      <c r="CM165" s="638">
        <v>161934800.01780009</v>
      </c>
    </row>
    <row r="166" spans="1:92" ht="33" x14ac:dyDescent="0.25">
      <c r="A166" s="1066" t="s">
        <v>495</v>
      </c>
      <c r="B166" s="1005"/>
      <c r="C166" s="1008">
        <f t="shared" si="99"/>
        <v>0</v>
      </c>
      <c r="D166" s="1008">
        <f t="shared" si="99"/>
        <v>0</v>
      </c>
      <c r="E166" s="1008">
        <f t="shared" si="99"/>
        <v>0</v>
      </c>
      <c r="F166" s="1008">
        <f t="shared" si="99"/>
        <v>0</v>
      </c>
      <c r="G166" s="989"/>
      <c r="H166" s="989"/>
      <c r="I166" s="989"/>
      <c r="J166" s="989"/>
      <c r="K166" s="989"/>
      <c r="L166" s="989"/>
      <c r="M166" s="989"/>
      <c r="N166" s="989"/>
      <c r="O166" s="989"/>
      <c r="P166" s="989"/>
      <c r="Q166" s="989"/>
      <c r="R166" s="989"/>
      <c r="S166" s="989"/>
      <c r="T166" s="989"/>
      <c r="U166" s="989"/>
      <c r="V166" s="989"/>
      <c r="W166" s="988"/>
      <c r="X166" s="988"/>
      <c r="Y166" s="988"/>
      <c r="Z166" s="988"/>
      <c r="AA166" s="988"/>
      <c r="AB166" s="988"/>
      <c r="AC166" s="988"/>
      <c r="AD166" s="988"/>
      <c r="AE166" s="988"/>
      <c r="AF166" s="988"/>
      <c r="AG166" s="988"/>
      <c r="AH166" s="988"/>
      <c r="AI166" s="988"/>
      <c r="AJ166" s="988"/>
      <c r="AK166" s="988"/>
      <c r="AL166" s="1067"/>
      <c r="AM166" s="988"/>
      <c r="AN166" s="988"/>
      <c r="AO166" s="988"/>
      <c r="AP166" s="988"/>
      <c r="AQ166" s="988"/>
      <c r="AR166" s="988"/>
      <c r="AS166" s="988"/>
      <c r="AT166" s="988"/>
      <c r="AU166" s="988"/>
      <c r="AV166" s="988"/>
      <c r="AW166" s="988"/>
      <c r="AX166" s="988"/>
      <c r="AY166" s="988"/>
      <c r="AZ166" s="988"/>
      <c r="BA166" s="988"/>
      <c r="BB166" s="988"/>
      <c r="BC166" s="988"/>
      <c r="BD166" s="988"/>
      <c r="BE166" s="988"/>
      <c r="BF166" s="988"/>
      <c r="BG166" s="988"/>
      <c r="BH166" s="988"/>
      <c r="BI166" s="988"/>
      <c r="BJ166" s="988"/>
      <c r="BK166" s="1068"/>
      <c r="BL166" s="1068"/>
      <c r="BM166" s="1068"/>
      <c r="BN166" s="1068"/>
      <c r="BO166" s="1008"/>
      <c r="BP166" s="1008"/>
      <c r="BQ166" s="1008"/>
      <c r="BR166" s="1008"/>
      <c r="BS166" s="1008"/>
      <c r="BT166" s="1008"/>
      <c r="BU166" s="1008"/>
      <c r="BV166" s="1008"/>
      <c r="BW166" s="1008"/>
      <c r="BX166" s="1008"/>
      <c r="BY166" s="1008"/>
      <c r="BZ166" s="1008"/>
      <c r="CA166" s="640">
        <f t="shared" si="95"/>
        <v>0</v>
      </c>
      <c r="CB166" s="640">
        <f t="shared" si="95"/>
        <v>0</v>
      </c>
      <c r="CC166" s="640">
        <f t="shared" si="95"/>
        <v>0</v>
      </c>
      <c r="CD166" s="640">
        <f t="shared" si="94"/>
        <v>0</v>
      </c>
      <c r="CE166" s="641">
        <f t="shared" si="79"/>
        <v>0</v>
      </c>
      <c r="CF166" s="642">
        <f t="shared" si="80"/>
        <v>-75165692.380164534</v>
      </c>
      <c r="CG166" s="642">
        <f t="shared" si="80"/>
        <v>-70688642.982199907</v>
      </c>
      <c r="CH166" s="643">
        <f t="shared" si="80"/>
        <v>0</v>
      </c>
      <c r="CK166" s="39" t="s">
        <v>495</v>
      </c>
      <c r="CL166" s="638">
        <v>75165692.380164534</v>
      </c>
      <c r="CM166" s="638">
        <v>70688642.982199907</v>
      </c>
    </row>
    <row r="167" spans="1:92" ht="33" x14ac:dyDescent="0.25">
      <c r="A167" s="1066" t="s">
        <v>497</v>
      </c>
      <c r="B167" s="1005"/>
      <c r="C167" s="1008">
        <f t="shared" si="99"/>
        <v>0</v>
      </c>
      <c r="D167" s="1008">
        <f t="shared" si="99"/>
        <v>0</v>
      </c>
      <c r="E167" s="1008">
        <f t="shared" si="99"/>
        <v>0</v>
      </c>
      <c r="F167" s="1008">
        <f t="shared" si="99"/>
        <v>0</v>
      </c>
      <c r="G167" s="989"/>
      <c r="H167" s="989"/>
      <c r="I167" s="989"/>
      <c r="J167" s="989"/>
      <c r="K167" s="989"/>
      <c r="L167" s="989"/>
      <c r="M167" s="989"/>
      <c r="N167" s="989"/>
      <c r="O167" s="989"/>
      <c r="P167" s="989"/>
      <c r="Q167" s="989"/>
      <c r="R167" s="989"/>
      <c r="S167" s="1014"/>
      <c r="T167" s="1014"/>
      <c r="U167" s="1014"/>
      <c r="V167" s="1014"/>
      <c r="W167" s="988"/>
      <c r="X167" s="988"/>
      <c r="Y167" s="988"/>
      <c r="Z167" s="988"/>
      <c r="AA167" s="988"/>
      <c r="AB167" s="988"/>
      <c r="AC167" s="988"/>
      <c r="AD167" s="988"/>
      <c r="AE167" s="988"/>
      <c r="AF167" s="988"/>
      <c r="AG167" s="988"/>
      <c r="AH167" s="988"/>
      <c r="AI167" s="988"/>
      <c r="AJ167" s="988"/>
      <c r="AK167" s="988"/>
      <c r="AL167" s="988"/>
      <c r="AM167" s="988"/>
      <c r="AN167" s="988"/>
      <c r="AO167" s="988"/>
      <c r="AP167" s="988"/>
      <c r="AQ167" s="988"/>
      <c r="AR167" s="988"/>
      <c r="AS167" s="988"/>
      <c r="AT167" s="988"/>
      <c r="AU167" s="988"/>
      <c r="AV167" s="988"/>
      <c r="AW167" s="988"/>
      <c r="AX167" s="988"/>
      <c r="AY167" s="988"/>
      <c r="AZ167" s="988"/>
      <c r="BA167" s="988"/>
      <c r="BB167" s="988"/>
      <c r="BC167" s="988"/>
      <c r="BD167" s="988"/>
      <c r="BE167" s="988"/>
      <c r="BF167" s="988"/>
      <c r="BG167" s="988"/>
      <c r="BH167" s="988"/>
      <c r="BI167" s="988"/>
      <c r="BJ167" s="988"/>
      <c r="BK167" s="1008"/>
      <c r="BL167" s="1008"/>
      <c r="BM167" s="1008"/>
      <c r="BN167" s="1008"/>
      <c r="BO167" s="988"/>
      <c r="BP167" s="988"/>
      <c r="BQ167" s="988"/>
      <c r="BR167" s="988"/>
      <c r="BS167" s="988"/>
      <c r="BT167" s="988"/>
      <c r="BU167" s="988"/>
      <c r="BV167" s="988"/>
      <c r="BW167" s="988"/>
      <c r="BX167" s="988"/>
      <c r="BY167" s="988"/>
      <c r="BZ167" s="988"/>
      <c r="CA167" s="640">
        <f t="shared" si="95"/>
        <v>0</v>
      </c>
      <c r="CB167" s="640">
        <f t="shared" si="95"/>
        <v>0</v>
      </c>
      <c r="CC167" s="640">
        <f t="shared" si="95"/>
        <v>0</v>
      </c>
      <c r="CD167" s="640">
        <f t="shared" si="94"/>
        <v>0</v>
      </c>
      <c r="CE167" s="641">
        <f t="shared" si="79"/>
        <v>0</v>
      </c>
      <c r="CF167" s="642">
        <f t="shared" si="80"/>
        <v>-30919574.59375</v>
      </c>
      <c r="CG167" s="642">
        <f t="shared" si="80"/>
        <v>-29077930.375</v>
      </c>
      <c r="CH167" s="643">
        <f t="shared" si="80"/>
        <v>0</v>
      </c>
      <c r="CK167" s="39" t="s">
        <v>497</v>
      </c>
      <c r="CL167" s="638">
        <v>30919574.59375</v>
      </c>
      <c r="CM167" s="638">
        <v>29077930.375</v>
      </c>
    </row>
    <row r="168" spans="1:92" s="996" customFormat="1" ht="23.25" customHeight="1" x14ac:dyDescent="0.3">
      <c r="A168" s="1066" t="s">
        <v>499</v>
      </c>
      <c r="B168" s="1005">
        <v>50000000</v>
      </c>
      <c r="C168" s="1008">
        <f t="shared" si="99"/>
        <v>50000000</v>
      </c>
      <c r="D168" s="1008">
        <f t="shared" si="99"/>
        <v>40485762.5</v>
      </c>
      <c r="E168" s="1008">
        <f t="shared" si="99"/>
        <v>14377824.875</v>
      </c>
      <c r="F168" s="1008">
        <f t="shared" si="99"/>
        <v>12035949.875</v>
      </c>
      <c r="G168" s="1069"/>
      <c r="H168" s="1069"/>
      <c r="I168" s="1069"/>
      <c r="J168" s="1069"/>
      <c r="K168" s="1069"/>
      <c r="L168" s="1069"/>
      <c r="M168" s="1069"/>
      <c r="N168" s="1069"/>
      <c r="O168" s="1069"/>
      <c r="P168" s="1069"/>
      <c r="Q168" s="1069"/>
      <c r="R168" s="1069"/>
      <c r="S168" s="1069"/>
      <c r="T168" s="1069"/>
      <c r="U168" s="1069"/>
      <c r="V168" s="1069"/>
      <c r="W168" s="1069"/>
      <c r="X168" s="1069"/>
      <c r="Y168" s="1069"/>
      <c r="Z168" s="1069"/>
      <c r="AA168" s="1069"/>
      <c r="AB168" s="1069"/>
      <c r="AC168" s="1069"/>
      <c r="AD168" s="1069"/>
      <c r="AE168" s="1069"/>
      <c r="AF168" s="1069"/>
      <c r="AG168" s="1069"/>
      <c r="AH168" s="1069"/>
      <c r="AI168" s="1069"/>
      <c r="AJ168" s="1069"/>
      <c r="AK168" s="1069"/>
      <c r="AL168" s="994"/>
      <c r="AM168" s="1069"/>
      <c r="AN168" s="1069"/>
      <c r="AO168" s="1069"/>
      <c r="AP168" s="1069"/>
      <c r="AQ168" s="1069"/>
      <c r="AR168" s="1069"/>
      <c r="AS168" s="1069"/>
      <c r="AT168" s="1069"/>
      <c r="AU168" s="1069"/>
      <c r="AV168" s="1069"/>
      <c r="AW168" s="1069"/>
      <c r="AX168" s="1069"/>
      <c r="AY168" s="1069"/>
      <c r="AZ168" s="1069"/>
      <c r="BA168" s="1069"/>
      <c r="BB168" s="1069"/>
      <c r="BC168" s="1069"/>
      <c r="BD168" s="1069"/>
      <c r="BE168" s="1069"/>
      <c r="BF168" s="1069"/>
      <c r="BG168" s="1069"/>
      <c r="BH168" s="1069"/>
      <c r="BI168" s="1069"/>
      <c r="BJ168" s="1069"/>
      <c r="BK168" s="1008"/>
      <c r="BL168" s="1008"/>
      <c r="BM168" s="1008"/>
      <c r="BN168" s="1008"/>
      <c r="BO168" s="1069"/>
      <c r="BP168" s="1069"/>
      <c r="BQ168" s="1069"/>
      <c r="BR168" s="1069"/>
      <c r="BS168" s="1069"/>
      <c r="BT168" s="1069"/>
      <c r="BU168" s="1069"/>
      <c r="BV168" s="1069"/>
      <c r="BW168" s="1069"/>
      <c r="BX168" s="1069"/>
      <c r="BY168" s="1069"/>
      <c r="BZ168" s="1069"/>
      <c r="CA168" s="640">
        <f t="shared" si="95"/>
        <v>50000000</v>
      </c>
      <c r="CB168" s="640">
        <f t="shared" si="95"/>
        <v>40485762.5</v>
      </c>
      <c r="CC168" s="640">
        <f t="shared" si="95"/>
        <v>14377824.875</v>
      </c>
      <c r="CD168" s="640">
        <f t="shared" si="94"/>
        <v>12035949.875</v>
      </c>
      <c r="CE168" s="641">
        <f t="shared" si="79"/>
        <v>0</v>
      </c>
      <c r="CF168" s="642">
        <f t="shared" si="80"/>
        <v>-21353386.6875</v>
      </c>
      <c r="CG168" s="642">
        <f t="shared" si="80"/>
        <v>-43778035.875</v>
      </c>
      <c r="CH168" s="997">
        <f t="shared" si="80"/>
        <v>12035949.875</v>
      </c>
      <c r="CK168" s="39" t="s">
        <v>499</v>
      </c>
      <c r="CL168" s="638">
        <v>61839149.1875</v>
      </c>
      <c r="CM168" s="638">
        <v>58155860.75</v>
      </c>
    </row>
    <row r="169" spans="1:92" x14ac:dyDescent="0.3">
      <c r="A169" s="1066" t="s">
        <v>501</v>
      </c>
      <c r="B169" s="1005"/>
      <c r="C169" s="1008">
        <f t="shared" si="99"/>
        <v>0</v>
      </c>
      <c r="D169" s="1008">
        <f t="shared" si="99"/>
        <v>0</v>
      </c>
      <c r="E169" s="1008">
        <f t="shared" si="99"/>
        <v>0</v>
      </c>
      <c r="F169" s="1008">
        <f t="shared" si="99"/>
        <v>0</v>
      </c>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994"/>
      <c r="AM169" s="1069"/>
      <c r="AN169" s="1069"/>
      <c r="AO169" s="1069"/>
      <c r="AP169" s="1069"/>
      <c r="AQ169" s="1069"/>
      <c r="AR169" s="1069"/>
      <c r="AS169" s="1069"/>
      <c r="AT169" s="1069"/>
      <c r="AU169" s="1069"/>
      <c r="AV169" s="1069"/>
      <c r="AW169" s="1069"/>
      <c r="AX169" s="1069"/>
      <c r="AY169" s="1069"/>
      <c r="AZ169" s="1069"/>
      <c r="BA169" s="1069"/>
      <c r="BB169" s="1069"/>
      <c r="BC169" s="1069"/>
      <c r="BD169" s="1069"/>
      <c r="BE169" s="1069"/>
      <c r="BF169" s="1069"/>
      <c r="BG169" s="1069"/>
      <c r="BH169" s="1069"/>
      <c r="BI169" s="1069"/>
      <c r="BJ169" s="1069"/>
      <c r="BK169" s="1008"/>
      <c r="BL169" s="1008"/>
      <c r="BM169" s="1008"/>
      <c r="BN169" s="1008"/>
      <c r="BO169" s="1069"/>
      <c r="BP169" s="1069"/>
      <c r="BQ169" s="1069"/>
      <c r="BR169" s="1069"/>
      <c r="BS169" s="1069"/>
      <c r="BT169" s="1069"/>
      <c r="BU169" s="1069"/>
      <c r="BV169" s="1069"/>
      <c r="BW169" s="1069"/>
      <c r="BX169" s="1069"/>
      <c r="BY169" s="1069"/>
      <c r="BZ169" s="1069"/>
      <c r="CA169" s="640">
        <f t="shared" si="95"/>
        <v>0</v>
      </c>
      <c r="CB169" s="640">
        <f t="shared" si="95"/>
        <v>0</v>
      </c>
      <c r="CC169" s="640">
        <f t="shared" si="95"/>
        <v>0</v>
      </c>
      <c r="CD169" s="640">
        <f t="shared" si="94"/>
        <v>0</v>
      </c>
      <c r="CE169" s="641">
        <f t="shared" si="79"/>
        <v>0</v>
      </c>
      <c r="CF169" s="642">
        <f t="shared" si="80"/>
        <v>-61839149.1875</v>
      </c>
      <c r="CG169" s="642">
        <f t="shared" si="80"/>
        <v>-58155860.75</v>
      </c>
      <c r="CH169" s="643">
        <f t="shared" si="80"/>
        <v>0</v>
      </c>
      <c r="CK169" s="39" t="s">
        <v>501</v>
      </c>
      <c r="CL169" s="638">
        <v>61839149.1875</v>
      </c>
      <c r="CM169" s="638">
        <v>58155860.75</v>
      </c>
    </row>
    <row r="170" spans="1:92" ht="33" x14ac:dyDescent="0.3">
      <c r="A170" s="1066" t="s">
        <v>504</v>
      </c>
      <c r="B170" s="1005"/>
      <c r="C170" s="1008">
        <f t="shared" si="99"/>
        <v>0</v>
      </c>
      <c r="D170" s="1008">
        <f t="shared" si="99"/>
        <v>0</v>
      </c>
      <c r="E170" s="1008">
        <f t="shared" si="99"/>
        <v>0</v>
      </c>
      <c r="F170" s="1008">
        <f t="shared" si="99"/>
        <v>0</v>
      </c>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994"/>
      <c r="AM170" s="1069"/>
      <c r="AN170" s="1069"/>
      <c r="AO170" s="1069"/>
      <c r="AP170" s="1069"/>
      <c r="AQ170" s="1069"/>
      <c r="AR170" s="1069"/>
      <c r="AS170" s="1069"/>
      <c r="AT170" s="1069"/>
      <c r="AU170" s="1069"/>
      <c r="AV170" s="1069"/>
      <c r="AW170" s="1069"/>
      <c r="AX170" s="1069"/>
      <c r="AY170" s="1069"/>
      <c r="AZ170" s="1069"/>
      <c r="BA170" s="1069"/>
      <c r="BB170" s="1069"/>
      <c r="BC170" s="1069"/>
      <c r="BD170" s="1069"/>
      <c r="BE170" s="1069"/>
      <c r="BF170" s="1069"/>
      <c r="BG170" s="1069"/>
      <c r="BH170" s="1069"/>
      <c r="BI170" s="1069"/>
      <c r="BJ170" s="1069"/>
      <c r="BK170" s="1008"/>
      <c r="BL170" s="1008"/>
      <c r="BM170" s="1008"/>
      <c r="BN170" s="1008"/>
      <c r="BO170" s="1069"/>
      <c r="BP170" s="1069"/>
      <c r="BQ170" s="1069"/>
      <c r="BR170" s="1069"/>
      <c r="BS170" s="1069"/>
      <c r="BT170" s="1069"/>
      <c r="BU170" s="1069"/>
      <c r="BV170" s="1069"/>
      <c r="BW170" s="1069"/>
      <c r="BX170" s="1069"/>
      <c r="BY170" s="1069"/>
      <c r="BZ170" s="1069"/>
      <c r="CA170" s="640">
        <f t="shared" si="95"/>
        <v>0</v>
      </c>
      <c r="CB170" s="640">
        <f t="shared" si="95"/>
        <v>0</v>
      </c>
      <c r="CC170" s="640">
        <f t="shared" si="95"/>
        <v>0</v>
      </c>
      <c r="CD170" s="640">
        <f t="shared" si="94"/>
        <v>0</v>
      </c>
      <c r="CE170" s="641">
        <f t="shared" si="79"/>
        <v>0</v>
      </c>
      <c r="CF170" s="642">
        <f t="shared" si="80"/>
        <v>-49471319.350000001</v>
      </c>
      <c r="CG170" s="642">
        <f t="shared" si="80"/>
        <v>-46524688.600000001</v>
      </c>
      <c r="CH170" s="643">
        <f t="shared" si="80"/>
        <v>0</v>
      </c>
      <c r="CK170" s="1013" t="s">
        <v>504</v>
      </c>
      <c r="CL170" s="638">
        <v>49471319.350000001</v>
      </c>
      <c r="CM170" s="638">
        <v>46524688.600000001</v>
      </c>
    </row>
    <row r="171" spans="1:92" ht="49.5" x14ac:dyDescent="0.3">
      <c r="A171" s="1066" t="s">
        <v>506</v>
      </c>
      <c r="B171" s="1005"/>
      <c r="C171" s="1008">
        <f t="shared" si="99"/>
        <v>0</v>
      </c>
      <c r="D171" s="1008">
        <f t="shared" si="99"/>
        <v>0</v>
      </c>
      <c r="E171" s="1008">
        <f t="shared" si="99"/>
        <v>0</v>
      </c>
      <c r="F171" s="1008">
        <f t="shared" si="99"/>
        <v>0</v>
      </c>
      <c r="G171" s="1069"/>
      <c r="H171" s="1069"/>
      <c r="I171" s="1069"/>
      <c r="J171" s="1069"/>
      <c r="K171" s="1069"/>
      <c r="L171" s="1069"/>
      <c r="M171" s="1069"/>
      <c r="N171" s="1069"/>
      <c r="O171" s="1069"/>
      <c r="P171" s="1069"/>
      <c r="Q171" s="1069"/>
      <c r="R171" s="1069"/>
      <c r="S171" s="1069"/>
      <c r="T171" s="1069"/>
      <c r="U171" s="1069"/>
      <c r="V171" s="1069"/>
      <c r="W171" s="1069"/>
      <c r="X171" s="1069"/>
      <c r="Y171" s="1069"/>
      <c r="Z171" s="1069"/>
      <c r="AA171" s="1069"/>
      <c r="AB171" s="1069"/>
      <c r="AC171" s="1069"/>
      <c r="AD171" s="1069"/>
      <c r="AE171" s="1069"/>
      <c r="AF171" s="1069"/>
      <c r="AG171" s="1069"/>
      <c r="AH171" s="1069"/>
      <c r="AI171" s="1069"/>
      <c r="AJ171" s="1069"/>
      <c r="AK171" s="1069"/>
      <c r="AL171" s="994"/>
      <c r="AM171" s="1069"/>
      <c r="AN171" s="1069"/>
      <c r="AO171" s="1069"/>
      <c r="AP171" s="1069"/>
      <c r="AQ171" s="1069"/>
      <c r="AR171" s="1069"/>
      <c r="AS171" s="1069"/>
      <c r="AT171" s="1069"/>
      <c r="AU171" s="1069"/>
      <c r="AV171" s="1069"/>
      <c r="AW171" s="1069"/>
      <c r="AX171" s="1069"/>
      <c r="AY171" s="1069"/>
      <c r="AZ171" s="1069"/>
      <c r="BA171" s="1069"/>
      <c r="BB171" s="1069"/>
      <c r="BC171" s="1069"/>
      <c r="BD171" s="1069"/>
      <c r="BE171" s="1069"/>
      <c r="BF171" s="1069"/>
      <c r="BG171" s="1069"/>
      <c r="BH171" s="1069"/>
      <c r="BI171" s="1069"/>
      <c r="BJ171" s="1069"/>
      <c r="BK171" s="1008"/>
      <c r="BL171" s="1008"/>
      <c r="BM171" s="1008"/>
      <c r="BN171" s="1008"/>
      <c r="BO171" s="1069"/>
      <c r="BP171" s="1069"/>
      <c r="BQ171" s="1069"/>
      <c r="BR171" s="1069"/>
      <c r="BS171" s="1069"/>
      <c r="BT171" s="1069"/>
      <c r="BU171" s="1069"/>
      <c r="BV171" s="1069"/>
      <c r="BW171" s="1069"/>
      <c r="BX171" s="1069"/>
      <c r="BY171" s="1069"/>
      <c r="BZ171" s="1069"/>
      <c r="CA171" s="640">
        <f t="shared" si="95"/>
        <v>0</v>
      </c>
      <c r="CB171" s="640">
        <f t="shared" si="95"/>
        <v>0</v>
      </c>
      <c r="CC171" s="640">
        <f t="shared" si="95"/>
        <v>0</v>
      </c>
      <c r="CD171" s="640">
        <f t="shared" si="94"/>
        <v>0</v>
      </c>
      <c r="CE171" s="641">
        <f t="shared" si="79"/>
        <v>0</v>
      </c>
      <c r="CF171" s="642">
        <f t="shared" si="80"/>
        <v>-61839149.1875</v>
      </c>
      <c r="CG171" s="642">
        <f t="shared" si="80"/>
        <v>-58155860.75</v>
      </c>
      <c r="CH171" s="643">
        <f t="shared" si="80"/>
        <v>0</v>
      </c>
      <c r="CK171" s="39" t="s">
        <v>506</v>
      </c>
      <c r="CL171" s="638">
        <v>61839149.1875</v>
      </c>
      <c r="CM171" s="638">
        <v>58155860.75</v>
      </c>
    </row>
    <row r="172" spans="1:92" x14ac:dyDescent="0.3">
      <c r="A172" s="1066" t="s">
        <v>509</v>
      </c>
      <c r="B172" s="1005">
        <v>50000000</v>
      </c>
      <c r="C172" s="1008">
        <f t="shared" si="99"/>
        <v>50000000</v>
      </c>
      <c r="D172" s="1008">
        <f t="shared" si="99"/>
        <v>40485762.5</v>
      </c>
      <c r="E172" s="1008">
        <f t="shared" si="99"/>
        <v>14377824.875</v>
      </c>
      <c r="F172" s="1008">
        <f t="shared" si="99"/>
        <v>12035949.875</v>
      </c>
      <c r="G172" s="1069"/>
      <c r="H172" s="1069"/>
      <c r="I172" s="1069"/>
      <c r="J172" s="1069"/>
      <c r="K172" s="1069"/>
      <c r="L172" s="1069"/>
      <c r="M172" s="1069"/>
      <c r="N172" s="1069"/>
      <c r="O172" s="1069"/>
      <c r="P172" s="1069"/>
      <c r="Q172" s="1069"/>
      <c r="R172" s="1069"/>
      <c r="S172" s="1069"/>
      <c r="T172" s="1069"/>
      <c r="U172" s="1069"/>
      <c r="V172" s="1069"/>
      <c r="W172" s="1069"/>
      <c r="X172" s="1069"/>
      <c r="Y172" s="1069"/>
      <c r="Z172" s="1069"/>
      <c r="AA172" s="1069"/>
      <c r="AB172" s="1069"/>
      <c r="AC172" s="1069"/>
      <c r="AD172" s="1069"/>
      <c r="AE172" s="1069"/>
      <c r="AF172" s="1069"/>
      <c r="AG172" s="1069"/>
      <c r="AH172" s="1069"/>
      <c r="AI172" s="1069"/>
      <c r="AJ172" s="1069"/>
      <c r="AK172" s="1069"/>
      <c r="AL172" s="1069"/>
      <c r="AM172" s="1069"/>
      <c r="AN172" s="1069"/>
      <c r="AO172" s="1069"/>
      <c r="AP172" s="1069"/>
      <c r="AQ172" s="1069"/>
      <c r="AR172" s="1069"/>
      <c r="AS172" s="1069"/>
      <c r="AT172" s="1069"/>
      <c r="AU172" s="1069"/>
      <c r="AV172" s="1069"/>
      <c r="AW172" s="1069"/>
      <c r="AX172" s="1069"/>
      <c r="AY172" s="1069"/>
      <c r="AZ172" s="1069"/>
      <c r="BA172" s="1069"/>
      <c r="BB172" s="1069"/>
      <c r="BC172" s="1069"/>
      <c r="BD172" s="1069"/>
      <c r="BE172" s="1069"/>
      <c r="BF172" s="1069"/>
      <c r="BG172" s="1069"/>
      <c r="BH172" s="1069"/>
      <c r="BI172" s="1069"/>
      <c r="BJ172" s="1069"/>
      <c r="BK172" s="994"/>
      <c r="BL172" s="994"/>
      <c r="BM172" s="994"/>
      <c r="BN172" s="994"/>
      <c r="BO172" s="1069"/>
      <c r="BP172" s="1069"/>
      <c r="BQ172" s="1069"/>
      <c r="BR172" s="1069"/>
      <c r="BS172" s="1069"/>
      <c r="BT172" s="1069"/>
      <c r="BU172" s="1069"/>
      <c r="BV172" s="1069"/>
      <c r="BW172" s="1069"/>
      <c r="BX172" s="1069"/>
      <c r="BY172" s="1069"/>
      <c r="BZ172" s="1069"/>
      <c r="CA172" s="640">
        <f t="shared" si="95"/>
        <v>50000000</v>
      </c>
      <c r="CB172" s="640">
        <f t="shared" si="95"/>
        <v>40485762.5</v>
      </c>
      <c r="CC172" s="640">
        <f t="shared" si="95"/>
        <v>14377824.875</v>
      </c>
      <c r="CD172" s="640">
        <f t="shared" si="94"/>
        <v>12035949.875</v>
      </c>
      <c r="CE172" s="641">
        <f t="shared" si="79"/>
        <v>0</v>
      </c>
      <c r="CF172" s="642">
        <f t="shared" si="80"/>
        <v>-35675686.243750006</v>
      </c>
      <c r="CG172" s="642">
        <f t="shared" si="80"/>
        <v>-33422302.899999999</v>
      </c>
      <c r="CH172" s="643">
        <f t="shared" si="80"/>
        <v>12035949.875</v>
      </c>
      <c r="CK172" s="89" t="s">
        <v>509</v>
      </c>
      <c r="CL172" s="638">
        <v>76161448.743750006</v>
      </c>
      <c r="CM172" s="638">
        <v>47800127.774999999</v>
      </c>
    </row>
    <row r="173" spans="1:92" s="1029" customFormat="1" ht="66" x14ac:dyDescent="0.25">
      <c r="A173" s="644" t="s">
        <v>512</v>
      </c>
      <c r="B173" s="645">
        <v>2161000000</v>
      </c>
      <c r="C173" s="645">
        <v>1711000000</v>
      </c>
      <c r="D173" s="645">
        <v>1467198277</v>
      </c>
      <c r="E173" s="645">
        <v>408752721</v>
      </c>
      <c r="F173" s="645">
        <v>359799221</v>
      </c>
      <c r="G173" s="644">
        <f t="shared" ref="G173:BR173" si="100">SUM(G174:G180)</f>
        <v>0</v>
      </c>
      <c r="H173" s="644">
        <f t="shared" si="100"/>
        <v>0</v>
      </c>
      <c r="I173" s="644">
        <f t="shared" si="100"/>
        <v>0</v>
      </c>
      <c r="J173" s="644">
        <f t="shared" si="100"/>
        <v>0</v>
      </c>
      <c r="K173" s="645">
        <v>225000000</v>
      </c>
      <c r="L173" s="645">
        <v>177521333</v>
      </c>
      <c r="M173" s="645">
        <v>73470000</v>
      </c>
      <c r="N173" s="645">
        <v>65481000</v>
      </c>
      <c r="O173" s="645">
        <v>225000000</v>
      </c>
      <c r="P173" s="645">
        <v>219492920</v>
      </c>
      <c r="Q173" s="645">
        <v>81086146</v>
      </c>
      <c r="R173" s="645">
        <v>66682546</v>
      </c>
      <c r="S173" s="644">
        <f t="shared" si="100"/>
        <v>0</v>
      </c>
      <c r="T173" s="644">
        <f t="shared" si="100"/>
        <v>0</v>
      </c>
      <c r="U173" s="644">
        <f t="shared" si="100"/>
        <v>0</v>
      </c>
      <c r="V173" s="644">
        <f t="shared" si="100"/>
        <v>0</v>
      </c>
      <c r="W173" s="644">
        <f t="shared" si="100"/>
        <v>0</v>
      </c>
      <c r="X173" s="644">
        <f t="shared" si="100"/>
        <v>0</v>
      </c>
      <c r="Y173" s="644">
        <f t="shared" si="100"/>
        <v>0</v>
      </c>
      <c r="Z173" s="644">
        <f t="shared" si="100"/>
        <v>0</v>
      </c>
      <c r="AA173" s="644">
        <f t="shared" si="100"/>
        <v>0</v>
      </c>
      <c r="AB173" s="644">
        <f t="shared" si="100"/>
        <v>0</v>
      </c>
      <c r="AC173" s="644">
        <f t="shared" si="100"/>
        <v>0</v>
      </c>
      <c r="AD173" s="644">
        <f t="shared" si="100"/>
        <v>0</v>
      </c>
      <c r="AE173" s="644">
        <v>0</v>
      </c>
      <c r="AF173" s="644">
        <f t="shared" si="100"/>
        <v>0</v>
      </c>
      <c r="AG173" s="644">
        <f t="shared" si="100"/>
        <v>0</v>
      </c>
      <c r="AH173" s="644">
        <f t="shared" si="100"/>
        <v>0</v>
      </c>
      <c r="AI173" s="644">
        <v>0</v>
      </c>
      <c r="AJ173" s="644">
        <v>0</v>
      </c>
      <c r="AK173" s="644">
        <v>0</v>
      </c>
      <c r="AL173" s="644">
        <v>0</v>
      </c>
      <c r="AM173" s="644">
        <f t="shared" si="100"/>
        <v>0</v>
      </c>
      <c r="AN173" s="644">
        <f t="shared" si="100"/>
        <v>0</v>
      </c>
      <c r="AO173" s="644">
        <f t="shared" si="100"/>
        <v>0</v>
      </c>
      <c r="AP173" s="644">
        <f t="shared" si="100"/>
        <v>0</v>
      </c>
      <c r="AQ173" s="644">
        <f t="shared" si="100"/>
        <v>0</v>
      </c>
      <c r="AR173" s="644">
        <f t="shared" si="100"/>
        <v>0</v>
      </c>
      <c r="AS173" s="644">
        <f t="shared" si="100"/>
        <v>0</v>
      </c>
      <c r="AT173" s="644">
        <f t="shared" si="100"/>
        <v>0</v>
      </c>
      <c r="AU173" s="644">
        <f t="shared" si="100"/>
        <v>0</v>
      </c>
      <c r="AV173" s="644">
        <f t="shared" si="100"/>
        <v>0</v>
      </c>
      <c r="AW173" s="644">
        <f t="shared" si="100"/>
        <v>0</v>
      </c>
      <c r="AX173" s="644">
        <f t="shared" si="100"/>
        <v>0</v>
      </c>
      <c r="AY173" s="644">
        <f t="shared" si="100"/>
        <v>0</v>
      </c>
      <c r="AZ173" s="644">
        <f t="shared" si="100"/>
        <v>0</v>
      </c>
      <c r="BA173" s="644">
        <f t="shared" si="100"/>
        <v>0</v>
      </c>
      <c r="BB173" s="644">
        <f t="shared" si="100"/>
        <v>0</v>
      </c>
      <c r="BC173" s="644">
        <f t="shared" si="100"/>
        <v>0</v>
      </c>
      <c r="BD173" s="644">
        <f t="shared" si="100"/>
        <v>0</v>
      </c>
      <c r="BE173" s="644">
        <f t="shared" si="100"/>
        <v>0</v>
      </c>
      <c r="BF173" s="644">
        <f t="shared" si="100"/>
        <v>0</v>
      </c>
      <c r="BG173" s="644">
        <f t="shared" si="100"/>
        <v>0</v>
      </c>
      <c r="BH173" s="644">
        <f t="shared" si="100"/>
        <v>0</v>
      </c>
      <c r="BI173" s="644">
        <f t="shared" si="100"/>
        <v>0</v>
      </c>
      <c r="BJ173" s="644">
        <f t="shared" si="100"/>
        <v>0</v>
      </c>
      <c r="BK173" s="644">
        <f t="shared" si="100"/>
        <v>0</v>
      </c>
      <c r="BL173" s="644">
        <f t="shared" si="100"/>
        <v>0</v>
      </c>
      <c r="BM173" s="644">
        <f t="shared" si="100"/>
        <v>0</v>
      </c>
      <c r="BN173" s="644">
        <f t="shared" si="100"/>
        <v>0</v>
      </c>
      <c r="BO173" s="644">
        <f t="shared" si="100"/>
        <v>0</v>
      </c>
      <c r="BP173" s="644">
        <f t="shared" si="100"/>
        <v>0</v>
      </c>
      <c r="BQ173" s="644">
        <f t="shared" si="100"/>
        <v>0</v>
      </c>
      <c r="BR173" s="644">
        <f t="shared" si="100"/>
        <v>0</v>
      </c>
      <c r="BS173" s="644">
        <f t="shared" ref="BS173:CD173" si="101">SUM(BS174:BS180)</f>
        <v>0</v>
      </c>
      <c r="BT173" s="644">
        <f t="shared" si="101"/>
        <v>0</v>
      </c>
      <c r="BU173" s="644">
        <f t="shared" si="101"/>
        <v>0</v>
      </c>
      <c r="BV173" s="644">
        <f t="shared" si="101"/>
        <v>0</v>
      </c>
      <c r="BW173" s="644">
        <f t="shared" si="101"/>
        <v>0</v>
      </c>
      <c r="BX173" s="644">
        <f t="shared" si="101"/>
        <v>0</v>
      </c>
      <c r="BY173" s="644">
        <f t="shared" si="101"/>
        <v>0</v>
      </c>
      <c r="BZ173" s="644">
        <f t="shared" si="101"/>
        <v>0</v>
      </c>
      <c r="CA173" s="1000" t="e">
        <f t="shared" si="101"/>
        <v>#DIV/0!</v>
      </c>
      <c r="CB173" s="1000" t="e">
        <f t="shared" si="101"/>
        <v>#DIV/0!</v>
      </c>
      <c r="CC173" s="1000" t="e">
        <f t="shared" si="101"/>
        <v>#DIV/0!</v>
      </c>
      <c r="CD173" s="1000" t="e">
        <f t="shared" si="101"/>
        <v>#DIV/0!</v>
      </c>
      <c r="CE173" s="1026" t="e">
        <f t="shared" si="79"/>
        <v>#DIV/0!</v>
      </c>
      <c r="CF173" s="1027" t="e">
        <f t="shared" si="80"/>
        <v>#DIV/0!</v>
      </c>
      <c r="CG173" s="1027" t="e">
        <f t="shared" si="80"/>
        <v>#DIV/0!</v>
      </c>
      <c r="CH173" s="1028" t="e">
        <f t="shared" si="80"/>
        <v>#DIV/0!</v>
      </c>
      <c r="CJ173" s="793"/>
      <c r="CK173" s="1070"/>
      <c r="CL173" s="1009">
        <f>+'[5]Anexo 5.2.A'!Z168</f>
        <v>0</v>
      </c>
      <c r="CM173" s="1009">
        <f>+'[5]Anexo 5.2.A'!AA168</f>
        <v>0</v>
      </c>
      <c r="CN173" s="1009">
        <f>+'[5]Anexo 5.2.A'!AB168</f>
        <v>0</v>
      </c>
    </row>
    <row r="174" spans="1:92" ht="52.5" customHeight="1" x14ac:dyDescent="0.3">
      <c r="A174" s="670" t="s">
        <v>513</v>
      </c>
      <c r="B174" s="1005">
        <v>500000000</v>
      </c>
      <c r="C174" s="1008">
        <f>C$173*(B174/B173)</f>
        <v>395881536.32577509</v>
      </c>
      <c r="D174" s="1008">
        <f t="shared" ref="D174:F174" si="102">D$173*(C174/C173)</f>
        <v>339472067.79268855</v>
      </c>
      <c r="E174" s="1008">
        <f t="shared" si="102"/>
        <v>94574900.74039796</v>
      </c>
      <c r="F174" s="1008">
        <f t="shared" si="102"/>
        <v>83248315.826006472</v>
      </c>
      <c r="G174" s="1069"/>
      <c r="H174" s="1069"/>
      <c r="I174" s="1069"/>
      <c r="J174" s="1069"/>
      <c r="K174" s="1008"/>
      <c r="L174" s="1069"/>
      <c r="M174" s="1069"/>
      <c r="N174" s="1069"/>
      <c r="O174" s="1008"/>
      <c r="P174" s="1008"/>
      <c r="Q174" s="1008"/>
      <c r="R174" s="1008"/>
      <c r="S174" s="1069"/>
      <c r="T174" s="1069"/>
      <c r="U174" s="1069"/>
      <c r="V174" s="1069"/>
      <c r="W174" s="1069"/>
      <c r="X174" s="1069"/>
      <c r="Y174" s="1069"/>
      <c r="Z174" s="1069"/>
      <c r="AA174" s="1069"/>
      <c r="AB174" s="1069"/>
      <c r="AC174" s="1069"/>
      <c r="AD174" s="1069"/>
      <c r="AE174" s="1008"/>
      <c r="AF174" s="1008"/>
      <c r="AG174" s="1008"/>
      <c r="AH174" s="1008"/>
      <c r="AI174" s="1069"/>
      <c r="AJ174" s="1069"/>
      <c r="AK174" s="1069"/>
      <c r="AL174" s="1069"/>
      <c r="AM174" s="1069"/>
      <c r="AN174" s="1069"/>
      <c r="AO174" s="1069"/>
      <c r="AP174" s="1069"/>
      <c r="AQ174" s="1069"/>
      <c r="AR174" s="1069"/>
      <c r="AS174" s="1069"/>
      <c r="AT174" s="1069"/>
      <c r="AU174" s="1008"/>
      <c r="AV174" s="1008"/>
      <c r="AW174" s="1008"/>
      <c r="AX174" s="1008"/>
      <c r="AY174" s="1069"/>
      <c r="AZ174" s="1069"/>
      <c r="BA174" s="1069"/>
      <c r="BB174" s="1069"/>
      <c r="BC174" s="1069"/>
      <c r="BD174" s="1069"/>
      <c r="BE174" s="1069"/>
      <c r="BF174" s="1069"/>
      <c r="BK174" s="1067"/>
      <c r="BL174" s="1067"/>
      <c r="BM174" s="1067"/>
      <c r="BN174" s="1067"/>
      <c r="BO174" s="1069"/>
      <c r="BP174" s="1069"/>
      <c r="BQ174" s="1069"/>
      <c r="BR174" s="1069"/>
      <c r="BS174" s="1069"/>
      <c r="BT174" s="1069"/>
      <c r="BU174" s="1069"/>
      <c r="BV174" s="1069"/>
      <c r="BW174" s="1069"/>
      <c r="BX174" s="1069"/>
      <c r="BY174" s="1069"/>
      <c r="BZ174" s="1069"/>
      <c r="CA174" s="640">
        <f t="shared" si="95"/>
        <v>395881536.32577509</v>
      </c>
      <c r="CB174" s="640">
        <f t="shared" si="95"/>
        <v>339472067.79268855</v>
      </c>
      <c r="CC174" s="640">
        <f t="shared" si="95"/>
        <v>94574900.74039796</v>
      </c>
      <c r="CD174" s="640">
        <f t="shared" si="94"/>
        <v>83248315.826006472</v>
      </c>
      <c r="CE174" s="641">
        <f t="shared" si="79"/>
        <v>-104118463.67422491</v>
      </c>
      <c r="CF174" s="642">
        <f t="shared" si="80"/>
        <v>-411423150.25311309</v>
      </c>
      <c r="CG174" s="642">
        <f t="shared" si="80"/>
        <v>-616078818.4046402</v>
      </c>
      <c r="CH174" s="643">
        <f t="shared" si="80"/>
        <v>83248315.826006472</v>
      </c>
      <c r="CK174" s="39" t="s">
        <v>513</v>
      </c>
      <c r="CL174" s="638">
        <v>750895218.04580164</v>
      </c>
      <c r="CM174" s="638">
        <v>710653719.14503813</v>
      </c>
    </row>
    <row r="175" spans="1:92" x14ac:dyDescent="0.3">
      <c r="A175" s="670" t="s">
        <v>517</v>
      </c>
      <c r="B175" s="1005">
        <v>1000000000</v>
      </c>
      <c r="C175" s="1008">
        <f t="shared" ref="C175:F180" si="103">C$173*(B175/B174)</f>
        <v>3422000000</v>
      </c>
      <c r="D175" s="1008">
        <f t="shared" si="103"/>
        <v>12682461906.388</v>
      </c>
      <c r="E175" s="1008">
        <f t="shared" si="103"/>
        <v>15270743324.84033</v>
      </c>
      <c r="F175" s="1008">
        <f t="shared" si="103"/>
        <v>58095768637.920975</v>
      </c>
      <c r="G175" s="1069"/>
      <c r="H175" s="1069"/>
      <c r="I175" s="1069"/>
      <c r="J175" s="1069"/>
      <c r="K175" s="1069"/>
      <c r="L175" s="1069"/>
      <c r="M175" s="1069"/>
      <c r="N175" s="1069"/>
      <c r="O175" s="1069"/>
      <c r="P175" s="1069"/>
      <c r="Q175" s="1069"/>
      <c r="R175" s="1069"/>
      <c r="S175" s="1069"/>
      <c r="T175" s="1069"/>
      <c r="U175" s="1069"/>
      <c r="V175" s="1069"/>
      <c r="W175" s="1069"/>
      <c r="X175" s="1069"/>
      <c r="Y175" s="1069"/>
      <c r="Z175" s="1069"/>
      <c r="AA175" s="1069"/>
      <c r="AB175" s="1069"/>
      <c r="AC175" s="1069"/>
      <c r="AD175" s="1069"/>
      <c r="AE175" s="1008"/>
      <c r="AF175" s="1008"/>
      <c r="AG175" s="1008"/>
      <c r="AH175" s="1008"/>
      <c r="AI175" s="1069"/>
      <c r="AJ175" s="1069"/>
      <c r="AK175" s="1069"/>
      <c r="AL175" s="994"/>
      <c r="AM175" s="1069"/>
      <c r="AN175" s="1069"/>
      <c r="AO175" s="1069"/>
      <c r="AP175" s="1069"/>
      <c r="AQ175" s="1069"/>
      <c r="AR175" s="1069"/>
      <c r="AS175" s="1069"/>
      <c r="AT175" s="1069"/>
      <c r="AU175" s="1069"/>
      <c r="AV175" s="1069"/>
      <c r="AW175" s="1069"/>
      <c r="AX175" s="1069"/>
      <c r="AY175" s="1069"/>
      <c r="AZ175" s="1069"/>
      <c r="BA175" s="1069"/>
      <c r="BB175" s="1069"/>
      <c r="BC175" s="1069"/>
      <c r="BD175" s="1069"/>
      <c r="BE175" s="1069"/>
      <c r="BF175" s="1069"/>
      <c r="BK175" s="1008"/>
      <c r="BL175" s="1008"/>
      <c r="BM175" s="1008"/>
      <c r="BN175" s="1008"/>
      <c r="BO175" s="1069"/>
      <c r="BP175" s="1069"/>
      <c r="BQ175" s="1069"/>
      <c r="BR175" s="1069"/>
      <c r="BS175" s="1069"/>
      <c r="BT175" s="1069"/>
      <c r="BU175" s="1069"/>
      <c r="BV175" s="1069"/>
      <c r="BW175" s="1069"/>
      <c r="BX175" s="1069"/>
      <c r="BY175" s="1069"/>
      <c r="BZ175" s="1069"/>
      <c r="CA175" s="640">
        <f t="shared" si="95"/>
        <v>3422000000</v>
      </c>
      <c r="CB175" s="640">
        <f t="shared" si="95"/>
        <v>12682461906.388</v>
      </c>
      <c r="CC175" s="640">
        <f t="shared" si="95"/>
        <v>15270743324.84033</v>
      </c>
      <c r="CD175" s="640">
        <f t="shared" si="94"/>
        <v>58095768637.920975</v>
      </c>
      <c r="CE175" s="641">
        <f t="shared" si="79"/>
        <v>2422000000</v>
      </c>
      <c r="CF175" s="642">
        <f t="shared" si="80"/>
        <v>11395212961.166626</v>
      </c>
      <c r="CG175" s="642">
        <f t="shared" si="80"/>
        <v>14052479806.305979</v>
      </c>
      <c r="CH175" s="643">
        <f t="shared" si="80"/>
        <v>58095768637.920975</v>
      </c>
      <c r="CK175" s="39" t="s">
        <v>517</v>
      </c>
      <c r="CL175" s="638">
        <v>1287248945.2213743</v>
      </c>
      <c r="CM175" s="638">
        <v>1218263518.5343511</v>
      </c>
    </row>
    <row r="176" spans="1:92" ht="33" x14ac:dyDescent="0.3">
      <c r="A176" s="670" t="s">
        <v>1598</v>
      </c>
      <c r="B176" s="1005">
        <v>400000000</v>
      </c>
      <c r="C176" s="1008">
        <f t="shared" si="103"/>
        <v>684400000</v>
      </c>
      <c r="D176" s="1008">
        <f t="shared" si="103"/>
        <v>293439655.40000004</v>
      </c>
      <c r="E176" s="1008">
        <f t="shared" si="103"/>
        <v>9457490.0740397964</v>
      </c>
      <c r="F176" s="1008">
        <f t="shared" si="103"/>
        <v>222831.16734203446</v>
      </c>
      <c r="G176" s="1069"/>
      <c r="H176" s="1069"/>
      <c r="I176" s="1069"/>
      <c r="J176" s="1069"/>
      <c r="K176" s="1008"/>
      <c r="L176" s="1069"/>
      <c r="M176" s="1069"/>
      <c r="N176" s="1069"/>
      <c r="O176" s="1069"/>
      <c r="P176" s="1069"/>
      <c r="Q176" s="1069"/>
      <c r="R176" s="1069"/>
      <c r="S176" s="1069"/>
      <c r="T176" s="1069"/>
      <c r="U176" s="1069"/>
      <c r="V176" s="1069"/>
      <c r="W176" s="1069"/>
      <c r="X176" s="1069"/>
      <c r="Y176" s="1069"/>
      <c r="Z176" s="1069"/>
      <c r="AA176" s="1069"/>
      <c r="AB176" s="1069"/>
      <c r="AC176" s="1069"/>
      <c r="AD176" s="1069"/>
      <c r="AE176" s="1008"/>
      <c r="AF176" s="1008"/>
      <c r="AG176" s="1008"/>
      <c r="AH176" s="1008"/>
      <c r="AI176" s="1069"/>
      <c r="AJ176" s="1069"/>
      <c r="AK176" s="1069"/>
      <c r="AL176" s="994"/>
      <c r="AM176" s="1069"/>
      <c r="AN176" s="1069"/>
      <c r="AO176" s="1069"/>
      <c r="AP176" s="1069"/>
      <c r="AQ176" s="1069"/>
      <c r="AR176" s="1069"/>
      <c r="AS176" s="1069"/>
      <c r="AT176" s="1069"/>
      <c r="AU176" s="1008"/>
      <c r="AV176" s="1008"/>
      <c r="AW176" s="988"/>
      <c r="AX176" s="988"/>
      <c r="AY176" s="1069"/>
      <c r="AZ176" s="1069"/>
      <c r="BA176" s="1069"/>
      <c r="BB176" s="1069"/>
      <c r="BC176" s="1069"/>
      <c r="BD176" s="1069"/>
      <c r="BE176" s="1069"/>
      <c r="BF176" s="1069"/>
      <c r="BK176" s="1008"/>
      <c r="BL176" s="1008"/>
      <c r="BM176" s="1008"/>
      <c r="BN176" s="1008"/>
      <c r="BO176" s="1069"/>
      <c r="BP176" s="1069"/>
      <c r="BQ176" s="1069"/>
      <c r="BR176" s="1069"/>
      <c r="BS176" s="1069"/>
      <c r="BT176" s="1069"/>
      <c r="BU176" s="1069"/>
      <c r="BV176" s="1069"/>
      <c r="BW176" s="1069"/>
      <c r="BX176" s="1069"/>
      <c r="BY176" s="1069"/>
      <c r="BZ176" s="1069"/>
      <c r="CA176" s="640">
        <f t="shared" si="95"/>
        <v>684400000</v>
      </c>
      <c r="CB176" s="640">
        <f t="shared" si="95"/>
        <v>293439655.40000004</v>
      </c>
      <c r="CC176" s="640">
        <f t="shared" si="95"/>
        <v>9457490.0740397964</v>
      </c>
      <c r="CD176" s="640">
        <f t="shared" si="94"/>
        <v>222831.16734203446</v>
      </c>
      <c r="CE176" s="641">
        <f t="shared" si="79"/>
        <v>284400000</v>
      </c>
      <c r="CF176" s="642">
        <f t="shared" si="80"/>
        <v>-457455562.6458016</v>
      </c>
      <c r="CG176" s="642">
        <f t="shared" si="80"/>
        <v>-701196229.07099831</v>
      </c>
      <c r="CH176" s="643">
        <f t="shared" si="80"/>
        <v>222831.16734203446</v>
      </c>
      <c r="CK176" s="39" t="s">
        <v>519</v>
      </c>
      <c r="CL176" s="638">
        <v>750895218.04580164</v>
      </c>
      <c r="CM176" s="638">
        <v>710653719.14503813</v>
      </c>
    </row>
    <row r="177" spans="1:92" ht="33" x14ac:dyDescent="0.3">
      <c r="A177" s="670" t="s">
        <v>521</v>
      </c>
      <c r="B177" s="1005">
        <v>161000000</v>
      </c>
      <c r="C177" s="1008">
        <f t="shared" si="103"/>
        <v>688677500</v>
      </c>
      <c r="D177" s="1008">
        <f t="shared" si="103"/>
        <v>1476368266.23125</v>
      </c>
      <c r="E177" s="1008">
        <f t="shared" si="103"/>
        <v>2056537127.5312495</v>
      </c>
      <c r="F177" s="1008">
        <f t="shared" si="103"/>
        <v>78238565480.963104</v>
      </c>
      <c r="G177" s="1069"/>
      <c r="H177" s="1069"/>
      <c r="I177" s="1069"/>
      <c r="J177" s="1069"/>
      <c r="K177" s="1069"/>
      <c r="L177" s="1069"/>
      <c r="M177" s="1069"/>
      <c r="N177" s="1069"/>
      <c r="O177" s="1069"/>
      <c r="P177" s="1069"/>
      <c r="Q177" s="1069"/>
      <c r="R177" s="1069"/>
      <c r="S177" s="1069"/>
      <c r="T177" s="1069"/>
      <c r="U177" s="1069"/>
      <c r="V177" s="1069"/>
      <c r="W177" s="1069"/>
      <c r="X177" s="1069"/>
      <c r="Y177" s="1069"/>
      <c r="Z177" s="1069"/>
      <c r="AA177" s="1069"/>
      <c r="AB177" s="1069"/>
      <c r="AC177" s="1069"/>
      <c r="AD177" s="1069"/>
      <c r="AE177" s="1008"/>
      <c r="AF177" s="1008"/>
      <c r="AG177" s="1008"/>
      <c r="AH177" s="1008"/>
      <c r="AI177" s="1069"/>
      <c r="AJ177" s="1069"/>
      <c r="AK177" s="1069"/>
      <c r="AL177" s="994"/>
      <c r="AM177" s="1069"/>
      <c r="AN177" s="1069"/>
      <c r="AO177" s="1069"/>
      <c r="AP177" s="1069"/>
      <c r="AQ177" s="1069"/>
      <c r="AR177" s="1069"/>
      <c r="AS177" s="1069"/>
      <c r="AT177" s="1069"/>
      <c r="AU177" s="1069"/>
      <c r="AV177" s="1069"/>
      <c r="AW177" s="1069"/>
      <c r="AX177" s="1069"/>
      <c r="AY177" s="1069"/>
      <c r="AZ177" s="1069"/>
      <c r="BA177" s="1069"/>
      <c r="BB177" s="1069"/>
      <c r="BC177" s="1069"/>
      <c r="BD177" s="1069"/>
      <c r="BE177" s="1069"/>
      <c r="BF177" s="1069"/>
      <c r="BG177" s="1069"/>
      <c r="BH177" s="1069"/>
      <c r="BI177" s="1069"/>
      <c r="BJ177" s="1069"/>
      <c r="BK177" s="1008"/>
      <c r="BL177" s="1008"/>
      <c r="BM177" s="1008"/>
      <c r="BN177" s="1008"/>
      <c r="BO177" s="1069"/>
      <c r="BP177" s="1069"/>
      <c r="BQ177" s="1069"/>
      <c r="BR177" s="1069"/>
      <c r="BS177" s="1069"/>
      <c r="BT177" s="1069"/>
      <c r="BU177" s="1069"/>
      <c r="BV177" s="1069"/>
      <c r="BW177" s="1069"/>
      <c r="BX177" s="1069"/>
      <c r="BY177" s="1069"/>
      <c r="BZ177" s="1069"/>
      <c r="CA177" s="640">
        <f t="shared" si="95"/>
        <v>688677500</v>
      </c>
      <c r="CB177" s="640">
        <f t="shared" si="95"/>
        <v>1476368266.23125</v>
      </c>
      <c r="CC177" s="640">
        <f t="shared" si="95"/>
        <v>2056537127.5312495</v>
      </c>
      <c r="CD177" s="640">
        <f t="shared" si="94"/>
        <v>78238565480.963104</v>
      </c>
      <c r="CE177" s="641">
        <f t="shared" si="79"/>
        <v>527677500</v>
      </c>
      <c r="CF177" s="642">
        <f t="shared" si="80"/>
        <v>1154556029.9259064</v>
      </c>
      <c r="CG177" s="642">
        <f t="shared" si="80"/>
        <v>1751971247.8976617</v>
      </c>
      <c r="CH177" s="643">
        <f t="shared" si="80"/>
        <v>78238565480.963104</v>
      </c>
      <c r="CK177" s="39" t="s">
        <v>521</v>
      </c>
      <c r="CL177" s="638">
        <v>321812236.30534357</v>
      </c>
      <c r="CM177" s="638">
        <v>304565879.63358778</v>
      </c>
    </row>
    <row r="178" spans="1:92" ht="66" x14ac:dyDescent="0.3">
      <c r="A178" s="670" t="s">
        <v>523</v>
      </c>
      <c r="B178" s="1012"/>
      <c r="C178" s="1008">
        <f t="shared" si="103"/>
        <v>0</v>
      </c>
      <c r="D178" s="1008">
        <f t="shared" si="103"/>
        <v>0</v>
      </c>
      <c r="E178" s="1008">
        <f t="shared" si="103"/>
        <v>0</v>
      </c>
      <c r="F178" s="1008">
        <f t="shared" si="103"/>
        <v>0</v>
      </c>
      <c r="G178" s="1069"/>
      <c r="H178" s="1069"/>
      <c r="I178" s="1069"/>
      <c r="J178" s="1069"/>
      <c r="K178" s="1069"/>
      <c r="L178" s="1069"/>
      <c r="M178" s="1069"/>
      <c r="N178" s="1069"/>
      <c r="O178" s="1069"/>
      <c r="P178" s="1069"/>
      <c r="Q178" s="1069"/>
      <c r="R178" s="1069"/>
      <c r="S178" s="1069"/>
      <c r="T178" s="1069"/>
      <c r="U178" s="1069"/>
      <c r="V178" s="1069"/>
      <c r="W178" s="1069"/>
      <c r="X178" s="1069"/>
      <c r="Y178" s="1069"/>
      <c r="Z178" s="1069"/>
      <c r="AA178" s="1069"/>
      <c r="AB178" s="1069"/>
      <c r="AC178" s="1069"/>
      <c r="AD178" s="1069"/>
      <c r="AE178" s="1008"/>
      <c r="AF178" s="1008"/>
      <c r="AG178" s="1008"/>
      <c r="AH178" s="1008"/>
      <c r="AI178" s="1069"/>
      <c r="AJ178" s="1069"/>
      <c r="AK178" s="1069"/>
      <c r="AL178" s="994"/>
      <c r="AM178" s="1069"/>
      <c r="AN178" s="1069"/>
      <c r="AO178" s="1069"/>
      <c r="AP178" s="1069"/>
      <c r="AQ178" s="1069"/>
      <c r="AR178" s="1069"/>
      <c r="AS178" s="1069"/>
      <c r="AT178" s="1069"/>
      <c r="AU178" s="1069"/>
      <c r="AV178" s="1069"/>
      <c r="AW178" s="1069"/>
      <c r="AX178" s="1069"/>
      <c r="AY178" s="1069"/>
      <c r="AZ178" s="1069"/>
      <c r="BA178" s="1069"/>
      <c r="BB178" s="1069"/>
      <c r="BC178" s="1069"/>
      <c r="BD178" s="1069"/>
      <c r="BE178" s="1069"/>
      <c r="BF178" s="1069"/>
      <c r="BG178" s="1069"/>
      <c r="BH178" s="1069"/>
      <c r="BI178" s="1069"/>
      <c r="BJ178" s="1069"/>
      <c r="BK178" s="1008"/>
      <c r="BL178" s="1008"/>
      <c r="BM178" s="1008"/>
      <c r="BN178" s="1008"/>
      <c r="BO178" s="1069"/>
      <c r="BP178" s="1069"/>
      <c r="BQ178" s="1069"/>
      <c r="BR178" s="1069"/>
      <c r="BS178" s="1069"/>
      <c r="BT178" s="1069"/>
      <c r="BU178" s="1069"/>
      <c r="BV178" s="1069"/>
      <c r="BW178" s="1069"/>
      <c r="BX178" s="1069"/>
      <c r="BY178" s="1069"/>
      <c r="BZ178" s="1069"/>
      <c r="CA178" s="640">
        <f t="shared" si="95"/>
        <v>0</v>
      </c>
      <c r="CB178" s="640">
        <f t="shared" si="95"/>
        <v>0</v>
      </c>
      <c r="CC178" s="640">
        <f t="shared" si="95"/>
        <v>0</v>
      </c>
      <c r="CD178" s="640">
        <f t="shared" si="94"/>
        <v>0</v>
      </c>
      <c r="CE178" s="641">
        <f t="shared" si="79"/>
        <v>0</v>
      </c>
      <c r="CF178" s="642">
        <f t="shared" si="80"/>
        <v>-80453059.076335892</v>
      </c>
      <c r="CG178" s="642">
        <f t="shared" si="80"/>
        <v>-76141469.908396944</v>
      </c>
      <c r="CH178" s="643">
        <f t="shared" si="80"/>
        <v>0</v>
      </c>
      <c r="CK178" s="39" t="s">
        <v>523</v>
      </c>
      <c r="CL178" s="638">
        <v>80453059.076335892</v>
      </c>
      <c r="CM178" s="638">
        <v>76141469.908396944</v>
      </c>
    </row>
    <row r="179" spans="1:92" ht="33" x14ac:dyDescent="0.3">
      <c r="A179" s="670" t="s">
        <v>525</v>
      </c>
      <c r="B179" s="1005">
        <v>100000000</v>
      </c>
      <c r="C179" s="1008" t="e">
        <f t="shared" si="103"/>
        <v>#DIV/0!</v>
      </c>
      <c r="D179" s="1008" t="e">
        <f t="shared" si="103"/>
        <v>#DIV/0!</v>
      </c>
      <c r="E179" s="1008" t="e">
        <f t="shared" si="103"/>
        <v>#DIV/0!</v>
      </c>
      <c r="F179" s="1008" t="e">
        <f t="shared" si="103"/>
        <v>#DIV/0!</v>
      </c>
      <c r="G179" s="1069"/>
      <c r="H179" s="1069"/>
      <c r="I179" s="1069"/>
      <c r="J179" s="1069"/>
      <c r="K179" s="1069"/>
      <c r="L179" s="1069"/>
      <c r="M179" s="1069"/>
      <c r="N179" s="1069"/>
      <c r="O179" s="1069"/>
      <c r="P179" s="1069"/>
      <c r="Q179" s="1069"/>
      <c r="R179" s="1069"/>
      <c r="S179" s="1069"/>
      <c r="T179" s="1069"/>
      <c r="U179" s="1069"/>
      <c r="V179" s="1069"/>
      <c r="W179" s="1069"/>
      <c r="X179" s="1069"/>
      <c r="Y179" s="1069"/>
      <c r="Z179" s="1069"/>
      <c r="AA179" s="1069"/>
      <c r="AB179" s="1069"/>
      <c r="AC179" s="1069"/>
      <c r="AD179" s="1069"/>
      <c r="AE179" s="1008"/>
      <c r="AF179" s="1008"/>
      <c r="AG179" s="1008"/>
      <c r="AH179" s="1008"/>
      <c r="AI179" s="1069"/>
      <c r="AJ179" s="1069"/>
      <c r="AK179" s="1069"/>
      <c r="AL179" s="1069"/>
      <c r="AM179" s="1069"/>
      <c r="AN179" s="1069"/>
      <c r="AO179" s="1069"/>
      <c r="AP179" s="1069"/>
      <c r="AQ179" s="1069"/>
      <c r="AR179" s="1069"/>
      <c r="AS179" s="1069"/>
      <c r="AT179" s="1069"/>
      <c r="AU179" s="1069"/>
      <c r="AV179" s="1069"/>
      <c r="AW179" s="1069"/>
      <c r="AX179" s="1069"/>
      <c r="AY179" s="1069"/>
      <c r="AZ179" s="1069"/>
      <c r="BA179" s="1069"/>
      <c r="BB179" s="1069"/>
      <c r="BC179" s="1069"/>
      <c r="BD179" s="1069"/>
      <c r="BE179" s="1069"/>
      <c r="BF179" s="1069"/>
      <c r="BG179" s="1069"/>
      <c r="BH179" s="1069"/>
      <c r="BI179" s="1069"/>
      <c r="BJ179" s="1069"/>
      <c r="BK179" s="1008"/>
      <c r="BL179" s="1008"/>
      <c r="BM179" s="1008"/>
      <c r="BN179" s="1008"/>
      <c r="BO179" s="1069"/>
      <c r="BP179" s="1069"/>
      <c r="BQ179" s="1069"/>
      <c r="BR179" s="1069"/>
      <c r="BS179" s="1069"/>
      <c r="BT179" s="1069"/>
      <c r="BU179" s="1069"/>
      <c r="BV179" s="1069"/>
      <c r="BW179" s="1069"/>
      <c r="BX179" s="1069"/>
      <c r="BY179" s="1069"/>
      <c r="BZ179" s="1069"/>
      <c r="CA179" s="640" t="e">
        <f t="shared" si="95"/>
        <v>#DIV/0!</v>
      </c>
      <c r="CB179" s="640" t="e">
        <f t="shared" si="95"/>
        <v>#DIV/0!</v>
      </c>
      <c r="CC179" s="640" t="e">
        <f t="shared" si="95"/>
        <v>#DIV/0!</v>
      </c>
      <c r="CD179" s="640" t="e">
        <f t="shared" si="94"/>
        <v>#DIV/0!</v>
      </c>
      <c r="CE179" s="641" t="e">
        <f t="shared" si="79"/>
        <v>#DIV/0!</v>
      </c>
      <c r="CF179" s="642" t="e">
        <f t="shared" si="80"/>
        <v>#DIV/0!</v>
      </c>
      <c r="CG179" s="642" t="e">
        <f t="shared" si="80"/>
        <v>#DIV/0!</v>
      </c>
      <c r="CH179" s="643" t="e">
        <f t="shared" si="80"/>
        <v>#DIV/0!</v>
      </c>
      <c r="CK179" s="39" t="s">
        <v>525</v>
      </c>
      <c r="CL179" s="638">
        <v>321812236.30534357</v>
      </c>
      <c r="CM179" s="638">
        <v>304565879.63358778</v>
      </c>
    </row>
    <row r="180" spans="1:92" x14ac:dyDescent="0.3">
      <c r="A180" s="670" t="s">
        <v>527</v>
      </c>
      <c r="B180" s="1005"/>
      <c r="C180" s="1008">
        <f t="shared" si="103"/>
        <v>0</v>
      </c>
      <c r="D180" s="1008" t="e">
        <f t="shared" si="103"/>
        <v>#DIV/0!</v>
      </c>
      <c r="E180" s="1008" t="e">
        <f t="shared" si="103"/>
        <v>#DIV/0!</v>
      </c>
      <c r="F180" s="1008" t="e">
        <f t="shared" si="103"/>
        <v>#DIV/0!</v>
      </c>
      <c r="G180" s="1069"/>
      <c r="H180" s="1069"/>
      <c r="I180" s="1069"/>
      <c r="J180" s="1069"/>
      <c r="K180" s="1069"/>
      <c r="L180" s="1069"/>
      <c r="M180" s="1069"/>
      <c r="N180" s="1069"/>
      <c r="O180" s="1069"/>
      <c r="P180" s="1069"/>
      <c r="Q180" s="1069"/>
      <c r="R180" s="1069"/>
      <c r="S180" s="1069"/>
      <c r="T180" s="1069"/>
      <c r="U180" s="1069"/>
      <c r="V180" s="1069"/>
      <c r="W180" s="1069"/>
      <c r="X180" s="1069"/>
      <c r="Y180" s="1069"/>
      <c r="Z180" s="1069"/>
      <c r="AA180" s="1069"/>
      <c r="AB180" s="1069"/>
      <c r="AC180" s="1069"/>
      <c r="AD180" s="1069"/>
      <c r="AE180" s="1069"/>
      <c r="AF180" s="1069"/>
      <c r="AG180" s="1069"/>
      <c r="AH180" s="1069"/>
      <c r="AI180" s="1069"/>
      <c r="AJ180" s="1069"/>
      <c r="AK180" s="1069"/>
      <c r="AL180" s="1069"/>
      <c r="AM180" s="1069"/>
      <c r="AN180" s="1069"/>
      <c r="AO180" s="1069"/>
      <c r="AP180" s="1069"/>
      <c r="AQ180" s="1069"/>
      <c r="AR180" s="1069"/>
      <c r="AS180" s="1069"/>
      <c r="AT180" s="1069"/>
      <c r="AU180" s="1069"/>
      <c r="AV180" s="1069"/>
      <c r="AW180" s="1069"/>
      <c r="AX180" s="1069"/>
      <c r="AY180" s="1069"/>
      <c r="AZ180" s="1069"/>
      <c r="BA180" s="1069"/>
      <c r="BB180" s="1069"/>
      <c r="BC180" s="1069"/>
      <c r="BD180" s="1069"/>
      <c r="BE180" s="1069"/>
      <c r="BF180" s="1069"/>
      <c r="BG180" s="1069"/>
      <c r="BH180" s="1069"/>
      <c r="BI180" s="1069"/>
      <c r="BJ180" s="1069"/>
      <c r="BK180" s="1071"/>
      <c r="BL180" s="1069"/>
      <c r="BM180" s="1069"/>
      <c r="BN180" s="1069"/>
      <c r="BO180" s="1069"/>
      <c r="BP180" s="1069"/>
      <c r="BQ180" s="1069"/>
      <c r="BR180" s="1069"/>
      <c r="BS180" s="1069"/>
      <c r="BT180" s="1069"/>
      <c r="BU180" s="1069"/>
      <c r="BV180" s="1069"/>
      <c r="BW180" s="1069"/>
      <c r="BX180" s="1069"/>
      <c r="BY180" s="1069"/>
      <c r="BZ180" s="1069"/>
      <c r="CA180" s="640">
        <f t="shared" si="95"/>
        <v>0</v>
      </c>
      <c r="CB180" s="640" t="e">
        <f t="shared" si="95"/>
        <v>#DIV/0!</v>
      </c>
      <c r="CC180" s="640" t="e">
        <f t="shared" si="95"/>
        <v>#DIV/0!</v>
      </c>
      <c r="CD180" s="640" t="e">
        <f t="shared" si="94"/>
        <v>#DIV/0!</v>
      </c>
      <c r="CE180" s="641">
        <f t="shared" si="79"/>
        <v>0</v>
      </c>
      <c r="CF180" s="642" t="e">
        <f t="shared" si="80"/>
        <v>#DIV/0!</v>
      </c>
      <c r="CG180" s="642" t="e">
        <f t="shared" si="80"/>
        <v>#DIV/0!</v>
      </c>
      <c r="CH180" s="643" t="e">
        <f t="shared" si="80"/>
        <v>#DIV/0!</v>
      </c>
      <c r="CK180" s="1013" t="s">
        <v>527</v>
      </c>
    </row>
    <row r="181" spans="1:92" s="1057" customFormat="1" ht="66" x14ac:dyDescent="0.25">
      <c r="A181" s="644" t="s">
        <v>530</v>
      </c>
      <c r="B181" s="645">
        <v>400000000</v>
      </c>
      <c r="C181" s="645">
        <v>400000000</v>
      </c>
      <c r="D181" s="645">
        <v>163479070</v>
      </c>
      <c r="E181" s="645">
        <v>16330190</v>
      </c>
      <c r="F181" s="645">
        <v>13470190</v>
      </c>
      <c r="G181" s="645">
        <v>0</v>
      </c>
      <c r="H181" s="645">
        <f t="shared" ref="H181:BS181" si="104">SUM(H182:H189)</f>
        <v>0</v>
      </c>
      <c r="I181" s="645">
        <f t="shared" si="104"/>
        <v>0</v>
      </c>
      <c r="J181" s="645">
        <f t="shared" si="104"/>
        <v>0</v>
      </c>
      <c r="K181" s="645">
        <f t="shared" si="104"/>
        <v>0</v>
      </c>
      <c r="L181" s="645">
        <f t="shared" si="104"/>
        <v>0</v>
      </c>
      <c r="M181" s="645">
        <f t="shared" si="104"/>
        <v>0</v>
      </c>
      <c r="N181" s="645">
        <f t="shared" si="104"/>
        <v>0</v>
      </c>
      <c r="O181" s="645">
        <f t="shared" si="104"/>
        <v>0</v>
      </c>
      <c r="P181" s="645">
        <f t="shared" si="104"/>
        <v>0</v>
      </c>
      <c r="Q181" s="645">
        <f t="shared" si="104"/>
        <v>0</v>
      </c>
      <c r="R181" s="645">
        <f t="shared" si="104"/>
        <v>0</v>
      </c>
      <c r="S181" s="645">
        <f t="shared" si="104"/>
        <v>0</v>
      </c>
      <c r="T181" s="645">
        <f t="shared" si="104"/>
        <v>0</v>
      </c>
      <c r="U181" s="645">
        <f t="shared" si="104"/>
        <v>0</v>
      </c>
      <c r="V181" s="645">
        <f t="shared" si="104"/>
        <v>0</v>
      </c>
      <c r="W181" s="645">
        <f t="shared" si="104"/>
        <v>0</v>
      </c>
      <c r="X181" s="645">
        <f t="shared" si="104"/>
        <v>0</v>
      </c>
      <c r="Y181" s="645">
        <f t="shared" si="104"/>
        <v>0</v>
      </c>
      <c r="Z181" s="645">
        <f t="shared" si="104"/>
        <v>0</v>
      </c>
      <c r="AA181" s="645">
        <f t="shared" si="104"/>
        <v>0</v>
      </c>
      <c r="AB181" s="645">
        <f t="shared" si="104"/>
        <v>0</v>
      </c>
      <c r="AC181" s="645">
        <f t="shared" si="104"/>
        <v>0</v>
      </c>
      <c r="AD181" s="645">
        <f t="shared" si="104"/>
        <v>0</v>
      </c>
      <c r="AE181" s="645">
        <f t="shared" si="104"/>
        <v>0</v>
      </c>
      <c r="AF181" s="645">
        <f t="shared" si="104"/>
        <v>0</v>
      </c>
      <c r="AG181" s="645">
        <f t="shared" si="104"/>
        <v>0</v>
      </c>
      <c r="AH181" s="645">
        <f t="shared" si="104"/>
        <v>0</v>
      </c>
      <c r="AI181" s="645">
        <f t="shared" si="104"/>
        <v>0</v>
      </c>
      <c r="AJ181" s="645">
        <f t="shared" si="104"/>
        <v>0</v>
      </c>
      <c r="AK181" s="645">
        <f t="shared" si="104"/>
        <v>0</v>
      </c>
      <c r="AL181" s="645">
        <f t="shared" si="104"/>
        <v>0</v>
      </c>
      <c r="AM181" s="645">
        <f t="shared" si="104"/>
        <v>0</v>
      </c>
      <c r="AN181" s="645">
        <f t="shared" si="104"/>
        <v>0</v>
      </c>
      <c r="AO181" s="645">
        <f t="shared" si="104"/>
        <v>0</v>
      </c>
      <c r="AP181" s="645">
        <f t="shared" si="104"/>
        <v>0</v>
      </c>
      <c r="AQ181" s="645">
        <v>0</v>
      </c>
      <c r="AR181" s="645">
        <v>0</v>
      </c>
      <c r="AS181" s="645">
        <v>0</v>
      </c>
      <c r="AT181" s="645">
        <v>0</v>
      </c>
      <c r="AU181" s="645">
        <f t="shared" si="104"/>
        <v>0</v>
      </c>
      <c r="AV181" s="645">
        <f t="shared" si="104"/>
        <v>0</v>
      </c>
      <c r="AW181" s="645">
        <f t="shared" si="104"/>
        <v>0</v>
      </c>
      <c r="AX181" s="645">
        <f t="shared" si="104"/>
        <v>0</v>
      </c>
      <c r="AY181" s="645">
        <f t="shared" si="104"/>
        <v>0</v>
      </c>
      <c r="AZ181" s="645">
        <f t="shared" si="104"/>
        <v>0</v>
      </c>
      <c r="BA181" s="645">
        <f t="shared" si="104"/>
        <v>0</v>
      </c>
      <c r="BB181" s="645">
        <f t="shared" si="104"/>
        <v>0</v>
      </c>
      <c r="BC181" s="645">
        <f t="shared" si="104"/>
        <v>0</v>
      </c>
      <c r="BD181" s="645">
        <f t="shared" si="104"/>
        <v>0</v>
      </c>
      <c r="BE181" s="645">
        <f t="shared" si="104"/>
        <v>0</v>
      </c>
      <c r="BF181" s="645">
        <f t="shared" si="104"/>
        <v>0</v>
      </c>
      <c r="BG181" s="645">
        <f t="shared" si="104"/>
        <v>0</v>
      </c>
      <c r="BH181" s="645">
        <f t="shared" si="104"/>
        <v>0</v>
      </c>
      <c r="BI181" s="645">
        <f t="shared" si="104"/>
        <v>0</v>
      </c>
      <c r="BJ181" s="645">
        <f t="shared" si="104"/>
        <v>0</v>
      </c>
      <c r="BK181" s="645">
        <f t="shared" si="104"/>
        <v>0</v>
      </c>
      <c r="BL181" s="645">
        <f t="shared" si="104"/>
        <v>0</v>
      </c>
      <c r="BM181" s="645">
        <f t="shared" si="104"/>
        <v>0</v>
      </c>
      <c r="BN181" s="645">
        <f t="shared" si="104"/>
        <v>0</v>
      </c>
      <c r="BO181" s="645">
        <f t="shared" si="104"/>
        <v>0</v>
      </c>
      <c r="BP181" s="645">
        <f t="shared" si="104"/>
        <v>0</v>
      </c>
      <c r="BQ181" s="645">
        <f t="shared" si="104"/>
        <v>0</v>
      </c>
      <c r="BR181" s="645">
        <f t="shared" si="104"/>
        <v>0</v>
      </c>
      <c r="BS181" s="645">
        <f t="shared" si="104"/>
        <v>0</v>
      </c>
      <c r="BT181" s="645">
        <f t="shared" ref="BT181:CC181" si="105">SUM(BT182:BT189)</f>
        <v>0</v>
      </c>
      <c r="BU181" s="645">
        <f t="shared" si="105"/>
        <v>0</v>
      </c>
      <c r="BV181" s="645">
        <f t="shared" si="105"/>
        <v>0</v>
      </c>
      <c r="BW181" s="645">
        <f t="shared" si="105"/>
        <v>0</v>
      </c>
      <c r="BX181" s="645">
        <f t="shared" si="105"/>
        <v>0</v>
      </c>
      <c r="BY181" s="645">
        <f t="shared" si="105"/>
        <v>0</v>
      </c>
      <c r="BZ181" s="645">
        <f t="shared" si="105"/>
        <v>0</v>
      </c>
      <c r="CA181" s="645">
        <f t="shared" si="105"/>
        <v>400000000</v>
      </c>
      <c r="CB181" s="645">
        <f t="shared" si="105"/>
        <v>163479070</v>
      </c>
      <c r="CC181" s="645">
        <f t="shared" si="105"/>
        <v>16330190</v>
      </c>
      <c r="CD181" s="645">
        <v>0</v>
      </c>
      <c r="CE181" s="667">
        <f t="shared" si="79"/>
        <v>0</v>
      </c>
      <c r="CF181" s="668">
        <f t="shared" si="80"/>
        <v>163479070</v>
      </c>
      <c r="CG181" s="668">
        <f t="shared" si="80"/>
        <v>16330190</v>
      </c>
      <c r="CH181" s="669">
        <f t="shared" si="80"/>
        <v>0</v>
      </c>
      <c r="CJ181" s="1058"/>
      <c r="CK181" s="1072"/>
      <c r="CL181" s="1004">
        <f>+'[5]Anexo 5.2.A'!Z172</f>
        <v>0</v>
      </c>
      <c r="CM181" s="1004">
        <f>+'[5]Anexo 5.2.A'!AA172</f>
        <v>0</v>
      </c>
      <c r="CN181" s="1004">
        <f>+'[5]Anexo 5.2.A'!AB172</f>
        <v>0</v>
      </c>
    </row>
    <row r="182" spans="1:92" ht="81" customHeight="1" x14ac:dyDescent="0.3">
      <c r="A182" s="1066" t="s">
        <v>1599</v>
      </c>
      <c r="B182" s="1005">
        <v>100000000</v>
      </c>
      <c r="C182" s="1073">
        <f>C$181*(B182/B$181)</f>
        <v>100000000</v>
      </c>
      <c r="D182" s="1073">
        <f t="shared" ref="D182:F182" si="106">D$181*(C182/C$181)</f>
        <v>40869767.5</v>
      </c>
      <c r="E182" s="1073">
        <f t="shared" si="106"/>
        <v>4082547.5</v>
      </c>
      <c r="F182" s="1073">
        <f t="shared" si="106"/>
        <v>3367547.5</v>
      </c>
      <c r="G182" s="1069"/>
      <c r="H182" s="1069"/>
      <c r="I182" s="1069"/>
      <c r="J182" s="1069"/>
      <c r="K182" s="1069"/>
      <c r="L182" s="1069"/>
      <c r="M182" s="1069"/>
      <c r="N182" s="1069"/>
      <c r="O182" s="1069"/>
      <c r="P182" s="1069"/>
      <c r="Q182" s="1069"/>
      <c r="R182" s="1069"/>
      <c r="S182" s="1069"/>
      <c r="T182" s="1069"/>
      <c r="U182" s="1069"/>
      <c r="V182" s="1069"/>
      <c r="W182" s="1069"/>
      <c r="X182" s="1069"/>
      <c r="Y182" s="1069"/>
      <c r="Z182" s="1069"/>
      <c r="AA182" s="1069"/>
      <c r="AB182" s="1069"/>
      <c r="AC182" s="1069"/>
      <c r="AD182" s="1069"/>
      <c r="AE182" s="1069"/>
      <c r="AF182" s="1069"/>
      <c r="AG182" s="1069"/>
      <c r="AH182" s="1069"/>
      <c r="AI182" s="1069"/>
      <c r="AJ182" s="1069"/>
      <c r="AK182" s="1069"/>
      <c r="AL182" s="1069"/>
      <c r="AM182" s="1069"/>
      <c r="AN182" s="1069"/>
      <c r="AO182" s="1069"/>
      <c r="AP182" s="1069"/>
      <c r="AQ182" s="1069"/>
      <c r="AR182" s="1069"/>
      <c r="AS182" s="1069"/>
      <c r="AT182" s="1069"/>
      <c r="AU182" s="1069"/>
      <c r="AV182" s="1069"/>
      <c r="AW182" s="1069"/>
      <c r="AX182" s="1069"/>
      <c r="AY182" s="1069"/>
      <c r="AZ182" s="1069"/>
      <c r="BA182" s="1069"/>
      <c r="BB182" s="1069"/>
      <c r="BC182" s="1069"/>
      <c r="BD182" s="1069"/>
      <c r="BE182" s="1069"/>
      <c r="BF182" s="1069"/>
      <c r="BG182" s="1069"/>
      <c r="BH182" s="1069"/>
      <c r="BI182" s="1069"/>
      <c r="BJ182" s="1069"/>
      <c r="BK182" s="1069"/>
      <c r="BL182" s="1069"/>
      <c r="BM182" s="1069"/>
      <c r="BN182" s="1069"/>
      <c r="BO182" s="1069"/>
      <c r="BP182" s="1069"/>
      <c r="BQ182" s="1069"/>
      <c r="BR182" s="1069"/>
      <c r="BS182" s="1069"/>
      <c r="BT182" s="1069"/>
      <c r="BU182" s="1069"/>
      <c r="BV182" s="1069"/>
      <c r="BW182" s="1069"/>
      <c r="BX182" s="1069"/>
      <c r="BY182" s="1069"/>
      <c r="BZ182" s="1069"/>
      <c r="CA182" s="640">
        <f t="shared" si="95"/>
        <v>100000000</v>
      </c>
      <c r="CB182" s="640">
        <f t="shared" si="95"/>
        <v>40869767.5</v>
      </c>
      <c r="CC182" s="640">
        <f t="shared" si="95"/>
        <v>4082547.5</v>
      </c>
      <c r="CD182" s="640">
        <f t="shared" si="94"/>
        <v>3367547.5</v>
      </c>
      <c r="CE182" s="641">
        <f t="shared" si="79"/>
        <v>0</v>
      </c>
      <c r="CF182" s="642">
        <f t="shared" si="80"/>
        <v>40869767.5</v>
      </c>
      <c r="CG182" s="642">
        <f t="shared" si="80"/>
        <v>4082547.5</v>
      </c>
      <c r="CH182" s="643">
        <f t="shared" si="80"/>
        <v>3367547.5</v>
      </c>
    </row>
    <row r="183" spans="1:92" ht="82.5" x14ac:dyDescent="0.3">
      <c r="A183" s="1074" t="s">
        <v>531</v>
      </c>
      <c r="B183" s="1005"/>
      <c r="C183" s="1073">
        <f t="shared" ref="C183:F189" si="107">C$181*(B183/B$181)</f>
        <v>0</v>
      </c>
      <c r="D183" s="1073">
        <f t="shared" si="107"/>
        <v>0</v>
      </c>
      <c r="E183" s="1073">
        <f t="shared" si="107"/>
        <v>0</v>
      </c>
      <c r="F183" s="1073">
        <f t="shared" si="107"/>
        <v>0</v>
      </c>
      <c r="G183" s="1069"/>
      <c r="H183" s="1069"/>
      <c r="I183" s="1069"/>
      <c r="J183" s="1069"/>
      <c r="K183" s="1069"/>
      <c r="L183" s="1069"/>
      <c r="M183" s="1069"/>
      <c r="N183" s="1069"/>
      <c r="O183" s="1069"/>
      <c r="P183" s="1069"/>
      <c r="Q183" s="1069"/>
      <c r="R183" s="1069"/>
      <c r="S183" s="1069"/>
      <c r="T183" s="1069"/>
      <c r="U183" s="1069"/>
      <c r="V183" s="1069"/>
      <c r="W183" s="1069"/>
      <c r="X183" s="1069"/>
      <c r="Y183" s="1069"/>
      <c r="Z183" s="1069"/>
      <c r="AA183" s="1069"/>
      <c r="AB183" s="1069"/>
      <c r="AC183" s="1069"/>
      <c r="AD183" s="1069"/>
      <c r="AE183" s="1069"/>
      <c r="AF183" s="1069"/>
      <c r="AG183" s="1069"/>
      <c r="AH183" s="1069"/>
      <c r="AI183" s="1069"/>
      <c r="AJ183" s="1069"/>
      <c r="AK183" s="1069"/>
      <c r="AL183" s="994"/>
      <c r="AM183" s="1069"/>
      <c r="AN183" s="1069"/>
      <c r="AO183" s="1069"/>
      <c r="AP183" s="1069"/>
      <c r="AQ183" s="1069"/>
      <c r="AR183" s="1069"/>
      <c r="AS183" s="1069"/>
      <c r="AT183" s="1069"/>
      <c r="AU183" s="1069"/>
      <c r="AV183" s="1069"/>
      <c r="AW183" s="1069"/>
      <c r="AX183" s="1069"/>
      <c r="AY183" s="1069"/>
      <c r="AZ183" s="1069"/>
      <c r="BA183" s="1069"/>
      <c r="BB183" s="1069"/>
      <c r="BC183" s="1069"/>
      <c r="BD183" s="1069"/>
      <c r="BE183" s="1069"/>
      <c r="BF183" s="1069"/>
      <c r="BG183" s="1069"/>
      <c r="BH183" s="1069"/>
      <c r="BI183" s="1069"/>
      <c r="BJ183" s="1069"/>
      <c r="BK183" s="988"/>
      <c r="BL183" s="988"/>
      <c r="BM183" s="988"/>
      <c r="BN183" s="988"/>
      <c r="BO183" s="1069"/>
      <c r="BP183" s="1069"/>
      <c r="BQ183" s="1069"/>
      <c r="BR183" s="1069"/>
      <c r="BS183" s="1069"/>
      <c r="BT183" s="1069"/>
      <c r="BU183" s="1069"/>
      <c r="BV183" s="1069"/>
      <c r="BW183" s="1069"/>
      <c r="BX183" s="1069"/>
      <c r="BY183" s="1069"/>
      <c r="BZ183" s="1069"/>
      <c r="CA183" s="640">
        <f t="shared" si="95"/>
        <v>0</v>
      </c>
      <c r="CB183" s="640">
        <f t="shared" si="95"/>
        <v>0</v>
      </c>
      <c r="CC183" s="640">
        <f t="shared" si="95"/>
        <v>0</v>
      </c>
      <c r="CD183" s="640">
        <f t="shared" si="94"/>
        <v>0</v>
      </c>
      <c r="CE183" s="641">
        <f t="shared" si="79"/>
        <v>0</v>
      </c>
      <c r="CF183" s="642">
        <f t="shared" si="80"/>
        <v>-44568776.799999997</v>
      </c>
      <c r="CG183" s="642">
        <f t="shared" si="80"/>
        <v>-10234984.4</v>
      </c>
      <c r="CH183" s="643">
        <f t="shared" si="80"/>
        <v>0</v>
      </c>
      <c r="CK183" s="39" t="s">
        <v>531</v>
      </c>
      <c r="CL183" s="638">
        <v>44568776.799999997</v>
      </c>
      <c r="CM183" s="638">
        <v>10234984.4</v>
      </c>
    </row>
    <row r="184" spans="1:92" ht="33" x14ac:dyDescent="0.3">
      <c r="A184" s="1066" t="s">
        <v>534</v>
      </c>
      <c r="B184" s="1005">
        <v>100000000</v>
      </c>
      <c r="C184" s="1073">
        <f t="shared" si="107"/>
        <v>100000000</v>
      </c>
      <c r="D184" s="1073">
        <f t="shared" si="107"/>
        <v>40869767.5</v>
      </c>
      <c r="E184" s="1073">
        <f t="shared" si="107"/>
        <v>4082547.5</v>
      </c>
      <c r="F184" s="1073">
        <f t="shared" si="107"/>
        <v>3367547.5</v>
      </c>
      <c r="G184" s="1069"/>
      <c r="H184" s="1069"/>
      <c r="I184" s="1069"/>
      <c r="J184" s="1069"/>
      <c r="K184" s="1069"/>
      <c r="L184" s="1069"/>
      <c r="M184" s="1069"/>
      <c r="N184" s="1069"/>
      <c r="O184" s="1069"/>
      <c r="P184" s="1069"/>
      <c r="Q184" s="1069"/>
      <c r="R184" s="1069"/>
      <c r="S184" s="1069"/>
      <c r="T184" s="1069"/>
      <c r="U184" s="1069"/>
      <c r="V184" s="1069"/>
      <c r="W184" s="1069"/>
      <c r="X184" s="1069"/>
      <c r="Y184" s="1069"/>
      <c r="Z184" s="1069"/>
      <c r="AA184" s="1069"/>
      <c r="AB184" s="1069"/>
      <c r="AC184" s="1069"/>
      <c r="AD184" s="1069"/>
      <c r="AE184" s="1069"/>
      <c r="AF184" s="1069"/>
      <c r="AG184" s="1069"/>
      <c r="AH184" s="1069"/>
      <c r="AI184" s="1069"/>
      <c r="AJ184" s="1069"/>
      <c r="AK184" s="1069"/>
      <c r="AL184" s="1069"/>
      <c r="AM184" s="1069"/>
      <c r="AN184" s="1069"/>
      <c r="AO184" s="1069"/>
      <c r="AP184" s="1069"/>
      <c r="AQ184" s="1069"/>
      <c r="AR184" s="1069"/>
      <c r="AS184" s="1069"/>
      <c r="AT184" s="1069"/>
      <c r="AU184" s="1069"/>
      <c r="AV184" s="1069"/>
      <c r="AW184" s="1069"/>
      <c r="AX184" s="1069"/>
      <c r="AY184" s="1069"/>
      <c r="AZ184" s="1069"/>
      <c r="BA184" s="1069"/>
      <c r="BB184" s="1069"/>
      <c r="BC184" s="1069"/>
      <c r="BD184" s="1069"/>
      <c r="BE184" s="1069"/>
      <c r="BF184" s="1069"/>
      <c r="BG184" s="1069"/>
      <c r="BH184" s="1069"/>
      <c r="BI184" s="1069"/>
      <c r="BJ184" s="1069"/>
      <c r="BK184" s="1069"/>
      <c r="BL184" s="1068"/>
      <c r="BM184" s="1068">
        <v>0</v>
      </c>
      <c r="BN184" s="1068">
        <v>0</v>
      </c>
      <c r="BO184" s="1069"/>
      <c r="BP184" s="1069"/>
      <c r="BQ184" s="1069"/>
      <c r="BR184" s="1069"/>
      <c r="BS184" s="1069"/>
      <c r="BT184" s="1069"/>
      <c r="BU184" s="1069"/>
      <c r="BV184" s="1069"/>
      <c r="BW184" s="1069"/>
      <c r="BX184" s="1069"/>
      <c r="BY184" s="1069"/>
      <c r="BZ184" s="1069"/>
      <c r="CA184" s="640">
        <f t="shared" si="95"/>
        <v>100000000</v>
      </c>
      <c r="CB184" s="640">
        <f t="shared" si="95"/>
        <v>40869767.5</v>
      </c>
      <c r="CC184" s="640">
        <f t="shared" si="95"/>
        <v>4082547.5</v>
      </c>
      <c r="CD184" s="640">
        <f t="shared" si="94"/>
        <v>3367547.5</v>
      </c>
      <c r="CE184" s="641">
        <f t="shared" si="79"/>
        <v>0</v>
      </c>
      <c r="CF184" s="642">
        <f t="shared" si="80"/>
        <v>40869767.5</v>
      </c>
      <c r="CG184" s="642">
        <f t="shared" si="80"/>
        <v>4082547.5</v>
      </c>
      <c r="CH184" s="643">
        <f t="shared" si="80"/>
        <v>3367547.5</v>
      </c>
      <c r="CK184" s="39" t="s">
        <v>534</v>
      </c>
    </row>
    <row r="185" spans="1:92" ht="82.5" x14ac:dyDescent="0.3">
      <c r="A185" s="1066" t="s">
        <v>1600</v>
      </c>
      <c r="B185" s="1005"/>
      <c r="C185" s="1073">
        <f t="shared" si="107"/>
        <v>0</v>
      </c>
      <c r="D185" s="1073">
        <f t="shared" si="107"/>
        <v>0</v>
      </c>
      <c r="E185" s="1073">
        <f t="shared" si="107"/>
        <v>0</v>
      </c>
      <c r="F185" s="1073">
        <f t="shared" si="107"/>
        <v>0</v>
      </c>
      <c r="G185" s="1069"/>
      <c r="H185" s="1069"/>
      <c r="I185" s="1069"/>
      <c r="J185" s="1069"/>
      <c r="K185" s="1069"/>
      <c r="L185" s="1069"/>
      <c r="M185" s="1069"/>
      <c r="N185" s="1069"/>
      <c r="O185" s="1069"/>
      <c r="P185" s="1069"/>
      <c r="Q185" s="1069"/>
      <c r="R185" s="1069"/>
      <c r="S185" s="1069"/>
      <c r="T185" s="1069"/>
      <c r="U185" s="1069"/>
      <c r="V185" s="1069"/>
      <c r="W185" s="1069"/>
      <c r="X185" s="1069"/>
      <c r="Y185" s="1069"/>
      <c r="Z185" s="1069"/>
      <c r="AA185" s="1069"/>
      <c r="AB185" s="1069"/>
      <c r="AC185" s="1069"/>
      <c r="AD185" s="1069"/>
      <c r="AE185" s="1069"/>
      <c r="AF185" s="1069"/>
      <c r="AG185" s="1069"/>
      <c r="AH185" s="1069"/>
      <c r="AI185" s="1069"/>
      <c r="AJ185" s="1069"/>
      <c r="AK185" s="1069"/>
      <c r="AL185" s="994"/>
      <c r="AM185" s="1069"/>
      <c r="AN185" s="1069"/>
      <c r="AO185" s="1069"/>
      <c r="AP185" s="1069"/>
      <c r="AQ185" s="1069"/>
      <c r="AR185" s="1069"/>
      <c r="AS185" s="1069"/>
      <c r="AT185" s="1069"/>
      <c r="AU185" s="1069"/>
      <c r="AV185" s="1069"/>
      <c r="AW185" s="1069"/>
      <c r="AX185" s="1069"/>
      <c r="AY185" s="1069"/>
      <c r="AZ185" s="1069"/>
      <c r="BA185" s="1069"/>
      <c r="BB185" s="1069"/>
      <c r="BC185" s="1069"/>
      <c r="BD185" s="1069"/>
      <c r="BE185" s="1069"/>
      <c r="BF185" s="1069"/>
      <c r="BG185" s="1069"/>
      <c r="BH185" s="1069"/>
      <c r="BI185" s="1069"/>
      <c r="BJ185" s="1069"/>
      <c r="BK185" s="988"/>
      <c r="BL185" s="988"/>
      <c r="BM185" s="988"/>
      <c r="BN185" s="988"/>
      <c r="BO185" s="1069"/>
      <c r="BP185" s="1069"/>
      <c r="BQ185" s="1069"/>
      <c r="BR185" s="1069"/>
      <c r="BS185" s="1069"/>
      <c r="BT185" s="1069"/>
      <c r="BU185" s="1069"/>
      <c r="BV185" s="1069"/>
      <c r="BW185" s="1069"/>
      <c r="BX185" s="1069"/>
      <c r="BY185" s="1069"/>
      <c r="BZ185" s="1069"/>
      <c r="CA185" s="640">
        <f t="shared" si="95"/>
        <v>0</v>
      </c>
      <c r="CB185" s="640">
        <f t="shared" si="95"/>
        <v>0</v>
      </c>
      <c r="CC185" s="640">
        <f t="shared" si="95"/>
        <v>0</v>
      </c>
      <c r="CD185" s="640">
        <v>0</v>
      </c>
      <c r="CE185" s="641">
        <f t="shared" si="79"/>
        <v>0</v>
      </c>
      <c r="CF185" s="642">
        <f t="shared" si="80"/>
        <v>-44568776.799999997</v>
      </c>
      <c r="CG185" s="642">
        <f t="shared" si="80"/>
        <v>-10234984.4</v>
      </c>
      <c r="CH185" s="643">
        <f t="shared" si="80"/>
        <v>0</v>
      </c>
      <c r="CK185" s="39" t="s">
        <v>536</v>
      </c>
      <c r="CL185" s="638">
        <v>44568776.799999997</v>
      </c>
      <c r="CM185" s="638">
        <v>10234984.4</v>
      </c>
    </row>
    <row r="186" spans="1:92" ht="49.5" x14ac:dyDescent="0.3">
      <c r="A186" s="1066" t="s">
        <v>538</v>
      </c>
      <c r="B186" s="1005">
        <v>50000000</v>
      </c>
      <c r="C186" s="1073">
        <f t="shared" si="107"/>
        <v>50000000</v>
      </c>
      <c r="D186" s="1073">
        <f t="shared" si="107"/>
        <v>20434883.75</v>
      </c>
      <c r="E186" s="1073">
        <f t="shared" si="107"/>
        <v>2041273.75</v>
      </c>
      <c r="F186" s="1073">
        <f t="shared" si="107"/>
        <v>1683773.75</v>
      </c>
      <c r="G186" s="1069"/>
      <c r="H186" s="1069"/>
      <c r="I186" s="1069"/>
      <c r="J186" s="1069"/>
      <c r="K186" s="1069"/>
      <c r="L186" s="1069"/>
      <c r="M186" s="1069"/>
      <c r="N186" s="1069"/>
      <c r="O186" s="1069"/>
      <c r="P186" s="1069"/>
      <c r="Q186" s="1069"/>
      <c r="R186" s="1069"/>
      <c r="S186" s="1069"/>
      <c r="T186" s="1069"/>
      <c r="U186" s="1069"/>
      <c r="V186" s="1069"/>
      <c r="W186" s="1069"/>
      <c r="X186" s="1069"/>
      <c r="Y186" s="1069"/>
      <c r="Z186" s="1069"/>
      <c r="AA186" s="1069"/>
      <c r="AB186" s="1069"/>
      <c r="AC186" s="1069"/>
      <c r="AD186" s="1069"/>
      <c r="AE186" s="1069"/>
      <c r="AF186" s="1069"/>
      <c r="AG186" s="1069"/>
      <c r="AH186" s="1069"/>
      <c r="AI186" s="1069"/>
      <c r="AJ186" s="1069"/>
      <c r="AK186" s="1069"/>
      <c r="AL186" s="1069"/>
      <c r="AM186" s="1069"/>
      <c r="AN186" s="1069"/>
      <c r="AO186" s="1069"/>
      <c r="AP186" s="1069"/>
      <c r="AQ186" s="1069"/>
      <c r="AR186" s="1069"/>
      <c r="AS186" s="1069"/>
      <c r="AT186" s="1069"/>
      <c r="AU186" s="1069"/>
      <c r="AV186" s="1069"/>
      <c r="AW186" s="1069"/>
      <c r="AX186" s="1069"/>
      <c r="AY186" s="1069"/>
      <c r="AZ186" s="1069"/>
      <c r="BA186" s="1069"/>
      <c r="BB186" s="1069"/>
      <c r="BC186" s="1069"/>
      <c r="BD186" s="1069"/>
      <c r="BE186" s="1069"/>
      <c r="BF186" s="1069"/>
      <c r="BG186" s="1069"/>
      <c r="BH186" s="1069"/>
      <c r="BI186" s="1069"/>
      <c r="BJ186" s="1069"/>
      <c r="BK186" s="1069"/>
      <c r="BL186" s="1068"/>
      <c r="BM186" s="1068">
        <v>0</v>
      </c>
      <c r="BN186" s="1068">
        <v>0</v>
      </c>
      <c r="BO186" s="1069"/>
      <c r="BP186" s="1069"/>
      <c r="BQ186" s="1069"/>
      <c r="BR186" s="1069"/>
      <c r="BS186" s="1069"/>
      <c r="BT186" s="1069"/>
      <c r="BU186" s="1069"/>
      <c r="BV186" s="1069"/>
      <c r="BW186" s="1069"/>
      <c r="BX186" s="1069"/>
      <c r="BY186" s="1069"/>
      <c r="BZ186" s="1069"/>
      <c r="CA186" s="640">
        <f t="shared" si="95"/>
        <v>50000000</v>
      </c>
      <c r="CB186" s="640">
        <f t="shared" si="95"/>
        <v>20434883.75</v>
      </c>
      <c r="CC186" s="640">
        <f t="shared" si="95"/>
        <v>2041273.75</v>
      </c>
      <c r="CD186" s="640">
        <f t="shared" si="94"/>
        <v>1683773.75</v>
      </c>
      <c r="CE186" s="641">
        <f t="shared" si="79"/>
        <v>0</v>
      </c>
      <c r="CF186" s="642">
        <f t="shared" si="80"/>
        <v>20434883.75</v>
      </c>
      <c r="CG186" s="642">
        <f t="shared" si="80"/>
        <v>2041273.75</v>
      </c>
      <c r="CH186" s="643">
        <f t="shared" si="80"/>
        <v>1683773.75</v>
      </c>
      <c r="CK186" s="39" t="s">
        <v>538</v>
      </c>
      <c r="CL186" s="638">
        <v>0</v>
      </c>
      <c r="CM186" s="638">
        <v>0</v>
      </c>
    </row>
    <row r="187" spans="1:92" ht="49.5" x14ac:dyDescent="0.3">
      <c r="A187" s="1066" t="s">
        <v>540</v>
      </c>
      <c r="B187" s="1005"/>
      <c r="C187" s="1073">
        <f t="shared" si="107"/>
        <v>0</v>
      </c>
      <c r="D187" s="1073">
        <f t="shared" si="107"/>
        <v>0</v>
      </c>
      <c r="E187" s="1073">
        <f t="shared" si="107"/>
        <v>0</v>
      </c>
      <c r="F187" s="1073">
        <f t="shared" si="107"/>
        <v>0</v>
      </c>
      <c r="G187" s="1069"/>
      <c r="H187" s="1069"/>
      <c r="I187" s="1069"/>
      <c r="J187" s="1069"/>
      <c r="K187" s="1069"/>
      <c r="L187" s="1069"/>
      <c r="M187" s="1069"/>
      <c r="N187" s="1069"/>
      <c r="O187" s="1069"/>
      <c r="P187" s="1069"/>
      <c r="Q187" s="1069"/>
      <c r="R187" s="1069"/>
      <c r="S187" s="1069"/>
      <c r="T187" s="1069"/>
      <c r="U187" s="1069"/>
      <c r="V187" s="1069"/>
      <c r="W187" s="1069"/>
      <c r="X187" s="1069"/>
      <c r="Y187" s="1069"/>
      <c r="Z187" s="1069"/>
      <c r="AA187" s="1069"/>
      <c r="AB187" s="1069"/>
      <c r="AC187" s="1069"/>
      <c r="AD187" s="1069"/>
      <c r="AE187" s="1069"/>
      <c r="AF187" s="1069"/>
      <c r="AG187" s="1069"/>
      <c r="AH187" s="1069"/>
      <c r="AI187" s="1069"/>
      <c r="AJ187" s="1069"/>
      <c r="AK187" s="1069"/>
      <c r="AL187" s="994"/>
      <c r="AM187" s="1069"/>
      <c r="AN187" s="1069"/>
      <c r="AO187" s="1069"/>
      <c r="AP187" s="1069"/>
      <c r="AQ187" s="1069"/>
      <c r="AR187" s="1069"/>
      <c r="AS187" s="1069"/>
      <c r="AT187" s="1069"/>
      <c r="AU187" s="1069"/>
      <c r="AV187" s="1069"/>
      <c r="AW187" s="1069"/>
      <c r="AX187" s="1069"/>
      <c r="AY187" s="1069"/>
      <c r="AZ187" s="1069"/>
      <c r="BA187" s="1069"/>
      <c r="BB187" s="1069"/>
      <c r="BC187" s="1069"/>
      <c r="BD187" s="1069"/>
      <c r="BE187" s="1069"/>
      <c r="BF187" s="1069"/>
      <c r="BG187" s="1069"/>
      <c r="BH187" s="1069"/>
      <c r="BI187" s="1069"/>
      <c r="BJ187" s="1069"/>
      <c r="BK187" s="988"/>
      <c r="BL187" s="988"/>
      <c r="BM187" s="988"/>
      <c r="BN187" s="988"/>
      <c r="BO187" s="1069"/>
      <c r="BP187" s="1069"/>
      <c r="BQ187" s="1069"/>
      <c r="BR187" s="1069"/>
      <c r="BS187" s="1069"/>
      <c r="BT187" s="1069"/>
      <c r="BU187" s="1069"/>
      <c r="BV187" s="1069"/>
      <c r="BW187" s="1069"/>
      <c r="BX187" s="1069"/>
      <c r="BY187" s="1069"/>
      <c r="BZ187" s="1069"/>
      <c r="CA187" s="640">
        <f t="shared" si="95"/>
        <v>0</v>
      </c>
      <c r="CB187" s="640">
        <f t="shared" si="95"/>
        <v>0</v>
      </c>
      <c r="CC187" s="640">
        <f t="shared" si="95"/>
        <v>0</v>
      </c>
      <c r="CD187" s="640">
        <f t="shared" si="94"/>
        <v>0</v>
      </c>
      <c r="CE187" s="641">
        <f t="shared" si="79"/>
        <v>0</v>
      </c>
      <c r="CF187" s="642">
        <f t="shared" si="80"/>
        <v>-44568776.799999997</v>
      </c>
      <c r="CG187" s="642">
        <f t="shared" si="80"/>
        <v>-10234984.4</v>
      </c>
      <c r="CH187" s="643">
        <f t="shared" si="80"/>
        <v>0</v>
      </c>
      <c r="CK187" s="39" t="s">
        <v>540</v>
      </c>
      <c r="CL187" s="638">
        <v>44568776.799999997</v>
      </c>
      <c r="CM187" s="638">
        <v>10234984.4</v>
      </c>
    </row>
    <row r="188" spans="1:92" ht="49.5" x14ac:dyDescent="0.3">
      <c r="A188" s="1066" t="s">
        <v>542</v>
      </c>
      <c r="B188" s="1005">
        <v>150000000</v>
      </c>
      <c r="C188" s="1073">
        <f t="shared" si="107"/>
        <v>150000000</v>
      </c>
      <c r="D188" s="1073">
        <f t="shared" si="107"/>
        <v>61304651.25</v>
      </c>
      <c r="E188" s="1073">
        <f t="shared" si="107"/>
        <v>6123821.25</v>
      </c>
      <c r="F188" s="1073">
        <f t="shared" si="107"/>
        <v>5051321.25</v>
      </c>
      <c r="G188" s="1069"/>
      <c r="H188" s="1069"/>
      <c r="I188" s="1069"/>
      <c r="J188" s="1069"/>
      <c r="K188" s="1069"/>
      <c r="L188" s="1069"/>
      <c r="M188" s="1069"/>
      <c r="N188" s="1069"/>
      <c r="O188" s="1069"/>
      <c r="P188" s="1069"/>
      <c r="Q188" s="1069"/>
      <c r="R188" s="1069"/>
      <c r="S188" s="1069"/>
      <c r="T188" s="1069"/>
      <c r="U188" s="1069"/>
      <c r="V188" s="1069"/>
      <c r="W188" s="1069"/>
      <c r="X188" s="1069"/>
      <c r="Y188" s="1069"/>
      <c r="Z188" s="1069"/>
      <c r="AA188" s="1069"/>
      <c r="AB188" s="1069"/>
      <c r="AC188" s="1069"/>
      <c r="AD188" s="1069"/>
      <c r="AE188" s="1069"/>
      <c r="AF188" s="1069"/>
      <c r="AG188" s="1069"/>
      <c r="AH188" s="1069"/>
      <c r="AI188" s="1069"/>
      <c r="AJ188" s="1069"/>
      <c r="AK188" s="1069"/>
      <c r="AL188" s="994"/>
      <c r="AM188" s="1069"/>
      <c r="AN188" s="1069"/>
      <c r="AO188" s="1069"/>
      <c r="AP188" s="1069"/>
      <c r="AQ188" s="1069"/>
      <c r="AR188" s="1069"/>
      <c r="AS188" s="1069"/>
      <c r="AT188" s="1069"/>
      <c r="AU188" s="1069"/>
      <c r="AV188" s="1069"/>
      <c r="AW188" s="1069"/>
      <c r="AX188" s="1069"/>
      <c r="AY188" s="1069"/>
      <c r="AZ188" s="1069"/>
      <c r="BA188" s="1069"/>
      <c r="BB188" s="1069"/>
      <c r="BC188" s="1069"/>
      <c r="BD188" s="1069"/>
      <c r="BE188" s="1069"/>
      <c r="BF188" s="1069"/>
      <c r="BG188" s="1069"/>
      <c r="BH188" s="1069"/>
      <c r="BI188" s="1069"/>
      <c r="BJ188" s="1069"/>
      <c r="BK188" s="988"/>
      <c r="BL188" s="988"/>
      <c r="BM188" s="988"/>
      <c r="BN188" s="988"/>
      <c r="BO188" s="1069"/>
      <c r="BP188" s="1069"/>
      <c r="BQ188" s="1069"/>
      <c r="BR188" s="1069"/>
      <c r="BS188" s="1069"/>
      <c r="BT188" s="1069"/>
      <c r="BU188" s="1069"/>
      <c r="BV188" s="1069"/>
      <c r="BW188" s="1069"/>
      <c r="BX188" s="1069"/>
      <c r="BY188" s="1069"/>
      <c r="BZ188" s="1069"/>
      <c r="CA188" s="640">
        <f t="shared" si="95"/>
        <v>150000000</v>
      </c>
      <c r="CB188" s="640">
        <f t="shared" si="95"/>
        <v>61304651.25</v>
      </c>
      <c r="CC188" s="640">
        <f t="shared" si="95"/>
        <v>6123821.25</v>
      </c>
      <c r="CD188" s="640">
        <f t="shared" si="94"/>
        <v>5051321.25</v>
      </c>
      <c r="CE188" s="641">
        <f t="shared" si="79"/>
        <v>0</v>
      </c>
      <c r="CF188" s="642">
        <f t="shared" si="80"/>
        <v>16735874.450000003</v>
      </c>
      <c r="CG188" s="642">
        <f t="shared" si="80"/>
        <v>-4111163.1500000004</v>
      </c>
      <c r="CH188" s="643">
        <f t="shared" si="80"/>
        <v>5051321.25</v>
      </c>
      <c r="CK188" s="39" t="s">
        <v>542</v>
      </c>
      <c r="CL188" s="638">
        <v>44568776.799999997</v>
      </c>
      <c r="CM188" s="638">
        <v>10234984.4</v>
      </c>
    </row>
    <row r="189" spans="1:92" ht="49.5" x14ac:dyDescent="0.3">
      <c r="A189" s="1066" t="s">
        <v>545</v>
      </c>
      <c r="B189" s="1075">
        <v>0</v>
      </c>
      <c r="C189" s="1073">
        <f t="shared" si="107"/>
        <v>0</v>
      </c>
      <c r="D189" s="1073">
        <f t="shared" si="107"/>
        <v>0</v>
      </c>
      <c r="E189" s="1073">
        <f t="shared" si="107"/>
        <v>0</v>
      </c>
      <c r="F189" s="1073">
        <f t="shared" si="107"/>
        <v>0</v>
      </c>
      <c r="G189" s="1069"/>
      <c r="H189" s="1069"/>
      <c r="I189" s="1069"/>
      <c r="J189" s="1069"/>
      <c r="K189" s="1069"/>
      <c r="L189" s="1069"/>
      <c r="M189" s="1069"/>
      <c r="N189" s="1069"/>
      <c r="O189" s="1069"/>
      <c r="P189" s="1069"/>
      <c r="Q189" s="1069"/>
      <c r="R189" s="1069"/>
      <c r="S189" s="1069"/>
      <c r="T189" s="1069"/>
      <c r="U189" s="1069"/>
      <c r="V189" s="1069"/>
      <c r="W189" s="1069"/>
      <c r="X189" s="1069"/>
      <c r="Y189" s="1069"/>
      <c r="Z189" s="1069"/>
      <c r="AA189" s="1069"/>
      <c r="AB189" s="1069"/>
      <c r="AC189" s="1069"/>
      <c r="AD189" s="1069"/>
      <c r="AE189" s="1069"/>
      <c r="AF189" s="1069"/>
      <c r="AG189" s="1069"/>
      <c r="AH189" s="1069"/>
      <c r="AI189" s="1069"/>
      <c r="AJ189" s="1069"/>
      <c r="AK189" s="1069"/>
      <c r="AL189" s="994"/>
      <c r="AM189" s="1069"/>
      <c r="AN189" s="1069"/>
      <c r="AO189" s="1069"/>
      <c r="AP189" s="1069"/>
      <c r="AQ189" s="1069"/>
      <c r="AR189" s="1069"/>
      <c r="AS189" s="1069"/>
      <c r="AT189" s="1069"/>
      <c r="AU189" s="1069"/>
      <c r="AV189" s="1069"/>
      <c r="AW189" s="1069"/>
      <c r="AX189" s="1069"/>
      <c r="AY189" s="1069"/>
      <c r="AZ189" s="1069"/>
      <c r="BA189" s="1069"/>
      <c r="BB189" s="1069"/>
      <c r="BC189" s="1069"/>
      <c r="BD189" s="1069"/>
      <c r="BE189" s="1069"/>
      <c r="BF189" s="1069"/>
      <c r="BG189" s="1069"/>
      <c r="BH189" s="1069"/>
      <c r="BI189" s="1069"/>
      <c r="BJ189" s="1069"/>
      <c r="BK189" s="988"/>
      <c r="BL189" s="988"/>
      <c r="BM189" s="988"/>
      <c r="BN189" s="988"/>
      <c r="BO189" s="1069"/>
      <c r="BP189" s="1069"/>
      <c r="BQ189" s="1069"/>
      <c r="BR189" s="1069"/>
      <c r="BS189" s="1069"/>
      <c r="BT189" s="1069"/>
      <c r="BU189" s="1069"/>
      <c r="BV189" s="1069"/>
      <c r="BW189" s="1069"/>
      <c r="BX189" s="1069"/>
      <c r="BY189" s="1069"/>
      <c r="BZ189" s="1069"/>
      <c r="CA189" s="640">
        <f t="shared" si="95"/>
        <v>0</v>
      </c>
      <c r="CB189" s="640">
        <f t="shared" si="95"/>
        <v>0</v>
      </c>
      <c r="CC189" s="640">
        <f t="shared" si="95"/>
        <v>0</v>
      </c>
      <c r="CD189" s="640">
        <f t="shared" si="94"/>
        <v>0</v>
      </c>
      <c r="CE189" s="641">
        <f t="shared" si="79"/>
        <v>0</v>
      </c>
      <c r="CF189" s="642">
        <f t="shared" si="80"/>
        <v>-44568776.799999997</v>
      </c>
      <c r="CG189" s="642">
        <f t="shared" si="80"/>
        <v>-10234984.4</v>
      </c>
      <c r="CH189" s="643">
        <f t="shared" si="80"/>
        <v>0</v>
      </c>
      <c r="CK189" s="39" t="s">
        <v>545</v>
      </c>
      <c r="CL189" s="638">
        <v>44568776.799999997</v>
      </c>
      <c r="CM189" s="638">
        <v>10234984.4</v>
      </c>
    </row>
    <row r="190" spans="1:92" s="1057" customFormat="1" ht="84.75" customHeight="1" x14ac:dyDescent="0.25">
      <c r="A190" s="644" t="s">
        <v>548</v>
      </c>
      <c r="B190" s="645">
        <v>400000000</v>
      </c>
      <c r="C190" s="645">
        <v>400000000</v>
      </c>
      <c r="D190" s="645">
        <v>80086260</v>
      </c>
      <c r="E190" s="645">
        <v>13575993</v>
      </c>
      <c r="F190" s="645">
        <v>9565693</v>
      </c>
      <c r="G190" s="645">
        <f t="shared" ref="G190:BR190" si="108">SUM(G191:G193)</f>
        <v>0</v>
      </c>
      <c r="H190" s="645">
        <f t="shared" si="108"/>
        <v>0</v>
      </c>
      <c r="I190" s="645">
        <f t="shared" si="108"/>
        <v>0</v>
      </c>
      <c r="J190" s="645">
        <f t="shared" si="108"/>
        <v>0</v>
      </c>
      <c r="K190" s="645">
        <f t="shared" si="108"/>
        <v>0</v>
      </c>
      <c r="L190" s="645">
        <f t="shared" si="108"/>
        <v>0</v>
      </c>
      <c r="M190" s="645">
        <f t="shared" si="108"/>
        <v>0</v>
      </c>
      <c r="N190" s="645">
        <f t="shared" si="108"/>
        <v>0</v>
      </c>
      <c r="O190" s="645">
        <f t="shared" si="108"/>
        <v>0</v>
      </c>
      <c r="P190" s="645">
        <f t="shared" si="108"/>
        <v>0</v>
      </c>
      <c r="Q190" s="645">
        <f t="shared" si="108"/>
        <v>0</v>
      </c>
      <c r="R190" s="645">
        <f t="shared" si="108"/>
        <v>0</v>
      </c>
      <c r="S190" s="645">
        <f t="shared" si="108"/>
        <v>0</v>
      </c>
      <c r="T190" s="645">
        <f t="shared" si="108"/>
        <v>0</v>
      </c>
      <c r="U190" s="645">
        <f t="shared" si="108"/>
        <v>0</v>
      </c>
      <c r="V190" s="645">
        <f t="shared" si="108"/>
        <v>0</v>
      </c>
      <c r="W190" s="645">
        <f t="shared" si="108"/>
        <v>0</v>
      </c>
      <c r="X190" s="645">
        <f t="shared" si="108"/>
        <v>0</v>
      </c>
      <c r="Y190" s="645">
        <f t="shared" si="108"/>
        <v>0</v>
      </c>
      <c r="Z190" s="645">
        <f t="shared" si="108"/>
        <v>0</v>
      </c>
      <c r="AA190" s="645">
        <f t="shared" si="108"/>
        <v>0</v>
      </c>
      <c r="AB190" s="645">
        <f t="shared" si="108"/>
        <v>0</v>
      </c>
      <c r="AC190" s="645">
        <f t="shared" si="108"/>
        <v>0</v>
      </c>
      <c r="AD190" s="645">
        <f t="shared" si="108"/>
        <v>0</v>
      </c>
      <c r="AE190" s="645">
        <f t="shared" si="108"/>
        <v>0</v>
      </c>
      <c r="AF190" s="645">
        <f t="shared" si="108"/>
        <v>0</v>
      </c>
      <c r="AG190" s="645">
        <f t="shared" si="108"/>
        <v>0</v>
      </c>
      <c r="AH190" s="645">
        <f t="shared" si="108"/>
        <v>0</v>
      </c>
      <c r="AI190" s="645">
        <f t="shared" si="108"/>
        <v>0</v>
      </c>
      <c r="AJ190" s="645">
        <f t="shared" si="108"/>
        <v>0</v>
      </c>
      <c r="AK190" s="645">
        <f t="shared" si="108"/>
        <v>0</v>
      </c>
      <c r="AL190" s="645">
        <f t="shared" si="108"/>
        <v>0</v>
      </c>
      <c r="AM190" s="645">
        <f t="shared" si="108"/>
        <v>0</v>
      </c>
      <c r="AN190" s="645">
        <f t="shared" si="108"/>
        <v>0</v>
      </c>
      <c r="AO190" s="645">
        <f t="shared" si="108"/>
        <v>0</v>
      </c>
      <c r="AP190" s="645">
        <f t="shared" si="108"/>
        <v>0</v>
      </c>
      <c r="AQ190" s="645">
        <f t="shared" si="108"/>
        <v>0</v>
      </c>
      <c r="AR190" s="645">
        <f t="shared" si="108"/>
        <v>0</v>
      </c>
      <c r="AS190" s="645">
        <f t="shared" si="108"/>
        <v>0</v>
      </c>
      <c r="AT190" s="645">
        <f t="shared" si="108"/>
        <v>0</v>
      </c>
      <c r="AU190" s="645">
        <f t="shared" si="108"/>
        <v>0</v>
      </c>
      <c r="AV190" s="645">
        <f t="shared" si="108"/>
        <v>0</v>
      </c>
      <c r="AW190" s="645">
        <f t="shared" si="108"/>
        <v>0</v>
      </c>
      <c r="AX190" s="645">
        <f t="shared" si="108"/>
        <v>0</v>
      </c>
      <c r="AY190" s="645">
        <v>0</v>
      </c>
      <c r="AZ190" s="645">
        <v>0</v>
      </c>
      <c r="BA190" s="645">
        <v>0</v>
      </c>
      <c r="BB190" s="645">
        <v>0</v>
      </c>
      <c r="BC190" s="645">
        <f t="shared" si="108"/>
        <v>0</v>
      </c>
      <c r="BD190" s="645">
        <f t="shared" si="108"/>
        <v>0</v>
      </c>
      <c r="BE190" s="645">
        <f t="shared" si="108"/>
        <v>0</v>
      </c>
      <c r="BF190" s="645">
        <f t="shared" si="108"/>
        <v>0</v>
      </c>
      <c r="BG190" s="645">
        <f t="shared" si="108"/>
        <v>0</v>
      </c>
      <c r="BH190" s="645">
        <f t="shared" si="108"/>
        <v>0</v>
      </c>
      <c r="BI190" s="645">
        <f t="shared" si="108"/>
        <v>0</v>
      </c>
      <c r="BJ190" s="645">
        <f t="shared" si="108"/>
        <v>0</v>
      </c>
      <c r="BK190" s="645">
        <f t="shared" si="108"/>
        <v>0</v>
      </c>
      <c r="BL190" s="645">
        <f t="shared" si="108"/>
        <v>0</v>
      </c>
      <c r="BM190" s="645">
        <f t="shared" si="108"/>
        <v>0</v>
      </c>
      <c r="BN190" s="645">
        <f t="shared" si="108"/>
        <v>0</v>
      </c>
      <c r="BO190" s="645">
        <f t="shared" si="108"/>
        <v>0</v>
      </c>
      <c r="BP190" s="645">
        <f t="shared" si="108"/>
        <v>0</v>
      </c>
      <c r="BQ190" s="645">
        <f t="shared" si="108"/>
        <v>0</v>
      </c>
      <c r="BR190" s="645">
        <f t="shared" si="108"/>
        <v>0</v>
      </c>
      <c r="BS190" s="645">
        <f t="shared" ref="BS190:CD190" si="109">SUM(BS191:BS193)</f>
        <v>0</v>
      </c>
      <c r="BT190" s="645">
        <f t="shared" si="109"/>
        <v>0</v>
      </c>
      <c r="BU190" s="645">
        <f t="shared" si="109"/>
        <v>0</v>
      </c>
      <c r="BV190" s="645">
        <f t="shared" si="109"/>
        <v>0</v>
      </c>
      <c r="BW190" s="645">
        <f t="shared" si="109"/>
        <v>0</v>
      </c>
      <c r="BX190" s="645">
        <f t="shared" si="109"/>
        <v>0</v>
      </c>
      <c r="BY190" s="645">
        <f t="shared" si="109"/>
        <v>0</v>
      </c>
      <c r="BZ190" s="645">
        <f t="shared" si="109"/>
        <v>0</v>
      </c>
      <c r="CA190" s="645">
        <f t="shared" si="109"/>
        <v>400000000</v>
      </c>
      <c r="CB190" s="645">
        <f t="shared" si="109"/>
        <v>80086260</v>
      </c>
      <c r="CC190" s="645">
        <f t="shared" si="109"/>
        <v>13575993</v>
      </c>
      <c r="CD190" s="645">
        <f t="shared" si="109"/>
        <v>9565693</v>
      </c>
      <c r="CE190" s="667">
        <f t="shared" si="79"/>
        <v>0</v>
      </c>
      <c r="CF190" s="668">
        <f t="shared" si="80"/>
        <v>80086260</v>
      </c>
      <c r="CG190" s="668">
        <f t="shared" si="80"/>
        <v>13575993</v>
      </c>
      <c r="CH190" s="669">
        <f t="shared" si="80"/>
        <v>9565693</v>
      </c>
      <c r="CJ190" s="1058"/>
      <c r="CK190" s="1076"/>
      <c r="CL190" s="1004">
        <f>+'[5]Anexo 5.2.A'!Z176</f>
        <v>0</v>
      </c>
      <c r="CM190" s="1004">
        <f>+'[5]Anexo 5.2.A'!AA176</f>
        <v>0</v>
      </c>
      <c r="CN190" s="1004">
        <f>+'[5]Anexo 5.2.A'!AB176</f>
        <v>0</v>
      </c>
    </row>
    <row r="191" spans="1:92" ht="49.5" x14ac:dyDescent="0.3">
      <c r="A191" s="670" t="s">
        <v>549</v>
      </c>
      <c r="B191" s="1005"/>
      <c r="C191" s="1008">
        <f>C$190*(B191/B$190)</f>
        <v>0</v>
      </c>
      <c r="D191" s="1008">
        <f t="shared" ref="D191:F193" si="110">D$190*(C191/C$190)</f>
        <v>0</v>
      </c>
      <c r="E191" s="1008">
        <f t="shared" si="110"/>
        <v>0</v>
      </c>
      <c r="F191" s="1008">
        <f t="shared" si="110"/>
        <v>0</v>
      </c>
      <c r="G191" s="1069"/>
      <c r="H191" s="1069"/>
      <c r="I191" s="1069"/>
      <c r="J191" s="1069"/>
      <c r="K191" s="1069"/>
      <c r="L191" s="1069"/>
      <c r="M191" s="1069"/>
      <c r="N191" s="1069"/>
      <c r="O191" s="1069"/>
      <c r="P191" s="1069"/>
      <c r="Q191" s="1069"/>
      <c r="R191" s="1069"/>
      <c r="S191" s="1069"/>
      <c r="T191" s="1069"/>
      <c r="U191" s="1069"/>
      <c r="V191" s="1069"/>
      <c r="W191" s="1069"/>
      <c r="X191" s="1069"/>
      <c r="Y191" s="1069"/>
      <c r="Z191" s="1069"/>
      <c r="AA191" s="1069"/>
      <c r="AB191" s="1069"/>
      <c r="AC191" s="1069"/>
      <c r="AD191" s="1069"/>
      <c r="AE191" s="1069"/>
      <c r="AF191" s="1069"/>
      <c r="AG191" s="1069"/>
      <c r="AH191" s="1069"/>
      <c r="AI191" s="1069"/>
      <c r="AJ191" s="1069"/>
      <c r="AK191" s="1069"/>
      <c r="AL191" s="1069"/>
      <c r="AM191" s="1069"/>
      <c r="AN191" s="1069"/>
      <c r="AO191" s="1069"/>
      <c r="AP191" s="1069"/>
      <c r="AQ191" s="1069"/>
      <c r="AR191" s="1069"/>
      <c r="AS191" s="1069"/>
      <c r="AT191" s="1069"/>
      <c r="AU191" s="1069"/>
      <c r="AV191" s="1069"/>
      <c r="AW191" s="1069"/>
      <c r="AX191" s="1069"/>
      <c r="AY191" s="1069"/>
      <c r="AZ191" s="1069"/>
      <c r="BA191" s="1069"/>
      <c r="BB191" s="1069"/>
      <c r="BC191" s="1069"/>
      <c r="BD191" s="1069"/>
      <c r="BE191" s="1069"/>
      <c r="BF191" s="1069"/>
      <c r="BG191" s="1069"/>
      <c r="BH191" s="1069"/>
      <c r="BI191" s="1069"/>
      <c r="BJ191" s="1069"/>
      <c r="BK191" s="1069"/>
      <c r="BL191" s="1068"/>
      <c r="BM191" s="1068"/>
      <c r="BN191" s="1068"/>
      <c r="BO191" s="1069"/>
      <c r="BP191" s="1069"/>
      <c r="BQ191" s="1069"/>
      <c r="BR191" s="1069"/>
      <c r="BS191" s="1069"/>
      <c r="BT191" s="1069"/>
      <c r="BU191" s="1069"/>
      <c r="BV191" s="1069"/>
      <c r="BW191" s="1069"/>
      <c r="BX191" s="1069"/>
      <c r="BY191" s="1069"/>
      <c r="BZ191" s="1069"/>
      <c r="CA191" s="640">
        <f t="shared" si="95"/>
        <v>0</v>
      </c>
      <c r="CB191" s="640">
        <f t="shared" si="95"/>
        <v>0</v>
      </c>
      <c r="CC191" s="640">
        <f t="shared" si="95"/>
        <v>0</v>
      </c>
      <c r="CD191" s="640">
        <f t="shared" si="94"/>
        <v>0</v>
      </c>
      <c r="CE191" s="641">
        <f t="shared" si="79"/>
        <v>0</v>
      </c>
      <c r="CF191" s="642">
        <f t="shared" si="80"/>
        <v>0</v>
      </c>
      <c r="CG191" s="642">
        <f t="shared" si="80"/>
        <v>0</v>
      </c>
      <c r="CH191" s="643">
        <f t="shared" si="80"/>
        <v>0</v>
      </c>
      <c r="CK191" s="39" t="s">
        <v>549</v>
      </c>
    </row>
    <row r="192" spans="1:92" ht="66" x14ac:dyDescent="0.3">
      <c r="A192" s="670" t="s">
        <v>552</v>
      </c>
      <c r="B192" s="1005">
        <v>200000000</v>
      </c>
      <c r="C192" s="1008">
        <f>C$190*(B192/B$190)</f>
        <v>200000000</v>
      </c>
      <c r="D192" s="1008">
        <f t="shared" si="110"/>
        <v>40043130</v>
      </c>
      <c r="E192" s="1008">
        <f t="shared" si="110"/>
        <v>6787996.5</v>
      </c>
      <c r="F192" s="1008">
        <f t="shared" si="110"/>
        <v>4782846.5</v>
      </c>
      <c r="G192" s="1069"/>
      <c r="H192" s="1069"/>
      <c r="I192" s="1069"/>
      <c r="J192" s="1069"/>
      <c r="K192" s="1069"/>
      <c r="L192" s="1069"/>
      <c r="M192" s="1069"/>
      <c r="N192" s="1069"/>
      <c r="O192" s="1069"/>
      <c r="P192" s="1069"/>
      <c r="Q192" s="1069"/>
      <c r="R192" s="1069"/>
      <c r="S192" s="1069"/>
      <c r="T192" s="1069"/>
      <c r="U192" s="1069"/>
      <c r="V192" s="1069"/>
      <c r="W192" s="1069"/>
      <c r="X192" s="1069"/>
      <c r="Y192" s="1069"/>
      <c r="Z192" s="1069"/>
      <c r="AA192" s="1069"/>
      <c r="AB192" s="1069"/>
      <c r="AC192" s="1069"/>
      <c r="AD192" s="1069"/>
      <c r="AE192" s="1069"/>
      <c r="AF192" s="1069"/>
      <c r="AG192" s="1069"/>
      <c r="AH192" s="1069"/>
      <c r="AI192" s="1069"/>
      <c r="AJ192" s="1069"/>
      <c r="AK192" s="1069"/>
      <c r="AL192" s="994"/>
      <c r="AM192" s="1069"/>
      <c r="AN192" s="1069"/>
      <c r="AO192" s="1069"/>
      <c r="AP192" s="1069"/>
      <c r="AQ192" s="1069"/>
      <c r="AR192" s="1069"/>
      <c r="AS192" s="1069"/>
      <c r="AT192" s="1069"/>
      <c r="AU192" s="1069"/>
      <c r="AV192" s="1069"/>
      <c r="AW192" s="1069"/>
      <c r="AX192" s="1069"/>
      <c r="AY192" s="1069"/>
      <c r="AZ192" s="1069"/>
      <c r="BA192" s="1069"/>
      <c r="BB192" s="1069"/>
      <c r="BC192" s="1069"/>
      <c r="BD192" s="1069"/>
      <c r="BE192" s="1069"/>
      <c r="BF192" s="1069"/>
      <c r="BG192" s="1069"/>
      <c r="BH192" s="1069"/>
      <c r="BI192" s="1069"/>
      <c r="BJ192" s="1069"/>
      <c r="BK192" s="988"/>
      <c r="BL192" s="988"/>
      <c r="BM192" s="988"/>
      <c r="BN192" s="988"/>
      <c r="BO192" s="1069"/>
      <c r="BP192" s="1069"/>
      <c r="BQ192" s="1069"/>
      <c r="BR192" s="1069"/>
      <c r="BS192" s="1069"/>
      <c r="BT192" s="1069"/>
      <c r="BU192" s="1069"/>
      <c r="BV192" s="1069"/>
      <c r="BW192" s="1069"/>
      <c r="BX192" s="1069"/>
      <c r="BY192" s="1069"/>
      <c r="BZ192" s="1069"/>
      <c r="CA192" s="640">
        <f t="shared" si="95"/>
        <v>200000000</v>
      </c>
      <c r="CB192" s="640">
        <f t="shared" si="95"/>
        <v>40043130</v>
      </c>
      <c r="CC192" s="640">
        <f t="shared" si="95"/>
        <v>6787996.5</v>
      </c>
      <c r="CD192" s="640">
        <f t="shared" si="94"/>
        <v>4782846.5</v>
      </c>
      <c r="CE192" s="641">
        <f t="shared" si="79"/>
        <v>0</v>
      </c>
      <c r="CF192" s="642">
        <f t="shared" si="80"/>
        <v>28835170</v>
      </c>
      <c r="CG192" s="642">
        <f t="shared" si="80"/>
        <v>-4419963.5</v>
      </c>
      <c r="CH192" s="643">
        <f t="shared" si="80"/>
        <v>4782846.5</v>
      </c>
      <c r="CK192" s="39" t="s">
        <v>552</v>
      </c>
      <c r="CL192" s="638">
        <v>11207960</v>
      </c>
      <c r="CM192" s="638">
        <v>11207960</v>
      </c>
    </row>
    <row r="193" spans="1:92" ht="66" x14ac:dyDescent="0.3">
      <c r="A193" s="670" t="s">
        <v>554</v>
      </c>
      <c r="B193" s="1005">
        <v>200000000</v>
      </c>
      <c r="C193" s="1008">
        <f>C$190*(B193/B$190)</f>
        <v>200000000</v>
      </c>
      <c r="D193" s="1008">
        <f t="shared" si="110"/>
        <v>40043130</v>
      </c>
      <c r="E193" s="1008">
        <f t="shared" si="110"/>
        <v>6787996.5</v>
      </c>
      <c r="F193" s="1008">
        <f t="shared" si="110"/>
        <v>4782846.5</v>
      </c>
      <c r="G193" s="1069"/>
      <c r="H193" s="1069"/>
      <c r="I193" s="1069"/>
      <c r="J193" s="1069"/>
      <c r="K193" s="1069"/>
      <c r="L193" s="1069"/>
      <c r="M193" s="1069"/>
      <c r="N193" s="1069"/>
      <c r="O193" s="1069"/>
      <c r="P193" s="1069"/>
      <c r="Q193" s="1069"/>
      <c r="R193" s="1069"/>
      <c r="S193" s="1069"/>
      <c r="T193" s="1069"/>
      <c r="U193" s="1069"/>
      <c r="V193" s="1069"/>
      <c r="W193" s="1069"/>
      <c r="X193" s="1069"/>
      <c r="Y193" s="1069"/>
      <c r="Z193" s="1069"/>
      <c r="AA193" s="1069"/>
      <c r="AB193" s="1069"/>
      <c r="AC193" s="1069"/>
      <c r="AD193" s="1069"/>
      <c r="AE193" s="1069"/>
      <c r="AF193" s="1069"/>
      <c r="AG193" s="1069"/>
      <c r="AH193" s="1069"/>
      <c r="AI193" s="1069"/>
      <c r="AJ193" s="1069"/>
      <c r="AK193" s="1069"/>
      <c r="AL193" s="994"/>
      <c r="AM193" s="1069"/>
      <c r="AN193" s="1069"/>
      <c r="AO193" s="1069"/>
      <c r="AP193" s="1069"/>
      <c r="AQ193" s="1069"/>
      <c r="AR193" s="1069"/>
      <c r="AS193" s="1069"/>
      <c r="AT193" s="1069"/>
      <c r="AU193" s="1069"/>
      <c r="AV193" s="1069"/>
      <c r="AW193" s="1069"/>
      <c r="AX193" s="1069"/>
      <c r="AY193" s="1069"/>
      <c r="AZ193" s="1069"/>
      <c r="BA193" s="1069"/>
      <c r="BB193" s="1069"/>
      <c r="BC193" s="1069"/>
      <c r="BD193" s="1069"/>
      <c r="BE193" s="1069"/>
      <c r="BF193" s="1069"/>
      <c r="BG193" s="1069"/>
      <c r="BH193" s="1069"/>
      <c r="BI193" s="1069"/>
      <c r="BJ193" s="1069"/>
      <c r="BK193" s="988"/>
      <c r="BL193" s="988"/>
      <c r="BM193" s="988"/>
      <c r="BN193" s="988"/>
      <c r="BO193" s="1069"/>
      <c r="BP193" s="1069"/>
      <c r="BQ193" s="1069"/>
      <c r="BR193" s="1069"/>
      <c r="BS193" s="1069"/>
      <c r="BT193" s="1069"/>
      <c r="BU193" s="1069"/>
      <c r="BV193" s="1069"/>
      <c r="BW193" s="1069"/>
      <c r="BX193" s="1069"/>
      <c r="BY193" s="1069"/>
      <c r="BZ193" s="1069"/>
      <c r="CA193" s="640">
        <f t="shared" si="95"/>
        <v>200000000</v>
      </c>
      <c r="CB193" s="640">
        <f t="shared" si="95"/>
        <v>40043130</v>
      </c>
      <c r="CC193" s="640">
        <f t="shared" si="95"/>
        <v>6787996.5</v>
      </c>
      <c r="CD193" s="640">
        <f t="shared" si="94"/>
        <v>4782846.5</v>
      </c>
      <c r="CE193" s="641">
        <f t="shared" si="79"/>
        <v>0</v>
      </c>
      <c r="CF193" s="642">
        <f t="shared" si="80"/>
        <v>28835170</v>
      </c>
      <c r="CG193" s="642">
        <f t="shared" si="80"/>
        <v>-4419963.5</v>
      </c>
      <c r="CH193" s="643">
        <f t="shared" si="80"/>
        <v>4782846.5</v>
      </c>
      <c r="CK193" s="39" t="s">
        <v>554</v>
      </c>
      <c r="CL193" s="638">
        <v>11207960</v>
      </c>
      <c r="CM193" s="638">
        <v>11207960</v>
      </c>
    </row>
    <row r="194" spans="1:92" s="1057" customFormat="1" ht="33" x14ac:dyDescent="0.25">
      <c r="A194" s="644" t="s">
        <v>557</v>
      </c>
      <c r="B194" s="645">
        <v>200000000</v>
      </c>
      <c r="C194" s="645">
        <v>200000000</v>
      </c>
      <c r="D194" s="645">
        <v>91974036</v>
      </c>
      <c r="E194" s="645">
        <v>43388569</v>
      </c>
      <c r="F194" s="645">
        <v>39010569</v>
      </c>
      <c r="G194" s="645">
        <f t="shared" ref="G194:BR194" si="111">SUM(G195:G198)</f>
        <v>0</v>
      </c>
      <c r="H194" s="645">
        <f t="shared" si="111"/>
        <v>0</v>
      </c>
      <c r="I194" s="645">
        <f t="shared" si="111"/>
        <v>0</v>
      </c>
      <c r="J194" s="645">
        <f t="shared" si="111"/>
        <v>0</v>
      </c>
      <c r="K194" s="645">
        <f t="shared" si="111"/>
        <v>0</v>
      </c>
      <c r="L194" s="645">
        <f t="shared" si="111"/>
        <v>0</v>
      </c>
      <c r="M194" s="645">
        <f t="shared" si="111"/>
        <v>0</v>
      </c>
      <c r="N194" s="645">
        <f t="shared" si="111"/>
        <v>0</v>
      </c>
      <c r="O194" s="645">
        <f t="shared" si="111"/>
        <v>0</v>
      </c>
      <c r="P194" s="645">
        <f t="shared" si="111"/>
        <v>0</v>
      </c>
      <c r="Q194" s="645">
        <f t="shared" si="111"/>
        <v>0</v>
      </c>
      <c r="R194" s="645">
        <f t="shared" si="111"/>
        <v>0</v>
      </c>
      <c r="S194" s="645">
        <f t="shared" si="111"/>
        <v>0</v>
      </c>
      <c r="T194" s="645">
        <f t="shared" si="111"/>
        <v>0</v>
      </c>
      <c r="U194" s="645">
        <f t="shared" si="111"/>
        <v>0</v>
      </c>
      <c r="V194" s="645">
        <f t="shared" si="111"/>
        <v>0</v>
      </c>
      <c r="W194" s="645">
        <f t="shared" si="111"/>
        <v>0</v>
      </c>
      <c r="X194" s="645">
        <f t="shared" si="111"/>
        <v>0</v>
      </c>
      <c r="Y194" s="645">
        <f t="shared" si="111"/>
        <v>0</v>
      </c>
      <c r="Z194" s="645">
        <f t="shared" si="111"/>
        <v>0</v>
      </c>
      <c r="AA194" s="645">
        <f t="shared" si="111"/>
        <v>0</v>
      </c>
      <c r="AB194" s="645">
        <f t="shared" si="111"/>
        <v>0</v>
      </c>
      <c r="AC194" s="645">
        <f t="shared" si="111"/>
        <v>0</v>
      </c>
      <c r="AD194" s="645">
        <f t="shared" si="111"/>
        <v>0</v>
      </c>
      <c r="AE194" s="645">
        <f t="shared" si="111"/>
        <v>0</v>
      </c>
      <c r="AF194" s="645">
        <f t="shared" si="111"/>
        <v>0</v>
      </c>
      <c r="AG194" s="645">
        <f t="shared" si="111"/>
        <v>0</v>
      </c>
      <c r="AH194" s="645">
        <f t="shared" si="111"/>
        <v>0</v>
      </c>
      <c r="AI194" s="645">
        <v>0</v>
      </c>
      <c r="AJ194" s="645">
        <v>0</v>
      </c>
      <c r="AK194" s="645">
        <v>0</v>
      </c>
      <c r="AL194" s="645">
        <v>0</v>
      </c>
      <c r="AM194" s="645">
        <f t="shared" si="111"/>
        <v>0</v>
      </c>
      <c r="AN194" s="645">
        <f t="shared" si="111"/>
        <v>0</v>
      </c>
      <c r="AO194" s="645">
        <f t="shared" si="111"/>
        <v>0</v>
      </c>
      <c r="AP194" s="645">
        <f t="shared" si="111"/>
        <v>0</v>
      </c>
      <c r="AQ194" s="645">
        <v>0</v>
      </c>
      <c r="AR194" s="645">
        <v>0</v>
      </c>
      <c r="AS194" s="645">
        <v>0</v>
      </c>
      <c r="AT194" s="645">
        <v>0</v>
      </c>
      <c r="AU194" s="645">
        <f t="shared" si="111"/>
        <v>0</v>
      </c>
      <c r="AV194" s="645">
        <f t="shared" si="111"/>
        <v>0</v>
      </c>
      <c r="AW194" s="645">
        <f t="shared" si="111"/>
        <v>0</v>
      </c>
      <c r="AX194" s="645">
        <f t="shared" si="111"/>
        <v>0</v>
      </c>
      <c r="AY194" s="645">
        <f t="shared" si="111"/>
        <v>0</v>
      </c>
      <c r="AZ194" s="645">
        <f t="shared" si="111"/>
        <v>0</v>
      </c>
      <c r="BA194" s="645">
        <f t="shared" si="111"/>
        <v>0</v>
      </c>
      <c r="BB194" s="645">
        <f t="shared" si="111"/>
        <v>0</v>
      </c>
      <c r="BC194" s="645">
        <f t="shared" si="111"/>
        <v>0</v>
      </c>
      <c r="BD194" s="645">
        <f t="shared" si="111"/>
        <v>0</v>
      </c>
      <c r="BE194" s="645">
        <f t="shared" si="111"/>
        <v>0</v>
      </c>
      <c r="BF194" s="645">
        <f t="shared" si="111"/>
        <v>0</v>
      </c>
      <c r="BG194" s="645">
        <f t="shared" si="111"/>
        <v>0</v>
      </c>
      <c r="BH194" s="645">
        <f t="shared" si="111"/>
        <v>0</v>
      </c>
      <c r="BI194" s="645">
        <f t="shared" si="111"/>
        <v>0</v>
      </c>
      <c r="BJ194" s="645">
        <f t="shared" si="111"/>
        <v>0</v>
      </c>
      <c r="BK194" s="645">
        <f t="shared" si="111"/>
        <v>0</v>
      </c>
      <c r="BL194" s="645">
        <f t="shared" si="111"/>
        <v>0</v>
      </c>
      <c r="BM194" s="645">
        <f t="shared" si="111"/>
        <v>0</v>
      </c>
      <c r="BN194" s="645">
        <f t="shared" si="111"/>
        <v>0</v>
      </c>
      <c r="BO194" s="645">
        <f t="shared" si="111"/>
        <v>0</v>
      </c>
      <c r="BP194" s="645">
        <f t="shared" si="111"/>
        <v>0</v>
      </c>
      <c r="BQ194" s="645">
        <f t="shared" si="111"/>
        <v>0</v>
      </c>
      <c r="BR194" s="645">
        <f t="shared" si="111"/>
        <v>0</v>
      </c>
      <c r="BS194" s="645">
        <f t="shared" ref="BS194:CD194" si="112">SUM(BS195:BS198)</f>
        <v>0</v>
      </c>
      <c r="BT194" s="645">
        <f t="shared" si="112"/>
        <v>0</v>
      </c>
      <c r="BU194" s="645">
        <f t="shared" si="112"/>
        <v>0</v>
      </c>
      <c r="BV194" s="645">
        <f t="shared" si="112"/>
        <v>0</v>
      </c>
      <c r="BW194" s="645">
        <f t="shared" si="112"/>
        <v>0</v>
      </c>
      <c r="BX194" s="645">
        <f t="shared" si="112"/>
        <v>0</v>
      </c>
      <c r="BY194" s="645">
        <f t="shared" si="112"/>
        <v>0</v>
      </c>
      <c r="BZ194" s="645">
        <f t="shared" si="112"/>
        <v>0</v>
      </c>
      <c r="CA194" s="645">
        <f t="shared" si="112"/>
        <v>200000000</v>
      </c>
      <c r="CB194" s="645">
        <f t="shared" si="112"/>
        <v>91974036</v>
      </c>
      <c r="CC194" s="645">
        <f t="shared" si="112"/>
        <v>43388569</v>
      </c>
      <c r="CD194" s="645">
        <f t="shared" si="112"/>
        <v>39010569</v>
      </c>
      <c r="CE194" s="667">
        <f t="shared" si="79"/>
        <v>0</v>
      </c>
      <c r="CF194" s="668">
        <f t="shared" si="80"/>
        <v>91974036</v>
      </c>
      <c r="CG194" s="668">
        <f t="shared" si="80"/>
        <v>43388569</v>
      </c>
      <c r="CH194" s="669">
        <f t="shared" si="80"/>
        <v>39010569</v>
      </c>
      <c r="CJ194" s="1058"/>
      <c r="CK194" s="1076"/>
      <c r="CL194" s="1004">
        <f>+'[5]Anexo 5.2.A'!Z180</f>
        <v>0</v>
      </c>
      <c r="CM194" s="1004">
        <f>+'[5]Anexo 5.2.A'!AA180</f>
        <v>0</v>
      </c>
      <c r="CN194" s="1004">
        <f>+'[5]Anexo 5.2.A'!AB180</f>
        <v>0</v>
      </c>
    </row>
    <row r="195" spans="1:92" ht="33" x14ac:dyDescent="0.3">
      <c r="A195" s="1066" t="s">
        <v>558</v>
      </c>
      <c r="B195" s="1005">
        <v>50000000</v>
      </c>
      <c r="C195" s="1008">
        <f>C$194*(B195/B$194)</f>
        <v>50000000</v>
      </c>
      <c r="D195" s="1008">
        <f t="shared" ref="D195:F195" si="113">D$194*(C195/C$194)</f>
        <v>22993509</v>
      </c>
      <c r="E195" s="1008">
        <f t="shared" si="113"/>
        <v>10847142.25</v>
      </c>
      <c r="F195" s="1008">
        <f t="shared" si="113"/>
        <v>9752642.25</v>
      </c>
      <c r="G195" s="1069"/>
      <c r="H195" s="1069"/>
      <c r="I195" s="1069"/>
      <c r="J195" s="1069"/>
      <c r="K195" s="1069"/>
      <c r="L195" s="1069"/>
      <c r="M195" s="1069"/>
      <c r="N195" s="1069"/>
      <c r="O195" s="1069"/>
      <c r="P195" s="1069"/>
      <c r="Q195" s="1069"/>
      <c r="R195" s="1069"/>
      <c r="S195" s="1069"/>
      <c r="T195" s="1069"/>
      <c r="U195" s="1069"/>
      <c r="V195" s="1069"/>
      <c r="W195" s="1069"/>
      <c r="X195" s="1069"/>
      <c r="Y195" s="1069"/>
      <c r="Z195" s="1069"/>
      <c r="AA195" s="1069"/>
      <c r="AB195" s="1069"/>
      <c r="AC195" s="1069"/>
      <c r="AD195" s="1069"/>
      <c r="AE195" s="1069"/>
      <c r="AF195" s="1069"/>
      <c r="AG195" s="1069"/>
      <c r="AH195" s="1069"/>
      <c r="AI195" s="1008"/>
      <c r="AJ195" s="1069"/>
      <c r="AK195" s="1069"/>
      <c r="AL195" s="994"/>
      <c r="AM195" s="1069"/>
      <c r="AN195" s="1069"/>
      <c r="AO195" s="1069"/>
      <c r="AP195" s="1069"/>
      <c r="AQ195" s="1069"/>
      <c r="AR195" s="1069"/>
      <c r="AS195" s="1069"/>
      <c r="AT195" s="1069"/>
      <c r="AU195" s="1069"/>
      <c r="AV195" s="1069"/>
      <c r="AW195" s="1069"/>
      <c r="AX195" s="1069"/>
      <c r="AY195" s="1069"/>
      <c r="AZ195" s="1069"/>
      <c r="BA195" s="1069"/>
      <c r="BB195" s="1069"/>
      <c r="BC195" s="1069"/>
      <c r="BD195" s="1069"/>
      <c r="BE195" s="1069"/>
      <c r="BF195" s="1069"/>
      <c r="BG195" s="1069"/>
      <c r="BH195" s="1069"/>
      <c r="BI195" s="1069"/>
      <c r="BJ195" s="1069"/>
      <c r="BK195" s="1008"/>
      <c r="BL195" s="1008"/>
      <c r="BM195" s="1008"/>
      <c r="BN195" s="1008"/>
      <c r="BO195" s="1069"/>
      <c r="BP195" s="1069"/>
      <c r="BQ195" s="1069"/>
      <c r="BR195" s="1069"/>
      <c r="BS195" s="1069"/>
      <c r="BT195" s="1069"/>
      <c r="BU195" s="1069"/>
      <c r="BV195" s="1069"/>
      <c r="BW195" s="1069"/>
      <c r="BX195" s="1069"/>
      <c r="BY195" s="1069"/>
      <c r="BZ195" s="1069"/>
      <c r="CA195" s="640">
        <f t="shared" si="95"/>
        <v>50000000</v>
      </c>
      <c r="CB195" s="640">
        <f t="shared" si="95"/>
        <v>22993509</v>
      </c>
      <c r="CC195" s="640">
        <f t="shared" si="95"/>
        <v>10847142.25</v>
      </c>
      <c r="CD195" s="640">
        <f t="shared" si="94"/>
        <v>9752642.25</v>
      </c>
      <c r="CE195" s="641">
        <f t="shared" ref="CE195:CE210" si="114">+CA195-B195</f>
        <v>0</v>
      </c>
      <c r="CF195" s="642">
        <f t="shared" ref="CF195:CH210" si="115">+CB195-CL195</f>
        <v>-66829089.5</v>
      </c>
      <c r="CG195" s="642">
        <f t="shared" si="115"/>
        <v>-75859862.5</v>
      </c>
      <c r="CH195" s="643">
        <f t="shared" si="115"/>
        <v>9752642.25</v>
      </c>
      <c r="CK195" s="1013" t="s">
        <v>558</v>
      </c>
      <c r="CL195" s="638">
        <v>89822598.5</v>
      </c>
      <c r="CM195" s="638">
        <v>86707004.75</v>
      </c>
    </row>
    <row r="196" spans="1:92" ht="33" x14ac:dyDescent="0.3">
      <c r="A196" s="1066" t="s">
        <v>562</v>
      </c>
      <c r="B196" s="1005">
        <v>50000000</v>
      </c>
      <c r="C196" s="1008">
        <f t="shared" ref="C196:F198" si="116">C$194*(B196/B$194)</f>
        <v>50000000</v>
      </c>
      <c r="D196" s="1008">
        <f t="shared" si="116"/>
        <v>22993509</v>
      </c>
      <c r="E196" s="1008">
        <f t="shared" si="116"/>
        <v>10847142.25</v>
      </c>
      <c r="F196" s="1008">
        <f t="shared" si="116"/>
        <v>9752642.25</v>
      </c>
      <c r="G196" s="1069"/>
      <c r="H196" s="1069"/>
      <c r="I196" s="1069"/>
      <c r="J196" s="1069"/>
      <c r="K196" s="1069"/>
      <c r="L196" s="1069"/>
      <c r="M196" s="1069"/>
      <c r="N196" s="1069"/>
      <c r="O196" s="1069"/>
      <c r="P196" s="1069"/>
      <c r="Q196" s="1069"/>
      <c r="R196" s="1069"/>
      <c r="S196" s="1069"/>
      <c r="T196" s="1069"/>
      <c r="U196" s="1069"/>
      <c r="V196" s="1069"/>
      <c r="W196" s="1069"/>
      <c r="X196" s="1069"/>
      <c r="Y196" s="1069"/>
      <c r="Z196" s="1069"/>
      <c r="AA196" s="1069"/>
      <c r="AB196" s="1069"/>
      <c r="AC196" s="1069"/>
      <c r="AD196" s="1069"/>
      <c r="AE196" s="1069"/>
      <c r="AF196" s="1069"/>
      <c r="AG196" s="1069"/>
      <c r="AH196" s="1069"/>
      <c r="AI196" s="1008"/>
      <c r="AJ196" s="1008"/>
      <c r="AK196" s="1008"/>
      <c r="AL196" s="1008"/>
      <c r="AM196" s="1069"/>
      <c r="AN196" s="1069"/>
      <c r="AO196" s="1069"/>
      <c r="AP196" s="1069"/>
      <c r="AQ196" s="1069"/>
      <c r="AR196" s="1069"/>
      <c r="AS196" s="1069"/>
      <c r="AT196" s="1069"/>
      <c r="AU196" s="1069"/>
      <c r="AV196" s="1069"/>
      <c r="AW196" s="1069"/>
      <c r="AX196" s="1069"/>
      <c r="AY196" s="1069"/>
      <c r="AZ196" s="1069"/>
      <c r="BA196" s="1069"/>
      <c r="BB196" s="1069"/>
      <c r="BC196" s="1069"/>
      <c r="BD196" s="1069"/>
      <c r="BE196" s="1069"/>
      <c r="BF196" s="1069"/>
      <c r="BG196" s="1069"/>
      <c r="BH196" s="1069"/>
      <c r="BI196" s="1069"/>
      <c r="BJ196" s="1069"/>
      <c r="BK196" s="988"/>
      <c r="BL196" s="988"/>
      <c r="BM196" s="988"/>
      <c r="BN196" s="988"/>
      <c r="BO196" s="1069"/>
      <c r="BP196" s="1069"/>
      <c r="BQ196" s="1069"/>
      <c r="BR196" s="1069"/>
      <c r="BS196" s="1069"/>
      <c r="BT196" s="1069"/>
      <c r="BU196" s="1069"/>
      <c r="BV196" s="1069"/>
      <c r="BW196" s="1069"/>
      <c r="BX196" s="1069"/>
      <c r="BY196" s="1069"/>
      <c r="BZ196" s="1069"/>
      <c r="CA196" s="640">
        <f t="shared" si="95"/>
        <v>50000000</v>
      </c>
      <c r="CB196" s="640">
        <f t="shared" si="95"/>
        <v>22993509</v>
      </c>
      <c r="CC196" s="640">
        <f t="shared" si="95"/>
        <v>10847142.25</v>
      </c>
      <c r="CD196" s="640">
        <f t="shared" si="94"/>
        <v>9752642.25</v>
      </c>
      <c r="CE196" s="641">
        <f t="shared" si="114"/>
        <v>0</v>
      </c>
      <c r="CF196" s="642">
        <f t="shared" si="115"/>
        <v>-66829089.5</v>
      </c>
      <c r="CG196" s="642">
        <f t="shared" si="115"/>
        <v>-75859862.5</v>
      </c>
      <c r="CH196" s="643">
        <f t="shared" si="115"/>
        <v>9752642.25</v>
      </c>
      <c r="CK196" s="39" t="s">
        <v>562</v>
      </c>
      <c r="CL196" s="638">
        <v>89822598.5</v>
      </c>
      <c r="CM196" s="638">
        <v>86707004.75</v>
      </c>
    </row>
    <row r="197" spans="1:92" ht="33" x14ac:dyDescent="0.3">
      <c r="A197" s="1066" t="s">
        <v>565</v>
      </c>
      <c r="B197" s="1005">
        <v>50000000</v>
      </c>
      <c r="C197" s="1008">
        <f t="shared" si="116"/>
        <v>50000000</v>
      </c>
      <c r="D197" s="1008">
        <f t="shared" si="116"/>
        <v>22993509</v>
      </c>
      <c r="E197" s="1008">
        <f t="shared" si="116"/>
        <v>10847142.25</v>
      </c>
      <c r="F197" s="1008">
        <f t="shared" si="116"/>
        <v>9752642.25</v>
      </c>
      <c r="G197" s="1069"/>
      <c r="H197" s="1069"/>
      <c r="I197" s="1069"/>
      <c r="J197" s="1069"/>
      <c r="K197" s="1069"/>
      <c r="L197" s="1069"/>
      <c r="M197" s="1069"/>
      <c r="N197" s="1069"/>
      <c r="O197" s="1069"/>
      <c r="P197" s="1069"/>
      <c r="Q197" s="1069"/>
      <c r="R197" s="1069"/>
      <c r="S197" s="1069"/>
      <c r="T197" s="1069"/>
      <c r="U197" s="1069"/>
      <c r="V197" s="1069"/>
      <c r="W197" s="1069"/>
      <c r="X197" s="1069"/>
      <c r="Y197" s="1069"/>
      <c r="Z197" s="1069"/>
      <c r="AA197" s="1069"/>
      <c r="AB197" s="1069"/>
      <c r="AC197" s="1069"/>
      <c r="AD197" s="1069"/>
      <c r="AE197" s="1069"/>
      <c r="AF197" s="1069"/>
      <c r="AG197" s="1069"/>
      <c r="AH197" s="1069"/>
      <c r="AI197" s="1008"/>
      <c r="AJ197" s="1008"/>
      <c r="AK197" s="1008"/>
      <c r="AL197" s="1008"/>
      <c r="AM197" s="1069"/>
      <c r="AN197" s="1069"/>
      <c r="AO197" s="1069"/>
      <c r="AP197" s="1069"/>
      <c r="AQ197" s="1069"/>
      <c r="AR197" s="1069"/>
      <c r="AS197" s="1069"/>
      <c r="AT197" s="1069"/>
      <c r="AU197" s="1069"/>
      <c r="AV197" s="1069"/>
      <c r="AW197" s="1069"/>
      <c r="AX197" s="1069"/>
      <c r="AY197" s="1069"/>
      <c r="AZ197" s="1069"/>
      <c r="BA197" s="1069"/>
      <c r="BB197" s="1069"/>
      <c r="BC197" s="1069"/>
      <c r="BD197" s="1069"/>
      <c r="BE197" s="1069"/>
      <c r="BF197" s="1069"/>
      <c r="BG197" s="1069"/>
      <c r="BH197" s="1069"/>
      <c r="BI197" s="1069"/>
      <c r="BJ197" s="1069"/>
      <c r="BK197" s="988"/>
      <c r="BL197" s="988"/>
      <c r="BM197" s="988"/>
      <c r="BN197" s="988"/>
      <c r="BO197" s="1069"/>
      <c r="BP197" s="1069"/>
      <c r="BQ197" s="1069"/>
      <c r="BR197" s="1069"/>
      <c r="BS197" s="1069"/>
      <c r="BT197" s="1069"/>
      <c r="BU197" s="1069"/>
      <c r="BV197" s="1069"/>
      <c r="BW197" s="1069"/>
      <c r="BX197" s="1069"/>
      <c r="BY197" s="1069"/>
      <c r="BZ197" s="1069"/>
      <c r="CA197" s="640">
        <f t="shared" si="95"/>
        <v>50000000</v>
      </c>
      <c r="CB197" s="640">
        <f t="shared" si="95"/>
        <v>22993509</v>
      </c>
      <c r="CC197" s="640">
        <f t="shared" si="95"/>
        <v>10847142.25</v>
      </c>
      <c r="CD197" s="640">
        <f t="shared" si="94"/>
        <v>9752642.25</v>
      </c>
      <c r="CE197" s="641">
        <f t="shared" si="114"/>
        <v>0</v>
      </c>
      <c r="CF197" s="642">
        <f t="shared" si="115"/>
        <v>-66829089.5</v>
      </c>
      <c r="CG197" s="642">
        <f t="shared" si="115"/>
        <v>-75859862.5</v>
      </c>
      <c r="CH197" s="643">
        <f t="shared" si="115"/>
        <v>9752642.25</v>
      </c>
      <c r="CK197" s="39" t="s">
        <v>565</v>
      </c>
      <c r="CL197" s="638">
        <v>89822598.5</v>
      </c>
      <c r="CM197" s="638">
        <v>86707004.75</v>
      </c>
    </row>
    <row r="198" spans="1:92" ht="49.5" x14ac:dyDescent="0.3">
      <c r="A198" s="1066" t="s">
        <v>568</v>
      </c>
      <c r="B198" s="1005">
        <v>50000000</v>
      </c>
      <c r="C198" s="1008">
        <f t="shared" si="116"/>
        <v>50000000</v>
      </c>
      <c r="D198" s="1008">
        <f t="shared" si="116"/>
        <v>22993509</v>
      </c>
      <c r="E198" s="1008">
        <f t="shared" si="116"/>
        <v>10847142.25</v>
      </c>
      <c r="F198" s="1008">
        <f t="shared" si="116"/>
        <v>9752642.25</v>
      </c>
      <c r="G198" s="1069"/>
      <c r="H198" s="1069"/>
      <c r="I198" s="1069"/>
      <c r="J198" s="1069"/>
      <c r="K198" s="1069"/>
      <c r="L198" s="1069"/>
      <c r="M198" s="1069"/>
      <c r="N198" s="1069"/>
      <c r="O198" s="1069"/>
      <c r="P198" s="1069"/>
      <c r="Q198" s="1069"/>
      <c r="R198" s="1069"/>
      <c r="S198" s="1069"/>
      <c r="T198" s="1069"/>
      <c r="U198" s="1069"/>
      <c r="V198" s="1069"/>
      <c r="W198" s="1069"/>
      <c r="X198" s="1069"/>
      <c r="Y198" s="1069"/>
      <c r="Z198" s="1069"/>
      <c r="AA198" s="1069"/>
      <c r="AB198" s="1069"/>
      <c r="AC198" s="1069"/>
      <c r="AD198" s="1069"/>
      <c r="AE198" s="1069"/>
      <c r="AF198" s="1069"/>
      <c r="AG198" s="1069"/>
      <c r="AH198" s="1069"/>
      <c r="AI198" s="1008"/>
      <c r="AJ198" s="1008"/>
      <c r="AK198" s="1008"/>
      <c r="AL198" s="1008"/>
      <c r="AM198" s="1069"/>
      <c r="AN198" s="1069"/>
      <c r="AO198" s="1069"/>
      <c r="AP198" s="1069"/>
      <c r="AQ198" s="1069"/>
      <c r="AR198" s="1069"/>
      <c r="AS198" s="1069"/>
      <c r="AT198" s="1069"/>
      <c r="AU198" s="1069"/>
      <c r="AV198" s="1069"/>
      <c r="AW198" s="1069"/>
      <c r="AX198" s="1069"/>
      <c r="AY198" s="1069"/>
      <c r="AZ198" s="1069"/>
      <c r="BA198" s="1069"/>
      <c r="BB198" s="1069"/>
      <c r="BC198" s="1069"/>
      <c r="BD198" s="1069"/>
      <c r="BE198" s="1069"/>
      <c r="BF198" s="1069"/>
      <c r="BG198" s="1069"/>
      <c r="BH198" s="1069"/>
      <c r="BI198" s="1069"/>
      <c r="BJ198" s="1069"/>
      <c r="BK198" s="988"/>
      <c r="BL198" s="988"/>
      <c r="BM198" s="988"/>
      <c r="BN198" s="988"/>
      <c r="BO198" s="1069"/>
      <c r="BP198" s="1069"/>
      <c r="BQ198" s="1069"/>
      <c r="BR198" s="1069"/>
      <c r="BS198" s="1069"/>
      <c r="BT198" s="1069"/>
      <c r="BU198" s="1069"/>
      <c r="BV198" s="1069"/>
      <c r="BW198" s="1069"/>
      <c r="BX198" s="1069"/>
      <c r="BY198" s="1069"/>
      <c r="BZ198" s="1069"/>
      <c r="CA198" s="640">
        <f t="shared" si="95"/>
        <v>50000000</v>
      </c>
      <c r="CB198" s="640">
        <f t="shared" si="95"/>
        <v>22993509</v>
      </c>
      <c r="CC198" s="640">
        <f t="shared" si="95"/>
        <v>10847142.25</v>
      </c>
      <c r="CD198" s="640">
        <f t="shared" si="94"/>
        <v>9752642.25</v>
      </c>
      <c r="CE198" s="641">
        <f t="shared" si="114"/>
        <v>0</v>
      </c>
      <c r="CF198" s="642">
        <f t="shared" si="115"/>
        <v>-66829089.5</v>
      </c>
      <c r="CG198" s="642">
        <f t="shared" si="115"/>
        <v>-75859862.5</v>
      </c>
      <c r="CH198" s="643">
        <f t="shared" si="115"/>
        <v>9752642.25</v>
      </c>
      <c r="CK198" s="39" t="s">
        <v>568</v>
      </c>
      <c r="CL198" s="638">
        <v>89822598.5</v>
      </c>
      <c r="CM198" s="638">
        <v>86707004.75</v>
      </c>
    </row>
    <row r="199" spans="1:92" s="1057" customFormat="1" ht="33" x14ac:dyDescent="0.25">
      <c r="A199" s="644" t="s">
        <v>571</v>
      </c>
      <c r="B199" s="645">
        <v>100000000</v>
      </c>
      <c r="C199" s="645">
        <v>100000000</v>
      </c>
      <c r="D199" s="645">
        <v>65064430</v>
      </c>
      <c r="E199" s="645">
        <v>21938162</v>
      </c>
      <c r="F199" s="645">
        <v>21393212</v>
      </c>
      <c r="G199" s="645">
        <f t="shared" ref="G199:BR199" si="117">SUM(G200:G205)</f>
        <v>0</v>
      </c>
      <c r="H199" s="645">
        <f t="shared" si="117"/>
        <v>0</v>
      </c>
      <c r="I199" s="645">
        <f t="shared" si="117"/>
        <v>0</v>
      </c>
      <c r="J199" s="645">
        <f t="shared" si="117"/>
        <v>0</v>
      </c>
      <c r="K199" s="645">
        <f t="shared" si="117"/>
        <v>0</v>
      </c>
      <c r="L199" s="645">
        <f t="shared" si="117"/>
        <v>0</v>
      </c>
      <c r="M199" s="645">
        <f t="shared" si="117"/>
        <v>0</v>
      </c>
      <c r="N199" s="645">
        <f t="shared" si="117"/>
        <v>0</v>
      </c>
      <c r="O199" s="645">
        <f t="shared" si="117"/>
        <v>0</v>
      </c>
      <c r="P199" s="645">
        <f t="shared" si="117"/>
        <v>0</v>
      </c>
      <c r="Q199" s="645">
        <f t="shared" si="117"/>
        <v>0</v>
      </c>
      <c r="R199" s="645">
        <f t="shared" si="117"/>
        <v>0</v>
      </c>
      <c r="S199" s="645">
        <f t="shared" si="117"/>
        <v>0</v>
      </c>
      <c r="T199" s="645">
        <f t="shared" si="117"/>
        <v>0</v>
      </c>
      <c r="U199" s="645">
        <f t="shared" si="117"/>
        <v>0</v>
      </c>
      <c r="V199" s="645">
        <f t="shared" si="117"/>
        <v>0</v>
      </c>
      <c r="W199" s="645">
        <f t="shared" si="117"/>
        <v>0</v>
      </c>
      <c r="X199" s="645">
        <f t="shared" si="117"/>
        <v>0</v>
      </c>
      <c r="Y199" s="645">
        <f t="shared" si="117"/>
        <v>0</v>
      </c>
      <c r="Z199" s="645">
        <f t="shared" si="117"/>
        <v>0</v>
      </c>
      <c r="AA199" s="645">
        <f t="shared" si="117"/>
        <v>0</v>
      </c>
      <c r="AB199" s="645">
        <f t="shared" si="117"/>
        <v>0</v>
      </c>
      <c r="AC199" s="645">
        <f t="shared" si="117"/>
        <v>0</v>
      </c>
      <c r="AD199" s="645">
        <f t="shared" si="117"/>
        <v>0</v>
      </c>
      <c r="AE199" s="645">
        <f t="shared" si="117"/>
        <v>0</v>
      </c>
      <c r="AF199" s="645">
        <f t="shared" si="117"/>
        <v>0</v>
      </c>
      <c r="AG199" s="645">
        <f t="shared" si="117"/>
        <v>0</v>
      </c>
      <c r="AH199" s="645">
        <f t="shared" si="117"/>
        <v>0</v>
      </c>
      <c r="AI199" s="645">
        <v>0</v>
      </c>
      <c r="AJ199" s="645">
        <v>0</v>
      </c>
      <c r="AK199" s="645">
        <v>0</v>
      </c>
      <c r="AL199" s="645">
        <v>0</v>
      </c>
      <c r="AM199" s="645">
        <f t="shared" si="117"/>
        <v>0</v>
      </c>
      <c r="AN199" s="645">
        <f t="shared" si="117"/>
        <v>0</v>
      </c>
      <c r="AO199" s="645">
        <f t="shared" si="117"/>
        <v>0</v>
      </c>
      <c r="AP199" s="645">
        <f t="shared" si="117"/>
        <v>0</v>
      </c>
      <c r="AQ199" s="645">
        <f t="shared" si="117"/>
        <v>0</v>
      </c>
      <c r="AR199" s="645">
        <f t="shared" si="117"/>
        <v>0</v>
      </c>
      <c r="AS199" s="645">
        <f t="shared" si="117"/>
        <v>0</v>
      </c>
      <c r="AT199" s="645">
        <f t="shared" si="117"/>
        <v>0</v>
      </c>
      <c r="AU199" s="645">
        <f t="shared" si="117"/>
        <v>0</v>
      </c>
      <c r="AV199" s="645">
        <f t="shared" si="117"/>
        <v>0</v>
      </c>
      <c r="AW199" s="645">
        <f t="shared" si="117"/>
        <v>0</v>
      </c>
      <c r="AX199" s="645">
        <f t="shared" si="117"/>
        <v>0</v>
      </c>
      <c r="AY199" s="645">
        <f t="shared" si="117"/>
        <v>0</v>
      </c>
      <c r="AZ199" s="645">
        <f t="shared" si="117"/>
        <v>0</v>
      </c>
      <c r="BA199" s="645">
        <f t="shared" si="117"/>
        <v>0</v>
      </c>
      <c r="BB199" s="645">
        <f t="shared" si="117"/>
        <v>0</v>
      </c>
      <c r="BC199" s="645">
        <f t="shared" si="117"/>
        <v>0</v>
      </c>
      <c r="BD199" s="645">
        <f t="shared" si="117"/>
        <v>0</v>
      </c>
      <c r="BE199" s="645">
        <f t="shared" si="117"/>
        <v>0</v>
      </c>
      <c r="BF199" s="645">
        <f t="shared" si="117"/>
        <v>0</v>
      </c>
      <c r="BG199" s="645">
        <v>0</v>
      </c>
      <c r="BH199" s="645">
        <v>0</v>
      </c>
      <c r="BI199" s="645">
        <v>0</v>
      </c>
      <c r="BJ199" s="645">
        <v>0</v>
      </c>
      <c r="BK199" s="645">
        <f t="shared" si="117"/>
        <v>0</v>
      </c>
      <c r="BL199" s="645">
        <f t="shared" si="117"/>
        <v>0</v>
      </c>
      <c r="BM199" s="645">
        <f t="shared" si="117"/>
        <v>0</v>
      </c>
      <c r="BN199" s="645">
        <f t="shared" si="117"/>
        <v>0</v>
      </c>
      <c r="BO199" s="645">
        <f t="shared" si="117"/>
        <v>0</v>
      </c>
      <c r="BP199" s="645">
        <f t="shared" si="117"/>
        <v>0</v>
      </c>
      <c r="BQ199" s="645">
        <f t="shared" si="117"/>
        <v>0</v>
      </c>
      <c r="BR199" s="645">
        <f t="shared" si="117"/>
        <v>0</v>
      </c>
      <c r="BS199" s="645">
        <f t="shared" ref="BS199:CD199" si="118">SUM(BS200:BS205)</f>
        <v>0</v>
      </c>
      <c r="BT199" s="645">
        <f t="shared" si="118"/>
        <v>0</v>
      </c>
      <c r="BU199" s="645">
        <f t="shared" si="118"/>
        <v>0</v>
      </c>
      <c r="BV199" s="645">
        <f t="shared" si="118"/>
        <v>0</v>
      </c>
      <c r="BW199" s="645">
        <f t="shared" si="118"/>
        <v>0</v>
      </c>
      <c r="BX199" s="645">
        <f t="shared" si="118"/>
        <v>0</v>
      </c>
      <c r="BY199" s="645">
        <f t="shared" si="118"/>
        <v>0</v>
      </c>
      <c r="BZ199" s="645">
        <f t="shared" si="118"/>
        <v>0</v>
      </c>
      <c r="CA199" s="645">
        <f t="shared" si="118"/>
        <v>100000000</v>
      </c>
      <c r="CB199" s="645">
        <f t="shared" si="118"/>
        <v>65064430</v>
      </c>
      <c r="CC199" s="645">
        <f t="shared" si="118"/>
        <v>21938162</v>
      </c>
      <c r="CD199" s="645">
        <f t="shared" si="118"/>
        <v>21393212</v>
      </c>
      <c r="CE199" s="667">
        <f t="shared" si="114"/>
        <v>0</v>
      </c>
      <c r="CF199" s="668">
        <f t="shared" si="115"/>
        <v>65064430</v>
      </c>
      <c r="CG199" s="668">
        <f t="shared" si="115"/>
        <v>21938162</v>
      </c>
      <c r="CH199" s="669">
        <f t="shared" si="115"/>
        <v>21393212</v>
      </c>
      <c r="CJ199" s="1058"/>
      <c r="CK199" s="1076"/>
      <c r="CL199" s="1004">
        <f>+'[5]Anexo 5.2.A'!Z185</f>
        <v>0</v>
      </c>
      <c r="CM199" s="1004">
        <f>+'[5]Anexo 5.2.A'!AA185</f>
        <v>0</v>
      </c>
      <c r="CN199" s="1004">
        <f>+'[5]Anexo 5.2.A'!AB185</f>
        <v>0</v>
      </c>
    </row>
    <row r="200" spans="1:92" ht="33" x14ac:dyDescent="0.3">
      <c r="A200" s="1077" t="s">
        <v>1601</v>
      </c>
      <c r="B200" s="1005"/>
      <c r="C200" s="1078">
        <f>C$199*(B200/B$199)</f>
        <v>0</v>
      </c>
      <c r="D200" s="1078">
        <f t="shared" ref="D200:F201" si="119">D$199*(C200/C$199)</f>
        <v>0</v>
      </c>
      <c r="E200" s="1078">
        <f t="shared" si="119"/>
        <v>0</v>
      </c>
      <c r="F200" s="1078">
        <f t="shared" si="119"/>
        <v>0</v>
      </c>
      <c r="G200" s="1069"/>
      <c r="H200" s="1069"/>
      <c r="I200" s="1069"/>
      <c r="J200" s="1069"/>
      <c r="K200" s="1069"/>
      <c r="L200" s="1069"/>
      <c r="M200" s="1069"/>
      <c r="N200" s="1069"/>
      <c r="O200" s="1069"/>
      <c r="P200" s="1069"/>
      <c r="Q200" s="1069"/>
      <c r="R200" s="1069"/>
      <c r="S200" s="1069"/>
      <c r="T200" s="1069"/>
      <c r="U200" s="1069"/>
      <c r="V200" s="1069"/>
      <c r="W200" s="1069"/>
      <c r="X200" s="1069"/>
      <c r="Y200" s="1069"/>
      <c r="Z200" s="1069"/>
      <c r="AA200" s="1069"/>
      <c r="AB200" s="1069"/>
      <c r="AC200" s="1069"/>
      <c r="AD200" s="1069"/>
      <c r="AE200" s="1069"/>
      <c r="AF200" s="1069"/>
      <c r="AG200" s="1069"/>
      <c r="AH200" s="1069"/>
      <c r="AI200" s="1069"/>
      <c r="AJ200" s="1069"/>
      <c r="AK200" s="1069"/>
      <c r="AL200" s="1069"/>
      <c r="AM200" s="1069"/>
      <c r="AN200" s="1069"/>
      <c r="AO200" s="1069"/>
      <c r="AP200" s="1069"/>
      <c r="AQ200" s="1069"/>
      <c r="AR200" s="1069"/>
      <c r="AS200" s="1069"/>
      <c r="AT200" s="1069"/>
      <c r="AU200" s="1069"/>
      <c r="AV200" s="1069"/>
      <c r="AW200" s="1069"/>
      <c r="AX200" s="1069"/>
      <c r="AY200" s="1069"/>
      <c r="AZ200" s="1069"/>
      <c r="BA200" s="1069"/>
      <c r="BB200" s="1069"/>
      <c r="BC200" s="1069"/>
      <c r="BD200" s="1069"/>
      <c r="BE200" s="1069"/>
      <c r="BF200" s="1069"/>
      <c r="BG200" s="1069"/>
      <c r="BH200" s="1069"/>
      <c r="BI200" s="1069"/>
      <c r="BJ200" s="1069"/>
      <c r="BK200" s="1069"/>
      <c r="BL200" s="1068"/>
      <c r="BM200" s="1068"/>
      <c r="BN200" s="1068"/>
      <c r="BO200" s="1069"/>
      <c r="BP200" s="1069"/>
      <c r="BQ200" s="1069"/>
      <c r="BR200" s="1069"/>
      <c r="BS200" s="1069"/>
      <c r="BT200" s="1069"/>
      <c r="BU200" s="1069"/>
      <c r="BV200" s="1069"/>
      <c r="BW200" s="1069"/>
      <c r="BX200" s="1069"/>
      <c r="BY200" s="1069"/>
      <c r="BZ200" s="1069"/>
      <c r="CA200" s="640">
        <f t="shared" si="95"/>
        <v>0</v>
      </c>
      <c r="CB200" s="640">
        <f t="shared" si="95"/>
        <v>0</v>
      </c>
      <c r="CC200" s="640">
        <f t="shared" si="95"/>
        <v>0</v>
      </c>
      <c r="CD200" s="640">
        <f t="shared" si="94"/>
        <v>0</v>
      </c>
      <c r="CE200" s="641">
        <f t="shared" si="114"/>
        <v>0</v>
      </c>
      <c r="CF200" s="642">
        <f t="shared" si="115"/>
        <v>0</v>
      </c>
      <c r="CG200" s="642">
        <f t="shared" si="115"/>
        <v>0</v>
      </c>
      <c r="CH200" s="643">
        <f t="shared" si="115"/>
        <v>0</v>
      </c>
      <c r="CK200" s="39" t="s">
        <v>572</v>
      </c>
    </row>
    <row r="201" spans="1:92" ht="33" x14ac:dyDescent="0.3">
      <c r="A201" s="1077" t="s">
        <v>1602</v>
      </c>
      <c r="B201" s="1005">
        <v>20000000</v>
      </c>
      <c r="C201" s="1078">
        <f>C$199*(B201/B$199)</f>
        <v>20000000</v>
      </c>
      <c r="D201" s="1078">
        <f t="shared" si="119"/>
        <v>13012886</v>
      </c>
      <c r="E201" s="1078">
        <f t="shared" si="119"/>
        <v>4387632.4000000004</v>
      </c>
      <c r="F201" s="1078">
        <f t="shared" si="119"/>
        <v>4278642.4000000004</v>
      </c>
      <c r="G201" s="1069"/>
      <c r="H201" s="1069"/>
      <c r="I201" s="1069"/>
      <c r="J201" s="1069"/>
      <c r="K201" s="1069"/>
      <c r="L201" s="1069"/>
      <c r="M201" s="1069"/>
      <c r="N201" s="1069"/>
      <c r="O201" s="1069"/>
      <c r="P201" s="1069"/>
      <c r="Q201" s="1069"/>
      <c r="R201" s="1069"/>
      <c r="S201" s="1069"/>
      <c r="T201" s="1069"/>
      <c r="U201" s="1069"/>
      <c r="V201" s="1069"/>
      <c r="W201" s="1069"/>
      <c r="X201" s="1069"/>
      <c r="Y201" s="1069"/>
      <c r="Z201" s="1069"/>
      <c r="AA201" s="1069"/>
      <c r="AB201" s="1069"/>
      <c r="AC201" s="1069"/>
      <c r="AD201" s="1069"/>
      <c r="AE201" s="1069"/>
      <c r="AF201" s="1069"/>
      <c r="AG201" s="1069"/>
      <c r="AH201" s="1069"/>
      <c r="AI201" s="1008"/>
      <c r="AJ201" s="1008"/>
      <c r="AK201" s="1008"/>
      <c r="AL201" s="1008"/>
      <c r="AM201" s="1069"/>
      <c r="AN201" s="1069"/>
      <c r="AO201" s="1069"/>
      <c r="AP201" s="1069"/>
      <c r="AQ201" s="1069"/>
      <c r="AR201" s="1069"/>
      <c r="AS201" s="1069"/>
      <c r="AT201" s="1069"/>
      <c r="AU201" s="1069"/>
      <c r="AV201" s="1069"/>
      <c r="AW201" s="1069"/>
      <c r="AX201" s="1069"/>
      <c r="AY201" s="1069"/>
      <c r="AZ201" s="1069"/>
      <c r="BA201" s="1069"/>
      <c r="BB201" s="1069"/>
      <c r="BC201" s="1069"/>
      <c r="BD201" s="1069"/>
      <c r="BE201" s="1069"/>
      <c r="BF201" s="1069"/>
      <c r="BG201" s="1069"/>
      <c r="BH201" s="1069"/>
      <c r="BI201" s="1069"/>
      <c r="BJ201" s="1069"/>
      <c r="BK201" s="988"/>
      <c r="BL201" s="988"/>
      <c r="BM201" s="988"/>
      <c r="BN201" s="988"/>
      <c r="BO201" s="1069"/>
      <c r="BP201" s="1069"/>
      <c r="BQ201" s="1069"/>
      <c r="BR201" s="1069"/>
      <c r="BS201" s="1069"/>
      <c r="BT201" s="1069"/>
      <c r="BU201" s="1069"/>
      <c r="BV201" s="1069"/>
      <c r="BW201" s="1069"/>
      <c r="BX201" s="1069"/>
      <c r="BY201" s="1069"/>
      <c r="BZ201" s="1069"/>
      <c r="CA201" s="640">
        <f t="shared" si="95"/>
        <v>20000000</v>
      </c>
      <c r="CB201" s="640">
        <f t="shared" si="95"/>
        <v>13012886</v>
      </c>
      <c r="CC201" s="640">
        <f t="shared" si="95"/>
        <v>4387632.4000000004</v>
      </c>
      <c r="CD201" s="640">
        <f t="shared" si="94"/>
        <v>4278642.4000000004</v>
      </c>
      <c r="CE201" s="641">
        <f t="shared" si="114"/>
        <v>0</v>
      </c>
      <c r="CF201" s="642">
        <f t="shared" si="115"/>
        <v>-4667290</v>
      </c>
      <c r="CG201" s="642">
        <f t="shared" si="115"/>
        <v>-2434943.5999999996</v>
      </c>
      <c r="CH201" s="643">
        <f t="shared" si="115"/>
        <v>4278642.4000000004</v>
      </c>
      <c r="CK201" s="39" t="s">
        <v>575</v>
      </c>
      <c r="CL201" s="638">
        <v>17680176</v>
      </c>
      <c r="CM201" s="638">
        <v>6822576</v>
      </c>
    </row>
    <row r="202" spans="1:92" ht="33" x14ac:dyDescent="0.3">
      <c r="A202" s="1077" t="s">
        <v>1603</v>
      </c>
      <c r="B202" s="1005">
        <v>20000000</v>
      </c>
      <c r="C202" s="1078">
        <f t="shared" ref="C202:F205" si="120">C$199*(B202/B$199)</f>
        <v>20000000</v>
      </c>
      <c r="D202" s="1078">
        <f t="shared" si="120"/>
        <v>13012886</v>
      </c>
      <c r="E202" s="1078">
        <f t="shared" si="120"/>
        <v>4387632.4000000004</v>
      </c>
      <c r="F202" s="1078">
        <f t="shared" si="120"/>
        <v>4278642.4000000004</v>
      </c>
      <c r="G202" s="1069"/>
      <c r="H202" s="1069"/>
      <c r="I202" s="1069"/>
      <c r="J202" s="1069"/>
      <c r="K202" s="1069"/>
      <c r="L202" s="1069"/>
      <c r="M202" s="1069"/>
      <c r="N202" s="1069"/>
      <c r="O202" s="1069"/>
      <c r="P202" s="1069"/>
      <c r="Q202" s="1069"/>
      <c r="R202" s="1069"/>
      <c r="S202" s="1069"/>
      <c r="T202" s="1069"/>
      <c r="U202" s="1069"/>
      <c r="V202" s="1069"/>
      <c r="W202" s="1069"/>
      <c r="X202" s="1069"/>
      <c r="Y202" s="1069"/>
      <c r="Z202" s="1069"/>
      <c r="AA202" s="1069"/>
      <c r="AB202" s="1069"/>
      <c r="AC202" s="1069"/>
      <c r="AD202" s="1069"/>
      <c r="AE202" s="1069"/>
      <c r="AF202" s="1069"/>
      <c r="AG202" s="1069"/>
      <c r="AH202" s="1069"/>
      <c r="AI202" s="1008"/>
      <c r="AJ202" s="1008"/>
      <c r="AK202" s="1008"/>
      <c r="AL202" s="1008"/>
      <c r="AM202" s="1069"/>
      <c r="AN202" s="1069"/>
      <c r="AO202" s="1069"/>
      <c r="AP202" s="1069"/>
      <c r="AQ202" s="1069"/>
      <c r="AR202" s="1069"/>
      <c r="AS202" s="1069"/>
      <c r="AT202" s="1069"/>
      <c r="AU202" s="1069"/>
      <c r="AV202" s="1069"/>
      <c r="AW202" s="1069"/>
      <c r="AX202" s="1069"/>
      <c r="AY202" s="1069"/>
      <c r="AZ202" s="1069"/>
      <c r="BA202" s="1069"/>
      <c r="BB202" s="1069"/>
      <c r="BC202" s="1069"/>
      <c r="BD202" s="1069"/>
      <c r="BE202" s="1069"/>
      <c r="BF202" s="1069"/>
      <c r="BG202" s="1069"/>
      <c r="BH202" s="1069"/>
      <c r="BI202" s="1069"/>
      <c r="BJ202" s="1069"/>
      <c r="BK202" s="988"/>
      <c r="BL202" s="988"/>
      <c r="BM202" s="988"/>
      <c r="BN202" s="988"/>
      <c r="BO202" s="1069"/>
      <c r="BP202" s="1069"/>
      <c r="BQ202" s="1069"/>
      <c r="BR202" s="1069"/>
      <c r="BS202" s="1069"/>
      <c r="BT202" s="1069"/>
      <c r="BU202" s="1069"/>
      <c r="BV202" s="1069"/>
      <c r="BW202" s="1069"/>
      <c r="BX202" s="1069"/>
      <c r="BY202" s="1069"/>
      <c r="BZ202" s="1069"/>
      <c r="CA202" s="640">
        <f t="shared" si="95"/>
        <v>20000000</v>
      </c>
      <c r="CB202" s="640">
        <f t="shared" si="95"/>
        <v>13012886</v>
      </c>
      <c r="CC202" s="640">
        <f t="shared" si="95"/>
        <v>4387632.4000000004</v>
      </c>
      <c r="CD202" s="640">
        <f t="shared" si="94"/>
        <v>4278642.4000000004</v>
      </c>
      <c r="CE202" s="641">
        <f t="shared" si="114"/>
        <v>0</v>
      </c>
      <c r="CF202" s="642">
        <f t="shared" si="115"/>
        <v>-4667290</v>
      </c>
      <c r="CG202" s="642">
        <f t="shared" si="115"/>
        <v>-2434943.5999999996</v>
      </c>
      <c r="CH202" s="643">
        <f t="shared" si="115"/>
        <v>4278642.4000000004</v>
      </c>
      <c r="CK202" s="89" t="s">
        <v>578</v>
      </c>
      <c r="CL202" s="638">
        <v>17680176</v>
      </c>
      <c r="CM202" s="638">
        <v>6822576</v>
      </c>
    </row>
    <row r="203" spans="1:92" ht="33" x14ac:dyDescent="0.3">
      <c r="A203" s="1077" t="s">
        <v>1604</v>
      </c>
      <c r="B203" s="1005">
        <v>20000000</v>
      </c>
      <c r="C203" s="1078">
        <f t="shared" si="120"/>
        <v>20000000</v>
      </c>
      <c r="D203" s="1078">
        <f t="shared" si="120"/>
        <v>13012886</v>
      </c>
      <c r="E203" s="1078">
        <f t="shared" si="120"/>
        <v>4387632.4000000004</v>
      </c>
      <c r="F203" s="1078">
        <f t="shared" si="120"/>
        <v>4278642.4000000004</v>
      </c>
      <c r="G203" s="1069"/>
      <c r="H203" s="1069"/>
      <c r="I203" s="1069"/>
      <c r="J203" s="1069"/>
      <c r="K203" s="1069"/>
      <c r="L203" s="1069"/>
      <c r="M203" s="1069"/>
      <c r="N203" s="1069"/>
      <c r="O203" s="1069"/>
      <c r="P203" s="1069"/>
      <c r="Q203" s="1069"/>
      <c r="R203" s="1069"/>
      <c r="S203" s="1069"/>
      <c r="T203" s="1069"/>
      <c r="U203" s="1069"/>
      <c r="V203" s="1069"/>
      <c r="W203" s="1069"/>
      <c r="X203" s="1069"/>
      <c r="Y203" s="1069"/>
      <c r="Z203" s="1069"/>
      <c r="AA203" s="1069"/>
      <c r="AB203" s="1069"/>
      <c r="AC203" s="1069"/>
      <c r="AD203" s="1069"/>
      <c r="AE203" s="1069"/>
      <c r="AF203" s="1069"/>
      <c r="AG203" s="1069"/>
      <c r="AH203" s="1069"/>
      <c r="AI203" s="1008"/>
      <c r="AJ203" s="1008"/>
      <c r="AK203" s="1008"/>
      <c r="AL203" s="1008"/>
      <c r="AM203" s="1069"/>
      <c r="AN203" s="1069"/>
      <c r="AO203" s="1069"/>
      <c r="AP203" s="1069"/>
      <c r="AQ203" s="1069"/>
      <c r="AR203" s="1069"/>
      <c r="AS203" s="1069"/>
      <c r="AT203" s="1069"/>
      <c r="AU203" s="1069"/>
      <c r="AV203" s="1069"/>
      <c r="AW203" s="1069"/>
      <c r="AX203" s="1069"/>
      <c r="AY203" s="1069"/>
      <c r="AZ203" s="1069"/>
      <c r="BA203" s="1069"/>
      <c r="BB203" s="1069"/>
      <c r="BC203" s="1069"/>
      <c r="BD203" s="1069"/>
      <c r="BE203" s="1069"/>
      <c r="BF203" s="1069"/>
      <c r="BG203" s="1069"/>
      <c r="BH203" s="1069"/>
      <c r="BI203" s="1069"/>
      <c r="BJ203" s="1069"/>
      <c r="BK203" s="988"/>
      <c r="BL203" s="988"/>
      <c r="BM203" s="988"/>
      <c r="BN203" s="988"/>
      <c r="BO203" s="1069"/>
      <c r="BP203" s="1069"/>
      <c r="BQ203" s="1069"/>
      <c r="BR203" s="1069"/>
      <c r="BS203" s="1069"/>
      <c r="BT203" s="1069"/>
      <c r="BU203" s="1069"/>
      <c r="BV203" s="1069"/>
      <c r="BW203" s="1069"/>
      <c r="BX203" s="1069"/>
      <c r="BY203" s="1069"/>
      <c r="BZ203" s="1069"/>
      <c r="CA203" s="640">
        <f t="shared" si="95"/>
        <v>20000000</v>
      </c>
      <c r="CB203" s="640">
        <f t="shared" si="95"/>
        <v>13012886</v>
      </c>
      <c r="CC203" s="640">
        <f t="shared" si="95"/>
        <v>4387632.4000000004</v>
      </c>
      <c r="CD203" s="640">
        <f t="shared" si="94"/>
        <v>4278642.4000000004</v>
      </c>
      <c r="CE203" s="641">
        <f t="shared" si="114"/>
        <v>0</v>
      </c>
      <c r="CF203" s="642">
        <f t="shared" si="115"/>
        <v>-4667290</v>
      </c>
      <c r="CG203" s="642">
        <f t="shared" si="115"/>
        <v>-2434943.5999999996</v>
      </c>
      <c r="CH203" s="643">
        <f t="shared" si="115"/>
        <v>4278642.4000000004</v>
      </c>
      <c r="CK203" s="89" t="s">
        <v>580</v>
      </c>
      <c r="CL203" s="638">
        <v>17680176</v>
      </c>
      <c r="CM203" s="638">
        <v>6822576</v>
      </c>
    </row>
    <row r="204" spans="1:92" x14ac:dyDescent="0.3">
      <c r="A204" s="1077" t="s">
        <v>583</v>
      </c>
      <c r="B204" s="1005">
        <v>20000000</v>
      </c>
      <c r="C204" s="1078">
        <f t="shared" si="120"/>
        <v>20000000</v>
      </c>
      <c r="D204" s="1078">
        <f t="shared" si="120"/>
        <v>13012886</v>
      </c>
      <c r="E204" s="1078">
        <f t="shared" si="120"/>
        <v>4387632.4000000004</v>
      </c>
      <c r="F204" s="1078">
        <f t="shared" si="120"/>
        <v>4278642.4000000004</v>
      </c>
      <c r="G204" s="1069"/>
      <c r="H204" s="1069"/>
      <c r="I204" s="1069"/>
      <c r="J204" s="1069"/>
      <c r="K204" s="1069"/>
      <c r="L204" s="1069"/>
      <c r="M204" s="1069"/>
      <c r="N204" s="1069"/>
      <c r="O204" s="1069"/>
      <c r="P204" s="1069"/>
      <c r="Q204" s="1069"/>
      <c r="R204" s="1069"/>
      <c r="S204" s="1069"/>
      <c r="T204" s="1069"/>
      <c r="U204" s="1069"/>
      <c r="V204" s="1069"/>
      <c r="W204" s="1069"/>
      <c r="X204" s="1069"/>
      <c r="Y204" s="1069"/>
      <c r="Z204" s="1069"/>
      <c r="AA204" s="1069"/>
      <c r="AB204" s="1069"/>
      <c r="AC204" s="1069"/>
      <c r="AD204" s="1069"/>
      <c r="AE204" s="1069"/>
      <c r="AF204" s="1069"/>
      <c r="AG204" s="1069"/>
      <c r="AH204" s="1069"/>
      <c r="AI204" s="1008"/>
      <c r="AJ204" s="1008"/>
      <c r="AK204" s="1008"/>
      <c r="AL204" s="1008"/>
      <c r="AM204" s="1069"/>
      <c r="AN204" s="1069"/>
      <c r="AO204" s="1069"/>
      <c r="AP204" s="1069"/>
      <c r="AQ204" s="1069"/>
      <c r="AR204" s="1069"/>
      <c r="AS204" s="1069"/>
      <c r="AT204" s="1069"/>
      <c r="AU204" s="1069"/>
      <c r="AV204" s="1069"/>
      <c r="AW204" s="1069"/>
      <c r="AX204" s="1069"/>
      <c r="AY204" s="1069"/>
      <c r="AZ204" s="1069"/>
      <c r="BA204" s="1069"/>
      <c r="BB204" s="1069"/>
      <c r="BC204" s="1069"/>
      <c r="BD204" s="1069"/>
      <c r="BE204" s="1069"/>
      <c r="BF204" s="1069"/>
      <c r="BG204" s="1069"/>
      <c r="BH204" s="1069"/>
      <c r="BI204" s="1069"/>
      <c r="BJ204" s="1069"/>
      <c r="BK204" s="988"/>
      <c r="BL204" s="988"/>
      <c r="BM204" s="988"/>
      <c r="BN204" s="988"/>
      <c r="BO204" s="1069"/>
      <c r="BP204" s="1069"/>
      <c r="BQ204" s="1069"/>
      <c r="BR204" s="1069"/>
      <c r="BS204" s="1069"/>
      <c r="BT204" s="1069"/>
      <c r="BU204" s="1069"/>
      <c r="BV204" s="1069"/>
      <c r="BW204" s="1069"/>
      <c r="BX204" s="1069"/>
      <c r="BY204" s="1069"/>
      <c r="BZ204" s="1069"/>
      <c r="CA204" s="640">
        <f t="shared" si="95"/>
        <v>20000000</v>
      </c>
      <c r="CB204" s="640">
        <f t="shared" si="95"/>
        <v>13012886</v>
      </c>
      <c r="CC204" s="640">
        <f t="shared" si="95"/>
        <v>4387632.4000000004</v>
      </c>
      <c r="CD204" s="640">
        <f t="shared" si="94"/>
        <v>4278642.4000000004</v>
      </c>
      <c r="CE204" s="641">
        <f t="shared" si="114"/>
        <v>0</v>
      </c>
      <c r="CF204" s="642">
        <f t="shared" si="115"/>
        <v>-4667290</v>
      </c>
      <c r="CG204" s="642">
        <f t="shared" si="115"/>
        <v>-2434943.5999999996</v>
      </c>
      <c r="CH204" s="643">
        <f t="shared" si="115"/>
        <v>4278642.4000000004</v>
      </c>
      <c r="CK204" s="39" t="s">
        <v>583</v>
      </c>
      <c r="CL204" s="638">
        <v>17680176</v>
      </c>
      <c r="CM204" s="638">
        <v>6822576</v>
      </c>
    </row>
    <row r="205" spans="1:92" ht="49.5" x14ac:dyDescent="0.3">
      <c r="A205" s="1077" t="s">
        <v>586</v>
      </c>
      <c r="B205" s="1005">
        <v>20000000</v>
      </c>
      <c r="C205" s="1078">
        <f t="shared" si="120"/>
        <v>20000000</v>
      </c>
      <c r="D205" s="1078">
        <f t="shared" si="120"/>
        <v>13012886</v>
      </c>
      <c r="E205" s="1078">
        <f t="shared" si="120"/>
        <v>4387632.4000000004</v>
      </c>
      <c r="F205" s="1078">
        <f t="shared" si="120"/>
        <v>4278642.4000000004</v>
      </c>
      <c r="G205" s="1069"/>
      <c r="H205" s="1069"/>
      <c r="I205" s="1069"/>
      <c r="J205" s="1069"/>
      <c r="K205" s="1069"/>
      <c r="L205" s="1069"/>
      <c r="M205" s="1069"/>
      <c r="N205" s="1069"/>
      <c r="O205" s="1069"/>
      <c r="P205" s="1069"/>
      <c r="Q205" s="1069"/>
      <c r="R205" s="1069"/>
      <c r="S205" s="1069"/>
      <c r="T205" s="1069"/>
      <c r="U205" s="1069"/>
      <c r="V205" s="1069"/>
      <c r="W205" s="1069"/>
      <c r="X205" s="1069"/>
      <c r="Y205" s="1069"/>
      <c r="Z205" s="1069"/>
      <c r="AA205" s="1069"/>
      <c r="AB205" s="1069"/>
      <c r="AC205" s="1069"/>
      <c r="AD205" s="1069"/>
      <c r="AE205" s="1069"/>
      <c r="AF205" s="1069"/>
      <c r="AG205" s="1069"/>
      <c r="AH205" s="1069"/>
      <c r="AI205" s="1008"/>
      <c r="AJ205" s="1008"/>
      <c r="AK205" s="1008"/>
      <c r="AL205" s="1008"/>
      <c r="AM205" s="1069"/>
      <c r="AN205" s="1069"/>
      <c r="AO205" s="1069"/>
      <c r="AP205" s="1069"/>
      <c r="AQ205" s="1069"/>
      <c r="AR205" s="1069"/>
      <c r="AS205" s="1069"/>
      <c r="AT205" s="1069"/>
      <c r="AU205" s="1069"/>
      <c r="AV205" s="1069"/>
      <c r="AW205" s="1069"/>
      <c r="AX205" s="1069"/>
      <c r="AY205" s="1069"/>
      <c r="AZ205" s="1069"/>
      <c r="BA205" s="1069"/>
      <c r="BB205" s="1069"/>
      <c r="BC205" s="1069"/>
      <c r="BD205" s="1069"/>
      <c r="BE205" s="1069"/>
      <c r="BF205" s="1069"/>
      <c r="BG205" s="1069"/>
      <c r="BH205" s="1069"/>
      <c r="BI205" s="1069"/>
      <c r="BJ205" s="1069"/>
      <c r="BK205" s="988"/>
      <c r="BL205" s="988"/>
      <c r="BM205" s="988"/>
      <c r="BN205" s="988"/>
      <c r="BO205" s="1069"/>
      <c r="BP205" s="1069"/>
      <c r="BQ205" s="1069"/>
      <c r="BR205" s="1069"/>
      <c r="BS205" s="1069"/>
      <c r="BT205" s="1069"/>
      <c r="BU205" s="1069"/>
      <c r="BV205" s="1069"/>
      <c r="BW205" s="1069"/>
      <c r="BX205" s="1069"/>
      <c r="BY205" s="1069"/>
      <c r="BZ205" s="1069"/>
      <c r="CA205" s="640">
        <f t="shared" si="95"/>
        <v>20000000</v>
      </c>
      <c r="CB205" s="640">
        <f t="shared" si="95"/>
        <v>13012886</v>
      </c>
      <c r="CC205" s="640">
        <f t="shared" si="95"/>
        <v>4387632.4000000004</v>
      </c>
      <c r="CD205" s="640">
        <f t="shared" si="94"/>
        <v>4278642.4000000004</v>
      </c>
      <c r="CE205" s="641">
        <f t="shared" si="114"/>
        <v>0</v>
      </c>
      <c r="CF205" s="642">
        <f t="shared" si="115"/>
        <v>-4667290</v>
      </c>
      <c r="CG205" s="642">
        <f t="shared" si="115"/>
        <v>-2434943.5999999996</v>
      </c>
      <c r="CH205" s="643">
        <f t="shared" si="115"/>
        <v>4278642.4000000004</v>
      </c>
      <c r="CK205" s="39" t="s">
        <v>586</v>
      </c>
      <c r="CL205" s="638">
        <v>17680176</v>
      </c>
      <c r="CM205" s="638">
        <v>6822576</v>
      </c>
    </row>
    <row r="206" spans="1:92" s="1057" customFormat="1" ht="49.5" x14ac:dyDescent="0.25">
      <c r="A206" s="644" t="s">
        <v>589</v>
      </c>
      <c r="B206" s="645">
        <v>300000000</v>
      </c>
      <c r="C206" s="645">
        <v>300000000</v>
      </c>
      <c r="D206" s="645">
        <v>110761090</v>
      </c>
      <c r="E206" s="645">
        <v>43337557</v>
      </c>
      <c r="F206" s="645">
        <v>40509557</v>
      </c>
      <c r="G206" s="645">
        <f t="shared" ref="G206:BR206" si="121">SUM(G207:G210)</f>
        <v>0</v>
      </c>
      <c r="H206" s="645">
        <f t="shared" si="121"/>
        <v>0</v>
      </c>
      <c r="I206" s="645">
        <f t="shared" si="121"/>
        <v>0</v>
      </c>
      <c r="J206" s="645">
        <f t="shared" si="121"/>
        <v>0</v>
      </c>
      <c r="K206" s="645">
        <f t="shared" si="121"/>
        <v>0</v>
      </c>
      <c r="L206" s="645">
        <f t="shared" si="121"/>
        <v>0</v>
      </c>
      <c r="M206" s="645">
        <f t="shared" si="121"/>
        <v>0</v>
      </c>
      <c r="N206" s="645">
        <f t="shared" si="121"/>
        <v>0</v>
      </c>
      <c r="O206" s="645">
        <f t="shared" si="121"/>
        <v>0</v>
      </c>
      <c r="P206" s="645">
        <f t="shared" si="121"/>
        <v>0</v>
      </c>
      <c r="Q206" s="645">
        <f t="shared" si="121"/>
        <v>0</v>
      </c>
      <c r="R206" s="645">
        <f t="shared" si="121"/>
        <v>0</v>
      </c>
      <c r="S206" s="645">
        <f t="shared" si="121"/>
        <v>0</v>
      </c>
      <c r="T206" s="645">
        <f t="shared" si="121"/>
        <v>0</v>
      </c>
      <c r="U206" s="645">
        <f t="shared" si="121"/>
        <v>0</v>
      </c>
      <c r="V206" s="645">
        <f t="shared" si="121"/>
        <v>0</v>
      </c>
      <c r="W206" s="645">
        <f t="shared" si="121"/>
        <v>0</v>
      </c>
      <c r="X206" s="645">
        <f t="shared" si="121"/>
        <v>0</v>
      </c>
      <c r="Y206" s="645">
        <f t="shared" si="121"/>
        <v>0</v>
      </c>
      <c r="Z206" s="645">
        <f t="shared" si="121"/>
        <v>0</v>
      </c>
      <c r="AA206" s="645">
        <f t="shared" si="121"/>
        <v>0</v>
      </c>
      <c r="AB206" s="645">
        <f t="shared" si="121"/>
        <v>0</v>
      </c>
      <c r="AC206" s="645">
        <f t="shared" si="121"/>
        <v>0</v>
      </c>
      <c r="AD206" s="645">
        <f t="shared" si="121"/>
        <v>0</v>
      </c>
      <c r="AE206" s="645">
        <f t="shared" si="121"/>
        <v>0</v>
      </c>
      <c r="AF206" s="645">
        <f t="shared" si="121"/>
        <v>0</v>
      </c>
      <c r="AG206" s="645">
        <f t="shared" si="121"/>
        <v>0</v>
      </c>
      <c r="AH206" s="645">
        <f t="shared" si="121"/>
        <v>0</v>
      </c>
      <c r="AI206" s="645">
        <v>0</v>
      </c>
      <c r="AJ206" s="645">
        <v>0</v>
      </c>
      <c r="AK206" s="645">
        <v>0</v>
      </c>
      <c r="AL206" s="645">
        <v>0</v>
      </c>
      <c r="AM206" s="645">
        <f t="shared" si="121"/>
        <v>0</v>
      </c>
      <c r="AN206" s="645">
        <f t="shared" si="121"/>
        <v>0</v>
      </c>
      <c r="AO206" s="645">
        <f t="shared" si="121"/>
        <v>0</v>
      </c>
      <c r="AP206" s="645">
        <f t="shared" si="121"/>
        <v>0</v>
      </c>
      <c r="AQ206" s="645">
        <v>0</v>
      </c>
      <c r="AR206" s="645">
        <v>0</v>
      </c>
      <c r="AS206" s="645">
        <v>0</v>
      </c>
      <c r="AT206" s="645">
        <v>0</v>
      </c>
      <c r="AU206" s="645">
        <f t="shared" si="121"/>
        <v>0</v>
      </c>
      <c r="AV206" s="645">
        <f t="shared" si="121"/>
        <v>0</v>
      </c>
      <c r="AW206" s="645">
        <f t="shared" si="121"/>
        <v>0</v>
      </c>
      <c r="AX206" s="645">
        <f t="shared" si="121"/>
        <v>0</v>
      </c>
      <c r="AY206" s="645">
        <f t="shared" si="121"/>
        <v>0</v>
      </c>
      <c r="AZ206" s="645">
        <f t="shared" si="121"/>
        <v>0</v>
      </c>
      <c r="BA206" s="645">
        <f t="shared" si="121"/>
        <v>0</v>
      </c>
      <c r="BB206" s="645">
        <f t="shared" si="121"/>
        <v>0</v>
      </c>
      <c r="BC206" s="645">
        <f t="shared" si="121"/>
        <v>0</v>
      </c>
      <c r="BD206" s="645">
        <f t="shared" si="121"/>
        <v>0</v>
      </c>
      <c r="BE206" s="645">
        <f t="shared" si="121"/>
        <v>0</v>
      </c>
      <c r="BF206" s="645">
        <f t="shared" si="121"/>
        <v>0</v>
      </c>
      <c r="BG206" s="645">
        <f t="shared" si="121"/>
        <v>0</v>
      </c>
      <c r="BH206" s="645">
        <f t="shared" si="121"/>
        <v>0</v>
      </c>
      <c r="BI206" s="645">
        <f t="shared" si="121"/>
        <v>0</v>
      </c>
      <c r="BJ206" s="645">
        <f t="shared" si="121"/>
        <v>0</v>
      </c>
      <c r="BK206" s="645">
        <v>0</v>
      </c>
      <c r="BL206" s="645">
        <v>0</v>
      </c>
      <c r="BM206" s="645">
        <f t="shared" si="121"/>
        <v>0</v>
      </c>
      <c r="BN206" s="645">
        <f t="shared" si="121"/>
        <v>0</v>
      </c>
      <c r="BO206" s="645">
        <f t="shared" si="121"/>
        <v>0</v>
      </c>
      <c r="BP206" s="645">
        <f t="shared" si="121"/>
        <v>0</v>
      </c>
      <c r="BQ206" s="645">
        <f t="shared" si="121"/>
        <v>0</v>
      </c>
      <c r="BR206" s="645">
        <f t="shared" si="121"/>
        <v>0</v>
      </c>
      <c r="BS206" s="645">
        <f t="shared" ref="BS206:CD206" si="122">SUM(BS207:BS210)</f>
        <v>0</v>
      </c>
      <c r="BT206" s="645">
        <f t="shared" si="122"/>
        <v>0</v>
      </c>
      <c r="BU206" s="645">
        <f t="shared" si="122"/>
        <v>0</v>
      </c>
      <c r="BV206" s="645">
        <f t="shared" si="122"/>
        <v>0</v>
      </c>
      <c r="BW206" s="645">
        <f t="shared" si="122"/>
        <v>0</v>
      </c>
      <c r="BX206" s="645">
        <f t="shared" si="122"/>
        <v>0</v>
      </c>
      <c r="BY206" s="645">
        <f t="shared" si="122"/>
        <v>0</v>
      </c>
      <c r="BZ206" s="645">
        <f t="shared" si="122"/>
        <v>0</v>
      </c>
      <c r="CA206" s="645">
        <f t="shared" si="122"/>
        <v>300000000</v>
      </c>
      <c r="CB206" s="645">
        <f t="shared" si="122"/>
        <v>110761089.99999999</v>
      </c>
      <c r="CC206" s="645">
        <f t="shared" si="122"/>
        <v>43337557</v>
      </c>
      <c r="CD206" s="645">
        <f t="shared" si="122"/>
        <v>40509557</v>
      </c>
      <c r="CE206" s="667">
        <f t="shared" si="114"/>
        <v>0</v>
      </c>
      <c r="CF206" s="668">
        <f t="shared" si="115"/>
        <v>110761089.99999999</v>
      </c>
      <c r="CG206" s="668">
        <f t="shared" si="115"/>
        <v>43337557</v>
      </c>
      <c r="CH206" s="669">
        <f t="shared" si="115"/>
        <v>40509557</v>
      </c>
      <c r="CJ206" s="1058"/>
      <c r="CK206" s="1076"/>
      <c r="CL206" s="1004">
        <f>+'[5]Anexo 5.2.A'!Z189</f>
        <v>0</v>
      </c>
      <c r="CM206" s="1004">
        <f>+'[5]Anexo 5.2.A'!AA189</f>
        <v>0</v>
      </c>
      <c r="CN206" s="1004">
        <f>+'[5]Anexo 5.2.A'!AB189</f>
        <v>0</v>
      </c>
    </row>
    <row r="207" spans="1:92" ht="33" x14ac:dyDescent="0.3">
      <c r="A207" s="1066" t="s">
        <v>590</v>
      </c>
      <c r="B207" s="1005">
        <v>10000000</v>
      </c>
      <c r="C207" s="1078">
        <f>C$206*(B207/B$206)</f>
        <v>10000000</v>
      </c>
      <c r="D207" s="1078">
        <f t="shared" ref="D207:F207" si="123">D$206*(C207/C$206)</f>
        <v>3692036.3333333335</v>
      </c>
      <c r="E207" s="1078">
        <f t="shared" si="123"/>
        <v>1444585.2333333334</v>
      </c>
      <c r="F207" s="1078">
        <f t="shared" si="123"/>
        <v>1350318.5666666667</v>
      </c>
      <c r="G207" s="1069"/>
      <c r="H207" s="1069"/>
      <c r="I207" s="1069"/>
      <c r="J207" s="1069"/>
      <c r="K207" s="1069"/>
      <c r="L207" s="1069"/>
      <c r="M207" s="1069"/>
      <c r="N207" s="1069"/>
      <c r="O207" s="1069"/>
      <c r="P207" s="1069"/>
      <c r="Q207" s="1069"/>
      <c r="R207" s="1069"/>
      <c r="S207" s="1069"/>
      <c r="T207" s="1069"/>
      <c r="U207" s="1069"/>
      <c r="V207" s="1069"/>
      <c r="W207" s="1069"/>
      <c r="X207" s="1069"/>
      <c r="Y207" s="1069"/>
      <c r="Z207" s="1069"/>
      <c r="AA207" s="1069"/>
      <c r="AB207" s="1069"/>
      <c r="AC207" s="1069"/>
      <c r="AD207" s="1069"/>
      <c r="AE207" s="1069"/>
      <c r="AF207" s="1069"/>
      <c r="AG207" s="1069"/>
      <c r="AH207" s="1069"/>
      <c r="AI207" s="1008"/>
      <c r="AJ207" s="1008"/>
      <c r="AK207" s="1008"/>
      <c r="AL207" s="1008"/>
      <c r="AM207" s="1069"/>
      <c r="AN207" s="1069"/>
      <c r="AO207" s="1069"/>
      <c r="AP207" s="1069"/>
      <c r="AQ207" s="1069"/>
      <c r="AR207" s="1069"/>
      <c r="AS207" s="1069"/>
      <c r="AT207" s="1069"/>
      <c r="AU207" s="1069"/>
      <c r="AV207" s="1069"/>
      <c r="AW207" s="1069"/>
      <c r="AX207" s="1069"/>
      <c r="AY207" s="1069"/>
      <c r="AZ207" s="1069"/>
      <c r="BA207" s="1069"/>
      <c r="BB207" s="1069"/>
      <c r="BC207" s="1069"/>
      <c r="BD207" s="1069"/>
      <c r="BE207" s="1069"/>
      <c r="BF207" s="1069"/>
      <c r="BG207" s="1069"/>
      <c r="BH207" s="1069"/>
      <c r="BI207" s="1069"/>
      <c r="BJ207" s="1069"/>
      <c r="BK207" s="988"/>
      <c r="BL207" s="988"/>
      <c r="BM207" s="988"/>
      <c r="BN207" s="988"/>
      <c r="BO207" s="1069"/>
      <c r="BP207" s="1069"/>
      <c r="BQ207" s="1069"/>
      <c r="BR207" s="1069"/>
      <c r="BS207" s="1069"/>
      <c r="BT207" s="1069"/>
      <c r="BU207" s="1069"/>
      <c r="BV207" s="1069"/>
      <c r="BW207" s="1069"/>
      <c r="BX207" s="1069"/>
      <c r="BY207" s="1069"/>
      <c r="BZ207" s="1069"/>
      <c r="CA207" s="640">
        <f t="shared" si="95"/>
        <v>10000000</v>
      </c>
      <c r="CB207" s="640">
        <f t="shared" si="95"/>
        <v>3692036.3333333335</v>
      </c>
      <c r="CC207" s="640">
        <f t="shared" si="95"/>
        <v>1444585.2333333334</v>
      </c>
      <c r="CD207" s="640">
        <f t="shared" si="94"/>
        <v>1350318.5666666667</v>
      </c>
      <c r="CE207" s="641">
        <f t="shared" si="114"/>
        <v>0</v>
      </c>
      <c r="CF207" s="642">
        <f t="shared" si="115"/>
        <v>-4835854.6416666657</v>
      </c>
      <c r="CG207" s="642">
        <f t="shared" si="115"/>
        <v>-7017332.416666667</v>
      </c>
      <c r="CH207" s="643">
        <f t="shared" si="115"/>
        <v>1350318.5666666667</v>
      </c>
      <c r="CK207" s="39" t="s">
        <v>590</v>
      </c>
      <c r="CL207" s="638">
        <v>8527890.9749999996</v>
      </c>
      <c r="CM207" s="638">
        <v>8461917.6500000004</v>
      </c>
    </row>
    <row r="208" spans="1:92" ht="33" x14ac:dyDescent="0.3">
      <c r="A208" s="1066" t="s">
        <v>594</v>
      </c>
      <c r="B208" s="1005">
        <v>50000000</v>
      </c>
      <c r="C208" s="1078">
        <f t="shared" ref="C208:F210" si="124">C$206*(B208/B$206)</f>
        <v>50000000</v>
      </c>
      <c r="D208" s="1078">
        <f t="shared" si="124"/>
        <v>18460181.666666664</v>
      </c>
      <c r="E208" s="1078">
        <f t="shared" si="124"/>
        <v>7222926.166666666</v>
      </c>
      <c r="F208" s="1078">
        <f t="shared" si="124"/>
        <v>6751592.833333333</v>
      </c>
      <c r="G208" s="1069"/>
      <c r="H208" s="1069"/>
      <c r="I208" s="1069"/>
      <c r="J208" s="1069"/>
      <c r="K208" s="1069"/>
      <c r="L208" s="1069"/>
      <c r="M208" s="1069"/>
      <c r="N208" s="1069"/>
      <c r="O208" s="1069"/>
      <c r="P208" s="1069"/>
      <c r="Q208" s="1069"/>
      <c r="R208" s="1069"/>
      <c r="S208" s="1069"/>
      <c r="T208" s="1069"/>
      <c r="U208" s="1069"/>
      <c r="V208" s="1069"/>
      <c r="W208" s="1069"/>
      <c r="X208" s="1069"/>
      <c r="Y208" s="1069"/>
      <c r="Z208" s="1069"/>
      <c r="AA208" s="1069"/>
      <c r="AB208" s="1069"/>
      <c r="AC208" s="1069"/>
      <c r="AD208" s="1069"/>
      <c r="AE208" s="1069"/>
      <c r="AF208" s="1069"/>
      <c r="AG208" s="1069"/>
      <c r="AH208" s="1069"/>
      <c r="AI208" s="1008"/>
      <c r="AJ208" s="1008"/>
      <c r="AK208" s="1008"/>
      <c r="AL208" s="1008"/>
      <c r="AM208" s="1069"/>
      <c r="AN208" s="1069"/>
      <c r="AO208" s="1069"/>
      <c r="AP208" s="1069"/>
      <c r="AQ208" s="1069"/>
      <c r="AR208" s="1069"/>
      <c r="AS208" s="1069"/>
      <c r="AT208" s="1069"/>
      <c r="AU208" s="1069"/>
      <c r="AV208" s="1069"/>
      <c r="AW208" s="1069"/>
      <c r="AX208" s="1069"/>
      <c r="AY208" s="1069"/>
      <c r="AZ208" s="1069"/>
      <c r="BA208" s="1069"/>
      <c r="BB208" s="1069"/>
      <c r="BC208" s="1069"/>
      <c r="BD208" s="1069"/>
      <c r="BE208" s="1069"/>
      <c r="BF208" s="1069"/>
      <c r="BG208" s="1069"/>
      <c r="BH208" s="1069"/>
      <c r="BI208" s="1069"/>
      <c r="BJ208" s="1069"/>
      <c r="BK208" s="1008">
        <v>0</v>
      </c>
      <c r="BL208" s="1008">
        <v>0</v>
      </c>
      <c r="BM208" s="1008"/>
      <c r="BN208" s="1008"/>
      <c r="BO208" s="1069"/>
      <c r="BP208" s="1069"/>
      <c r="BQ208" s="1069"/>
      <c r="BR208" s="1069"/>
      <c r="BS208" s="1069"/>
      <c r="BT208" s="1069"/>
      <c r="BU208" s="1069"/>
      <c r="BV208" s="1069"/>
      <c r="BW208" s="1069"/>
      <c r="BX208" s="1069"/>
      <c r="BY208" s="1069"/>
      <c r="BZ208" s="1069"/>
      <c r="CA208" s="640">
        <f t="shared" si="95"/>
        <v>50000000</v>
      </c>
      <c r="CB208" s="640">
        <f t="shared" si="95"/>
        <v>18460181.666666664</v>
      </c>
      <c r="CC208" s="640">
        <f t="shared" si="95"/>
        <v>7222926.166666666</v>
      </c>
      <c r="CD208" s="640">
        <f t="shared" si="94"/>
        <v>6751592.833333333</v>
      </c>
      <c r="CE208" s="641">
        <f t="shared" si="114"/>
        <v>0</v>
      </c>
      <c r="CF208" s="642">
        <f t="shared" si="115"/>
        <v>-32707164.183333337</v>
      </c>
      <c r="CG208" s="642">
        <f t="shared" si="115"/>
        <v>-43548579.733333334</v>
      </c>
      <c r="CH208" s="643">
        <f t="shared" si="115"/>
        <v>6751592.833333333</v>
      </c>
      <c r="CK208" s="39" t="s">
        <v>594</v>
      </c>
      <c r="CL208" s="638">
        <v>51167345.850000001</v>
      </c>
      <c r="CM208" s="638">
        <v>50771505.899999999</v>
      </c>
    </row>
    <row r="209" spans="1:92" ht="33" x14ac:dyDescent="0.3">
      <c r="A209" s="1066" t="s">
        <v>596</v>
      </c>
      <c r="B209" s="1005">
        <v>200000000</v>
      </c>
      <c r="C209" s="1078">
        <f t="shared" si="124"/>
        <v>200000000</v>
      </c>
      <c r="D209" s="1078">
        <f t="shared" si="124"/>
        <v>73840726.666666657</v>
      </c>
      <c r="E209" s="1078">
        <f t="shared" si="124"/>
        <v>28891704.666666664</v>
      </c>
      <c r="F209" s="1078">
        <f t="shared" si="124"/>
        <v>27006371.333333332</v>
      </c>
      <c r="G209" s="1069"/>
      <c r="H209" s="1069"/>
      <c r="I209" s="1069"/>
      <c r="J209" s="1069"/>
      <c r="K209" s="1069"/>
      <c r="L209" s="1069"/>
      <c r="M209" s="1069"/>
      <c r="N209" s="1069"/>
      <c r="O209" s="1069"/>
      <c r="P209" s="1069"/>
      <c r="Q209" s="1069"/>
      <c r="R209" s="1069"/>
      <c r="S209" s="1069"/>
      <c r="T209" s="1069"/>
      <c r="U209" s="1069"/>
      <c r="V209" s="1069"/>
      <c r="W209" s="1069"/>
      <c r="X209" s="1069"/>
      <c r="Y209" s="1069"/>
      <c r="Z209" s="1069"/>
      <c r="AA209" s="1069"/>
      <c r="AB209" s="1069"/>
      <c r="AC209" s="1069"/>
      <c r="AD209" s="1069"/>
      <c r="AE209" s="1069"/>
      <c r="AF209" s="1069"/>
      <c r="AG209" s="1069"/>
      <c r="AH209" s="1069"/>
      <c r="AI209" s="1008"/>
      <c r="AJ209" s="1008"/>
      <c r="AK209" s="1008"/>
      <c r="AL209" s="1008"/>
      <c r="AM209" s="1069"/>
      <c r="AN209" s="1069"/>
      <c r="AO209" s="1069"/>
      <c r="AP209" s="1069"/>
      <c r="AQ209" s="1069"/>
      <c r="AR209" s="1069"/>
      <c r="AS209" s="1069"/>
      <c r="AT209" s="1069"/>
      <c r="AU209" s="1069"/>
      <c r="AV209" s="1069"/>
      <c r="AW209" s="1069"/>
      <c r="AX209" s="1069"/>
      <c r="AY209" s="1069"/>
      <c r="AZ209" s="1069"/>
      <c r="BA209" s="1069"/>
      <c r="BB209" s="1069"/>
      <c r="BC209" s="1069"/>
      <c r="BD209" s="1069"/>
      <c r="BE209" s="1069"/>
      <c r="BF209" s="1069"/>
      <c r="BG209" s="1069"/>
      <c r="BH209" s="1069"/>
      <c r="BI209" s="1069"/>
      <c r="BJ209" s="1069"/>
      <c r="BK209" s="988"/>
      <c r="BL209" s="988"/>
      <c r="BM209" s="988"/>
      <c r="BN209" s="988"/>
      <c r="BO209" s="1069"/>
      <c r="BP209" s="1069"/>
      <c r="BQ209" s="1069"/>
      <c r="BR209" s="1069"/>
      <c r="BS209" s="1069"/>
      <c r="BT209" s="1069"/>
      <c r="BU209" s="1069"/>
      <c r="BV209" s="1069"/>
      <c r="BW209" s="1069"/>
      <c r="BX209" s="1069"/>
      <c r="BY209" s="1069"/>
      <c r="BZ209" s="1069"/>
      <c r="CA209" s="640">
        <f t="shared" si="95"/>
        <v>200000000</v>
      </c>
      <c r="CB209" s="640">
        <f t="shared" si="95"/>
        <v>73840726.666666657</v>
      </c>
      <c r="CC209" s="640">
        <f t="shared" si="95"/>
        <v>28891704.666666664</v>
      </c>
      <c r="CD209" s="640">
        <f t="shared" si="94"/>
        <v>27006371.333333332</v>
      </c>
      <c r="CE209" s="641">
        <f t="shared" si="114"/>
        <v>0</v>
      </c>
      <c r="CF209" s="642">
        <f t="shared" si="115"/>
        <v>-190523893.55833337</v>
      </c>
      <c r="CG209" s="642">
        <f t="shared" si="115"/>
        <v>-233427742.48333335</v>
      </c>
      <c r="CH209" s="643">
        <f t="shared" si="115"/>
        <v>27006371.333333332</v>
      </c>
      <c r="CK209" s="39" t="s">
        <v>596</v>
      </c>
      <c r="CL209" s="638">
        <v>264364620.22500002</v>
      </c>
      <c r="CM209" s="638">
        <v>262319447.15000001</v>
      </c>
    </row>
    <row r="210" spans="1:92" ht="33" x14ac:dyDescent="0.3">
      <c r="A210" s="1066" t="s">
        <v>598</v>
      </c>
      <c r="B210" s="1005">
        <v>40000000</v>
      </c>
      <c r="C210" s="1078">
        <f t="shared" si="124"/>
        <v>40000000</v>
      </c>
      <c r="D210" s="1078">
        <f t="shared" si="124"/>
        <v>14768145.333333334</v>
      </c>
      <c r="E210" s="1078">
        <f t="shared" si="124"/>
        <v>5778340.9333333336</v>
      </c>
      <c r="F210" s="1078">
        <f t="shared" si="124"/>
        <v>5401274.2666666666</v>
      </c>
      <c r="G210" s="1069"/>
      <c r="H210" s="1069"/>
      <c r="I210" s="1069"/>
      <c r="J210" s="1069"/>
      <c r="K210" s="1069"/>
      <c r="L210" s="1069"/>
      <c r="M210" s="1069"/>
      <c r="N210" s="1069"/>
      <c r="O210" s="1069"/>
      <c r="P210" s="1069"/>
      <c r="Q210" s="1069"/>
      <c r="R210" s="1069"/>
      <c r="S210" s="1069"/>
      <c r="T210" s="1069"/>
      <c r="U210" s="1069"/>
      <c r="V210" s="1069"/>
      <c r="W210" s="1069"/>
      <c r="X210" s="1069"/>
      <c r="Y210" s="1069"/>
      <c r="Z210" s="1069"/>
      <c r="AA210" s="1069"/>
      <c r="AB210" s="1069"/>
      <c r="AC210" s="1069"/>
      <c r="AD210" s="1069"/>
      <c r="AE210" s="1069"/>
      <c r="AF210" s="1069"/>
      <c r="AG210" s="1069"/>
      <c r="AH210" s="1069"/>
      <c r="AI210" s="1008"/>
      <c r="AJ210" s="1008"/>
      <c r="AK210" s="1008"/>
      <c r="AL210" s="1008"/>
      <c r="AM210" s="1069"/>
      <c r="AN210" s="1069"/>
      <c r="AO210" s="1069"/>
      <c r="AP210" s="1069"/>
      <c r="AQ210" s="1069"/>
      <c r="AR210" s="1069"/>
      <c r="AS210" s="1069"/>
      <c r="AT210" s="1069"/>
      <c r="AU210" s="1069"/>
      <c r="AV210" s="1069"/>
      <c r="AW210" s="1069"/>
      <c r="AX210" s="1069"/>
      <c r="AY210" s="1069"/>
      <c r="AZ210" s="1069"/>
      <c r="BA210" s="1069"/>
      <c r="BB210" s="1069"/>
      <c r="BC210" s="1069"/>
      <c r="BD210" s="1069"/>
      <c r="BE210" s="1069"/>
      <c r="BF210" s="1069"/>
      <c r="BG210" s="1069"/>
      <c r="BH210" s="1069"/>
      <c r="BI210" s="1069"/>
      <c r="BJ210" s="1069"/>
      <c r="BK210" s="988"/>
      <c r="BL210" s="988"/>
      <c r="BM210" s="988"/>
      <c r="BN210" s="988"/>
      <c r="BO210" s="1069"/>
      <c r="BP210" s="1069"/>
      <c r="BQ210" s="1069"/>
      <c r="BR210" s="1069"/>
      <c r="BS210" s="1069"/>
      <c r="BT210" s="1069"/>
      <c r="BU210" s="1069"/>
      <c r="BV210" s="1069"/>
      <c r="BW210" s="1069"/>
      <c r="BX210" s="1069"/>
      <c r="BY210" s="1069"/>
      <c r="BZ210" s="1069"/>
      <c r="CA210" s="640">
        <f t="shared" si="95"/>
        <v>40000000</v>
      </c>
      <c r="CB210" s="640">
        <f t="shared" si="95"/>
        <v>14768145.333333334</v>
      </c>
      <c r="CC210" s="640">
        <f t="shared" si="95"/>
        <v>5778340.9333333336</v>
      </c>
      <c r="CD210" s="640">
        <f t="shared" si="94"/>
        <v>5401274.2666666666</v>
      </c>
      <c r="CE210" s="641">
        <f t="shared" si="114"/>
        <v>0</v>
      </c>
      <c r="CF210" s="642">
        <f t="shared" si="115"/>
        <v>-2287636.6166666653</v>
      </c>
      <c r="CG210" s="642">
        <f t="shared" si="115"/>
        <v>-11145494.366666667</v>
      </c>
      <c r="CH210" s="643">
        <f t="shared" si="115"/>
        <v>5401274.2666666666</v>
      </c>
      <c r="CK210" s="39" t="s">
        <v>598</v>
      </c>
      <c r="CL210" s="638">
        <v>17055781.949999999</v>
      </c>
      <c r="CM210" s="638">
        <v>16923835.300000001</v>
      </c>
    </row>
    <row r="211" spans="1:92" s="1029" customFormat="1" ht="39" customHeight="1" x14ac:dyDescent="0.25">
      <c r="A211" s="1029" t="s">
        <v>1605</v>
      </c>
      <c r="B211" s="671">
        <f>+B2+B10+B15+B23+B29+B35+B45+B49+B53+B58+B63+B68+B79+B85+B97+B101+B117+B122+B127+B130+B136+B143+B147+B162+B173+B181+B190+B194+B199+B206</f>
        <v>16051400677</v>
      </c>
      <c r="C211" s="1000">
        <f>+C2+C10+C15+C23+C29+C35+C45+C49+C53+C58+C63+C68+C79+C85+C97+C101+C117+C122+C127+C130+C136+C143+C147+C162+C173+C181+C190+C194+C199+C206</f>
        <v>11931400677</v>
      </c>
      <c r="D211" s="1000">
        <f t="shared" ref="D211:BO211" si="125">+D2+D10+D15+D23+D29+D35+D45+D49+D53+D58+D63+D68+D79+D85+D97+D101+D117+D122+D127+D130+D136+D143+D147+D162+D173+D181+D190+D194+D199+D206</f>
        <v>7988944119</v>
      </c>
      <c r="E211" s="1000">
        <f t="shared" si="125"/>
        <v>1668510967</v>
      </c>
      <c r="F211" s="1000">
        <f t="shared" si="125"/>
        <v>1498741597</v>
      </c>
      <c r="G211" s="1000">
        <f t="shared" si="125"/>
        <v>630000000</v>
      </c>
      <c r="H211" s="1000">
        <f t="shared" si="125"/>
        <v>625000000</v>
      </c>
      <c r="I211" s="1000">
        <f t="shared" si="125"/>
        <v>0</v>
      </c>
      <c r="J211" s="1000">
        <f t="shared" si="125"/>
        <v>0</v>
      </c>
      <c r="K211" s="1000">
        <f t="shared" si="125"/>
        <v>225000000</v>
      </c>
      <c r="L211" s="1000">
        <f t="shared" si="125"/>
        <v>177521333</v>
      </c>
      <c r="M211" s="1000">
        <f t="shared" si="125"/>
        <v>73470000</v>
      </c>
      <c r="N211" s="1000">
        <f t="shared" si="125"/>
        <v>65481000</v>
      </c>
      <c r="O211" s="1000">
        <f t="shared" si="125"/>
        <v>225000000</v>
      </c>
      <c r="P211" s="1000">
        <f t="shared" si="125"/>
        <v>219492920</v>
      </c>
      <c r="Q211" s="1000">
        <f t="shared" si="125"/>
        <v>81086146</v>
      </c>
      <c r="R211" s="1000">
        <f t="shared" si="125"/>
        <v>66682546</v>
      </c>
      <c r="S211" s="1000">
        <f t="shared" si="125"/>
        <v>800000000</v>
      </c>
      <c r="T211" s="1000">
        <f t="shared" si="125"/>
        <v>416836367</v>
      </c>
      <c r="U211" s="1000">
        <f t="shared" si="125"/>
        <v>143430196</v>
      </c>
      <c r="V211" s="1000">
        <f t="shared" si="125"/>
        <v>102568896</v>
      </c>
      <c r="W211" s="1000">
        <f t="shared" si="125"/>
        <v>1200000000</v>
      </c>
      <c r="X211" s="1000">
        <f t="shared" si="125"/>
        <v>165617500</v>
      </c>
      <c r="Y211" s="1000">
        <f t="shared" si="125"/>
        <v>87886059</v>
      </c>
      <c r="Z211" s="1000">
        <f t="shared" si="125"/>
        <v>181877059</v>
      </c>
      <c r="AA211" s="1000">
        <f t="shared" si="125"/>
        <v>1040000000</v>
      </c>
      <c r="AB211" s="1000">
        <f t="shared" si="125"/>
        <v>347553167</v>
      </c>
      <c r="AC211" s="1000">
        <f t="shared" si="125"/>
        <v>69209266</v>
      </c>
      <c r="AD211" s="1000">
        <f t="shared" si="125"/>
        <v>56838266</v>
      </c>
      <c r="AE211" s="1000">
        <f t="shared" si="125"/>
        <v>0</v>
      </c>
      <c r="AF211" s="1000">
        <f t="shared" si="125"/>
        <v>0</v>
      </c>
      <c r="AG211" s="1000">
        <f t="shared" si="125"/>
        <v>0</v>
      </c>
      <c r="AH211" s="1000">
        <f t="shared" si="125"/>
        <v>0</v>
      </c>
      <c r="AI211" s="1000">
        <f t="shared" si="125"/>
        <v>0</v>
      </c>
      <c r="AJ211" s="1000">
        <f t="shared" si="125"/>
        <v>0</v>
      </c>
      <c r="AK211" s="1000">
        <f t="shared" si="125"/>
        <v>0</v>
      </c>
      <c r="AL211" s="1000">
        <f t="shared" si="125"/>
        <v>0</v>
      </c>
      <c r="AM211" s="1000">
        <f t="shared" si="125"/>
        <v>0</v>
      </c>
      <c r="AN211" s="1000">
        <f t="shared" si="125"/>
        <v>0</v>
      </c>
      <c r="AO211" s="1000">
        <f t="shared" si="125"/>
        <v>0</v>
      </c>
      <c r="AP211" s="1000">
        <f t="shared" si="125"/>
        <v>0</v>
      </c>
      <c r="AQ211" s="1000">
        <f t="shared" si="125"/>
        <v>0</v>
      </c>
      <c r="AR211" s="1000">
        <f t="shared" si="125"/>
        <v>0</v>
      </c>
      <c r="AS211" s="1000">
        <f t="shared" si="125"/>
        <v>0</v>
      </c>
      <c r="AT211" s="1000">
        <f t="shared" si="125"/>
        <v>0</v>
      </c>
      <c r="AU211" s="1000">
        <f t="shared" si="125"/>
        <v>0</v>
      </c>
      <c r="AV211" s="1000">
        <f t="shared" si="125"/>
        <v>0</v>
      </c>
      <c r="AW211" s="1000">
        <f t="shared" si="125"/>
        <v>0</v>
      </c>
      <c r="AX211" s="1000">
        <f t="shared" si="125"/>
        <v>0</v>
      </c>
      <c r="AY211" s="1000">
        <f t="shared" si="125"/>
        <v>0</v>
      </c>
      <c r="AZ211" s="1000">
        <f t="shared" si="125"/>
        <v>0</v>
      </c>
      <c r="BA211" s="1000">
        <f t="shared" si="125"/>
        <v>0</v>
      </c>
      <c r="BB211" s="1000">
        <f t="shared" si="125"/>
        <v>0</v>
      </c>
      <c r="BC211" s="1000">
        <f t="shared" si="125"/>
        <v>0</v>
      </c>
      <c r="BD211" s="1000">
        <f t="shared" si="125"/>
        <v>0</v>
      </c>
      <c r="BE211" s="1000">
        <f t="shared" si="125"/>
        <v>0</v>
      </c>
      <c r="BF211" s="1000">
        <f t="shared" si="125"/>
        <v>0</v>
      </c>
      <c r="BG211" s="1000">
        <f t="shared" si="125"/>
        <v>0</v>
      </c>
      <c r="BH211" s="1000">
        <f t="shared" si="125"/>
        <v>0</v>
      </c>
      <c r="BI211" s="1000">
        <f t="shared" si="125"/>
        <v>0</v>
      </c>
      <c r="BJ211" s="1000">
        <f t="shared" si="125"/>
        <v>0</v>
      </c>
      <c r="BK211" s="1000">
        <f t="shared" si="125"/>
        <v>0</v>
      </c>
      <c r="BL211" s="1000">
        <f t="shared" si="125"/>
        <v>0</v>
      </c>
      <c r="BM211" s="1000">
        <f t="shared" si="125"/>
        <v>0</v>
      </c>
      <c r="BN211" s="1000">
        <f t="shared" si="125"/>
        <v>0</v>
      </c>
      <c r="BO211" s="1000">
        <f t="shared" si="125"/>
        <v>0</v>
      </c>
      <c r="BP211" s="1000">
        <f t="shared" ref="BP211:CD211" si="126">+BP2+BP10+BP15+BP23+BP29+BP35+BP45+BP49+BP53+BP58+BP63+BP68+BP79+BP85+BP97+BP101+BP117+BP122+BP127+BP130+BP136+BP143+BP147+BP162+BP173+BP181+BP190+BP194+BP199+BP206</f>
        <v>0</v>
      </c>
      <c r="BQ211" s="1000">
        <f t="shared" si="126"/>
        <v>0</v>
      </c>
      <c r="BR211" s="1000">
        <f t="shared" si="126"/>
        <v>0</v>
      </c>
      <c r="BS211" s="1000">
        <f t="shared" si="126"/>
        <v>28540926652</v>
      </c>
      <c r="BT211" s="1000">
        <f t="shared" si="126"/>
        <v>5973286993</v>
      </c>
      <c r="BU211" s="1000">
        <f t="shared" si="126"/>
        <v>187867273</v>
      </c>
      <c r="BV211" s="1000">
        <f t="shared" si="126"/>
        <v>121067627</v>
      </c>
      <c r="BW211" s="1000">
        <f t="shared" si="126"/>
        <v>0</v>
      </c>
      <c r="BX211" s="1000">
        <f t="shared" si="126"/>
        <v>0</v>
      </c>
      <c r="BY211" s="1000">
        <f t="shared" si="126"/>
        <v>0</v>
      </c>
      <c r="BZ211" s="1000">
        <f t="shared" si="126"/>
        <v>0</v>
      </c>
      <c r="CA211" s="1000" t="e">
        <f t="shared" si="126"/>
        <v>#DIV/0!</v>
      </c>
      <c r="CB211" s="1000" t="e">
        <f t="shared" si="126"/>
        <v>#DIV/0!</v>
      </c>
      <c r="CC211" s="1000" t="e">
        <f t="shared" si="126"/>
        <v>#DIV/0!</v>
      </c>
      <c r="CD211" s="1000" t="e">
        <f t="shared" si="126"/>
        <v>#DIV/0!</v>
      </c>
      <c r="CE211" s="672" t="e">
        <f>+CE2+CE10+CE15+CE23+CE29+CE35+CE45+CE49+CE53+CE58+CE63+CE68+CE79+CE85+CE97+CE101+CE117+CE122+CE127+CE130+CE136+CE143+CE147+CE162+CE173+CE181+CE190+CE194+CE199+CE206</f>
        <v>#DIV/0!</v>
      </c>
      <c r="CF211" s="672" t="e">
        <f t="shared" ref="CF211:CH211" si="127">+CF2+CF10+CF15+CF23+CF29+CF35+CF45+CF49+CF53+CF58+CF63+CF68+CF79+CF85+CF97+CF101+CF117+CF122+CF127+CF130+CF136+CF143+CF147+CF162+CF173+CF181+CF190+CF194+CF199+CF206</f>
        <v>#DIV/0!</v>
      </c>
      <c r="CG211" s="672" t="e">
        <f t="shared" si="127"/>
        <v>#DIV/0!</v>
      </c>
      <c r="CH211" s="672" t="e">
        <f t="shared" si="127"/>
        <v>#DIV/0!</v>
      </c>
      <c r="CJ211" s="793"/>
      <c r="CK211" s="793"/>
      <c r="CL211" s="1009">
        <f>+CL2+CL10+CL15+CL23+CL29+CL35+CL45+CL49+CL53+CL58+CL63+CL68+CL79+CL85+CL97+CL101+CL117+CL122+CL127+CL130+CL136+CL143+CL147+CL162+CL173+CL181+CL190+CL194+CL199+CL206</f>
        <v>81877059</v>
      </c>
      <c r="CM211" s="1009">
        <f t="shared" ref="CM211:CN211" si="128">+CM2+CM10+CM15+CM23+CM29+CM35+CM45+CM49+CM53+CM58+CM63+CM68+CM79+CM85+CM97+CM101+CM117+CM122+CM127+CM130+CM136+CM143+CM147+CM162+CM173+CM181+CM190+CM194+CM199+CM206</f>
        <v>200000000</v>
      </c>
      <c r="CN211" s="1009">
        <f t="shared" si="128"/>
        <v>158202167</v>
      </c>
    </row>
    <row r="213" spans="1:92" x14ac:dyDescent="0.25">
      <c r="B213" s="1042"/>
      <c r="C213" s="1042"/>
      <c r="V213" s="1042"/>
    </row>
    <row r="214" spans="1:92" x14ac:dyDescent="0.25">
      <c r="B214" s="1042"/>
      <c r="I214" s="1042"/>
    </row>
    <row r="215" spans="1:92" x14ac:dyDescent="0.25">
      <c r="B215" s="1042"/>
      <c r="C215" s="1042"/>
      <c r="CK215" s="975"/>
    </row>
    <row r="216" spans="1:92" x14ac:dyDescent="0.25">
      <c r="CK216" s="975"/>
    </row>
    <row r="217" spans="1:92" x14ac:dyDescent="0.25">
      <c r="B217" s="1042"/>
      <c r="CK217" s="1080"/>
    </row>
    <row r="218" spans="1:92" x14ac:dyDescent="0.25">
      <c r="CK218" s="1081"/>
    </row>
    <row r="253" spans="89:89" x14ac:dyDescent="0.25">
      <c r="CK253" s="975"/>
    </row>
    <row r="254" spans="89:89" x14ac:dyDescent="0.25">
      <c r="CK254" s="975"/>
    </row>
    <row r="255" spans="89:89" x14ac:dyDescent="0.25">
      <c r="CK255" s="975"/>
    </row>
    <row r="256" spans="89:89" x14ac:dyDescent="0.25">
      <c r="CK256" s="975"/>
    </row>
    <row r="257" spans="89:89" x14ac:dyDescent="0.25">
      <c r="CK257" s="975"/>
    </row>
    <row r="258" spans="89:89" x14ac:dyDescent="0.25">
      <c r="CK258" s="975"/>
    </row>
    <row r="259" spans="89:89" x14ac:dyDescent="0.25">
      <c r="CK259" s="975"/>
    </row>
    <row r="260" spans="89:89" x14ac:dyDescent="0.25">
      <c r="CK260" s="975"/>
    </row>
    <row r="261" spans="89:89" x14ac:dyDescent="0.25">
      <c r="CK261" s="975"/>
    </row>
    <row r="262" spans="89:89" x14ac:dyDescent="0.25">
      <c r="CK262" s="975"/>
    </row>
    <row r="263" spans="89:89" x14ac:dyDescent="0.25">
      <c r="CK263" s="975"/>
    </row>
    <row r="264" spans="89:89" x14ac:dyDescent="0.25">
      <c r="CK264" s="975"/>
    </row>
    <row r="265" spans="89:89" x14ac:dyDescent="0.25">
      <c r="CK265" s="975"/>
    </row>
    <row r="266" spans="89:89" x14ac:dyDescent="0.25">
      <c r="CK266" s="1080"/>
    </row>
    <row r="267" spans="89:89" x14ac:dyDescent="0.25">
      <c r="CK267" s="1080"/>
    </row>
    <row r="268" spans="89:89" x14ac:dyDescent="0.25">
      <c r="CK268" s="1080"/>
    </row>
    <row r="269" spans="89:89" x14ac:dyDescent="0.25">
      <c r="CK269" s="1080"/>
    </row>
    <row r="270" spans="89:89" x14ac:dyDescent="0.25">
      <c r="CK270" s="1080"/>
    </row>
    <row r="271" spans="89:89" x14ac:dyDescent="0.25">
      <c r="CK271" s="1080"/>
    </row>
    <row r="272" spans="89:89" x14ac:dyDescent="0.25">
      <c r="CK272" s="1080"/>
    </row>
    <row r="273" spans="89:89" x14ac:dyDescent="0.25">
      <c r="CK273" s="1080"/>
    </row>
    <row r="274" spans="89:89" x14ac:dyDescent="0.25">
      <c r="CK274" s="1080"/>
    </row>
    <row r="275" spans="89:89" x14ac:dyDescent="0.25">
      <c r="CK275" s="1080"/>
    </row>
    <row r="276" spans="89:89" x14ac:dyDescent="0.25">
      <c r="CK276" s="1080"/>
    </row>
    <row r="277" spans="89:89" x14ac:dyDescent="0.25">
      <c r="CK277" s="1080"/>
    </row>
    <row r="278" spans="89:89" x14ac:dyDescent="0.25">
      <c r="CK278" s="1080"/>
    </row>
    <row r="279" spans="89:89" x14ac:dyDescent="0.25">
      <c r="CK279" s="1080"/>
    </row>
    <row r="280" spans="89:89" x14ac:dyDescent="0.25">
      <c r="CK280" s="1080"/>
    </row>
    <row r="281" spans="89:89" x14ac:dyDescent="0.25">
      <c r="CK281" s="1080"/>
    </row>
    <row r="282" spans="89:89" x14ac:dyDescent="0.25">
      <c r="CK282" s="1080"/>
    </row>
    <row r="283" spans="89:89" x14ac:dyDescent="0.25">
      <c r="CK283" s="1080"/>
    </row>
    <row r="284" spans="89:89" x14ac:dyDescent="0.25">
      <c r="CK284" s="1080"/>
    </row>
    <row r="285" spans="89:89" x14ac:dyDescent="0.25">
      <c r="CK285" s="1080"/>
    </row>
    <row r="286" spans="89:89" x14ac:dyDescent="0.25">
      <c r="CK286" s="1080"/>
    </row>
    <row r="287" spans="89:89" x14ac:dyDescent="0.25">
      <c r="CK287" s="1080"/>
    </row>
    <row r="288" spans="89:89" x14ac:dyDescent="0.25">
      <c r="CK288" s="1080"/>
    </row>
    <row r="289" spans="89:89" x14ac:dyDescent="0.25">
      <c r="CK289" s="1080"/>
    </row>
    <row r="290" spans="89:89" x14ac:dyDescent="0.25">
      <c r="CK290" s="1080"/>
    </row>
    <row r="291" spans="89:89" x14ac:dyDescent="0.25">
      <c r="CK291" s="1080"/>
    </row>
    <row r="292" spans="89:89" x14ac:dyDescent="0.25">
      <c r="CK292" s="1080"/>
    </row>
    <row r="293" spans="89:89" x14ac:dyDescent="0.25">
      <c r="CK293" s="1080"/>
    </row>
    <row r="294" spans="89:89" x14ac:dyDescent="0.25">
      <c r="CK294" s="1080"/>
    </row>
    <row r="295" spans="89:89" x14ac:dyDescent="0.25">
      <c r="CK295" s="1080"/>
    </row>
    <row r="296" spans="89:89" x14ac:dyDescent="0.25">
      <c r="CK296" s="1080"/>
    </row>
    <row r="297" spans="89:89" x14ac:dyDescent="0.25">
      <c r="CK297" s="1080"/>
    </row>
    <row r="298" spans="89:89" x14ac:dyDescent="0.25">
      <c r="CK298" s="1080"/>
    </row>
    <row r="299" spans="89:89" x14ac:dyDescent="0.25">
      <c r="CK299" s="1080"/>
    </row>
    <row r="300" spans="89:89" x14ac:dyDescent="0.25">
      <c r="CK300" s="1080"/>
    </row>
    <row r="301" spans="89:89" x14ac:dyDescent="0.25">
      <c r="CK301" s="1080"/>
    </row>
    <row r="302" spans="89:89" x14ac:dyDescent="0.25">
      <c r="CK302" s="1080"/>
    </row>
    <row r="303" spans="89:89" x14ac:dyDescent="0.25">
      <c r="CK303" s="1080"/>
    </row>
    <row r="304" spans="89:89" x14ac:dyDescent="0.25">
      <c r="CK304" s="1080"/>
    </row>
    <row r="305" spans="89:89" x14ac:dyDescent="0.25">
      <c r="CK305" s="1080"/>
    </row>
    <row r="306" spans="89:89" x14ac:dyDescent="0.25">
      <c r="CK306" s="1080"/>
    </row>
    <row r="307" spans="89:89" x14ac:dyDescent="0.25">
      <c r="CK307" s="1080"/>
    </row>
    <row r="308" spans="89:89" x14ac:dyDescent="0.25">
      <c r="CK308" s="1080"/>
    </row>
    <row r="309" spans="89:89" x14ac:dyDescent="0.25">
      <c r="CK309" s="1080"/>
    </row>
    <row r="310" spans="89:89" x14ac:dyDescent="0.25">
      <c r="CK310" s="1080"/>
    </row>
    <row r="311" spans="89:89" x14ac:dyDescent="0.25">
      <c r="CK311" s="1080"/>
    </row>
    <row r="312" spans="89:89" x14ac:dyDescent="0.25">
      <c r="CK312" s="1080"/>
    </row>
    <row r="313" spans="89:89" x14ac:dyDescent="0.25">
      <c r="CK313" s="1080"/>
    </row>
    <row r="314" spans="89:89" x14ac:dyDescent="0.25">
      <c r="CK314" s="1080"/>
    </row>
    <row r="315" spans="89:89" x14ac:dyDescent="0.25">
      <c r="CK315" s="1080"/>
    </row>
    <row r="316" spans="89:89" x14ac:dyDescent="0.25">
      <c r="CK316" s="1080"/>
    </row>
    <row r="317" spans="89:89" x14ac:dyDescent="0.25">
      <c r="CK317" s="1080"/>
    </row>
    <row r="318" spans="89:89" x14ac:dyDescent="0.25">
      <c r="CK318" s="1080"/>
    </row>
    <row r="319" spans="89:89" x14ac:dyDescent="0.25">
      <c r="CK319" s="1080"/>
    </row>
    <row r="320" spans="89:89" x14ac:dyDescent="0.25">
      <c r="CK320" s="1080"/>
    </row>
    <row r="321" spans="89:89" x14ac:dyDescent="0.25">
      <c r="CK321" s="1080"/>
    </row>
    <row r="322" spans="89:89" x14ac:dyDescent="0.25">
      <c r="CK322" s="1080"/>
    </row>
    <row r="323" spans="89:89" x14ac:dyDescent="0.25">
      <c r="CK323" s="1080"/>
    </row>
    <row r="324" spans="89:89" x14ac:dyDescent="0.25">
      <c r="CK324" s="1080"/>
    </row>
    <row r="325" spans="89:89" x14ac:dyDescent="0.25">
      <c r="CK325" s="1080"/>
    </row>
    <row r="326" spans="89:89" x14ac:dyDescent="0.25">
      <c r="CK326" s="1080"/>
    </row>
    <row r="327" spans="89:89" x14ac:dyDescent="0.25">
      <c r="CK327" s="1080"/>
    </row>
    <row r="328" spans="89:89" x14ac:dyDescent="0.25">
      <c r="CK328" s="1080"/>
    </row>
    <row r="329" spans="89:89" x14ac:dyDescent="0.25">
      <c r="CK329" s="1080"/>
    </row>
    <row r="330" spans="89:89" x14ac:dyDescent="0.25">
      <c r="CK330" s="1080"/>
    </row>
    <row r="331" spans="89:89" x14ac:dyDescent="0.25">
      <c r="CK331" s="1080"/>
    </row>
    <row r="332" spans="89:89" x14ac:dyDescent="0.25">
      <c r="CK332" s="1080"/>
    </row>
    <row r="333" spans="89:89" x14ac:dyDescent="0.25">
      <c r="CK333" s="1080"/>
    </row>
    <row r="334" spans="89:89" x14ac:dyDescent="0.25">
      <c r="CK334" s="1080"/>
    </row>
    <row r="335" spans="89:89" x14ac:dyDescent="0.25">
      <c r="CK335" s="1080"/>
    </row>
    <row r="336" spans="89:89" x14ac:dyDescent="0.25">
      <c r="CK336" s="1080"/>
    </row>
    <row r="337" spans="89:89" x14ac:dyDescent="0.25">
      <c r="CK337" s="1080"/>
    </row>
    <row r="338" spans="89:89" x14ac:dyDescent="0.25">
      <c r="CK338" s="1080"/>
    </row>
    <row r="339" spans="89:89" x14ac:dyDescent="0.25">
      <c r="CK339" s="1080"/>
    </row>
    <row r="340" spans="89:89" x14ac:dyDescent="0.25">
      <c r="CK340" s="1080"/>
    </row>
    <row r="341" spans="89:89" x14ac:dyDescent="0.25">
      <c r="CK341" s="1080"/>
    </row>
    <row r="342" spans="89:89" x14ac:dyDescent="0.25">
      <c r="CK342" s="1080"/>
    </row>
    <row r="343" spans="89:89" x14ac:dyDescent="0.25">
      <c r="CK343" s="1080"/>
    </row>
    <row r="344" spans="89:89" x14ac:dyDescent="0.25">
      <c r="CK344" s="1080"/>
    </row>
    <row r="345" spans="89:89" x14ac:dyDescent="0.25">
      <c r="CK345" s="1080"/>
    </row>
    <row r="346" spans="89:89" x14ac:dyDescent="0.25">
      <c r="CK346" s="1080"/>
    </row>
    <row r="347" spans="89:89" x14ac:dyDescent="0.25">
      <c r="CK347" s="1080"/>
    </row>
    <row r="348" spans="89:89" x14ac:dyDescent="0.25">
      <c r="CK348" s="1080"/>
    </row>
    <row r="349" spans="89:89" x14ac:dyDescent="0.25">
      <c r="CK349" s="1080"/>
    </row>
    <row r="350" spans="89:89" x14ac:dyDescent="0.25">
      <c r="CK350" s="1080"/>
    </row>
    <row r="351" spans="89:89" x14ac:dyDescent="0.25">
      <c r="CK351" s="1080"/>
    </row>
    <row r="352" spans="89:89" x14ac:dyDescent="0.25">
      <c r="CK352" s="1080"/>
    </row>
    <row r="353" spans="89:89" x14ac:dyDescent="0.25">
      <c r="CK353" s="1080"/>
    </row>
    <row r="354" spans="89:89" x14ac:dyDescent="0.25">
      <c r="CK354" s="1080"/>
    </row>
    <row r="355" spans="89:89" x14ac:dyDescent="0.25">
      <c r="CK355" s="1080"/>
    </row>
    <row r="356" spans="89:89" x14ac:dyDescent="0.25">
      <c r="CK356" s="1080"/>
    </row>
    <row r="357" spans="89:89" x14ac:dyDescent="0.25">
      <c r="CK357" s="1080"/>
    </row>
    <row r="358" spans="89:89" x14ac:dyDescent="0.25">
      <c r="CK358" s="1080"/>
    </row>
    <row r="359" spans="89:89" x14ac:dyDescent="0.25">
      <c r="CK359" s="1080"/>
    </row>
    <row r="360" spans="89:89" x14ac:dyDescent="0.25">
      <c r="CK360" s="1080"/>
    </row>
    <row r="361" spans="89:89" x14ac:dyDescent="0.25">
      <c r="CK361" s="1080"/>
    </row>
    <row r="362" spans="89:89" x14ac:dyDescent="0.25">
      <c r="CK362" s="1080"/>
    </row>
    <row r="363" spans="89:89" x14ac:dyDescent="0.25">
      <c r="CK363" s="1080"/>
    </row>
    <row r="364" spans="89:89" x14ac:dyDescent="0.25">
      <c r="CK364" s="1080"/>
    </row>
    <row r="365" spans="89:89" x14ac:dyDescent="0.25">
      <c r="CK365" s="1080"/>
    </row>
    <row r="366" spans="89:89" x14ac:dyDescent="0.25">
      <c r="CK366" s="1080"/>
    </row>
    <row r="367" spans="89:89" x14ac:dyDescent="0.25">
      <c r="CK367" s="1080"/>
    </row>
    <row r="368" spans="89:89" x14ac:dyDescent="0.25">
      <c r="CK368" s="1080"/>
    </row>
    <row r="369" spans="89:89" x14ac:dyDescent="0.25">
      <c r="CK369" s="1080"/>
    </row>
    <row r="370" spans="89:89" x14ac:dyDescent="0.25">
      <c r="CK370" s="1080"/>
    </row>
    <row r="371" spans="89:89" x14ac:dyDescent="0.25">
      <c r="CK371" s="1080"/>
    </row>
    <row r="372" spans="89:89" x14ac:dyDescent="0.25">
      <c r="CK372" s="1080"/>
    </row>
    <row r="373" spans="89:89" x14ac:dyDescent="0.25">
      <c r="CK373" s="1080"/>
    </row>
    <row r="374" spans="89:89" x14ac:dyDescent="0.25">
      <c r="CK374" s="1080"/>
    </row>
    <row r="375" spans="89:89" x14ac:dyDescent="0.25">
      <c r="CK375" s="1080"/>
    </row>
    <row r="376" spans="89:89" x14ac:dyDescent="0.25">
      <c r="CK376" s="1080"/>
    </row>
    <row r="377" spans="89:89" x14ac:dyDescent="0.25">
      <c r="CK377" s="1080"/>
    </row>
    <row r="378" spans="89:89" x14ac:dyDescent="0.25">
      <c r="CK378" s="1080"/>
    </row>
    <row r="379" spans="89:89" x14ac:dyDescent="0.25">
      <c r="CK379" s="1080"/>
    </row>
    <row r="380" spans="89:89" x14ac:dyDescent="0.25">
      <c r="CK380" s="1080"/>
    </row>
    <row r="381" spans="89:89" x14ac:dyDescent="0.25">
      <c r="CK381" s="1080"/>
    </row>
    <row r="382" spans="89:89" x14ac:dyDescent="0.25">
      <c r="CK382" s="1080"/>
    </row>
    <row r="383" spans="89:89" x14ac:dyDescent="0.25">
      <c r="CK383" s="1080"/>
    </row>
    <row r="384" spans="89:89" x14ac:dyDescent="0.25">
      <c r="CK384" s="1080"/>
    </row>
    <row r="385" spans="89:89" x14ac:dyDescent="0.25">
      <c r="CK385" s="1080"/>
    </row>
    <row r="386" spans="89:89" x14ac:dyDescent="0.25">
      <c r="CK386" s="1080"/>
    </row>
    <row r="387" spans="89:89" x14ac:dyDescent="0.25">
      <c r="CK387" s="1080"/>
    </row>
    <row r="388" spans="89:89" x14ac:dyDescent="0.25">
      <c r="CK388" s="1080"/>
    </row>
    <row r="389" spans="89:89" x14ac:dyDescent="0.25">
      <c r="CK389" s="1080"/>
    </row>
    <row r="390" spans="89:89" x14ac:dyDescent="0.25">
      <c r="CK390" s="1080"/>
    </row>
    <row r="391" spans="89:89" x14ac:dyDescent="0.25">
      <c r="CK391" s="1080"/>
    </row>
    <row r="392" spans="89:89" x14ac:dyDescent="0.25">
      <c r="CK392" s="1080"/>
    </row>
    <row r="393" spans="89:89" x14ac:dyDescent="0.25">
      <c r="CK393" s="1080"/>
    </row>
    <row r="394" spans="89:89" x14ac:dyDescent="0.25">
      <c r="CK394" s="1080"/>
    </row>
    <row r="395" spans="89:89" x14ac:dyDescent="0.25">
      <c r="CK395" s="1080"/>
    </row>
    <row r="396" spans="89:89" x14ac:dyDescent="0.25">
      <c r="CK396" s="1080"/>
    </row>
    <row r="397" spans="89:89" x14ac:dyDescent="0.25">
      <c r="CK397" s="1080"/>
    </row>
    <row r="398" spans="89:89" x14ac:dyDescent="0.25">
      <c r="CK398" s="1080"/>
    </row>
    <row r="399" spans="89:89" x14ac:dyDescent="0.25">
      <c r="CK399" s="1080"/>
    </row>
    <row r="400" spans="89:89" x14ac:dyDescent="0.25">
      <c r="CK400" s="1080"/>
    </row>
    <row r="401" spans="89:89" x14ac:dyDescent="0.25">
      <c r="CK401" s="1080"/>
    </row>
    <row r="402" spans="89:89" x14ac:dyDescent="0.25">
      <c r="CK402" s="1080"/>
    </row>
    <row r="403" spans="89:89" x14ac:dyDescent="0.25">
      <c r="CK403" s="1080"/>
    </row>
    <row r="404" spans="89:89" x14ac:dyDescent="0.25">
      <c r="CK404" s="1080"/>
    </row>
    <row r="405" spans="89:89" x14ac:dyDescent="0.25">
      <c r="CK405" s="1080"/>
    </row>
    <row r="406" spans="89:89" x14ac:dyDescent="0.25">
      <c r="CK406" s="1080"/>
    </row>
    <row r="407" spans="89:89" x14ac:dyDescent="0.25">
      <c r="CK407" s="1080"/>
    </row>
    <row r="408" spans="89:89" x14ac:dyDescent="0.25">
      <c r="CK408" s="1080"/>
    </row>
    <row r="409" spans="89:89" x14ac:dyDescent="0.25">
      <c r="CK409" s="1080"/>
    </row>
    <row r="410" spans="89:89" x14ac:dyDescent="0.25">
      <c r="CK410" s="1080"/>
    </row>
    <row r="411" spans="89:89" x14ac:dyDescent="0.25">
      <c r="CK411" s="1080"/>
    </row>
    <row r="412" spans="89:89" x14ac:dyDescent="0.25">
      <c r="CK412" s="1080"/>
    </row>
    <row r="413" spans="89:89" x14ac:dyDescent="0.25">
      <c r="CK413" s="1080"/>
    </row>
    <row r="414" spans="89:89" x14ac:dyDescent="0.25">
      <c r="CK414" s="1080"/>
    </row>
    <row r="415" spans="89:89" x14ac:dyDescent="0.25">
      <c r="CK415" s="1080"/>
    </row>
    <row r="416" spans="89:89" x14ac:dyDescent="0.25">
      <c r="CK416" s="1080"/>
    </row>
    <row r="417" spans="89:89" x14ac:dyDescent="0.25">
      <c r="CK417" s="1080"/>
    </row>
    <row r="418" spans="89:89" x14ac:dyDescent="0.25">
      <c r="CK418" s="1080"/>
    </row>
    <row r="419" spans="89:89" x14ac:dyDescent="0.25">
      <c r="CK419" s="1080"/>
    </row>
    <row r="420" spans="89:89" x14ac:dyDescent="0.25">
      <c r="CK420" s="1080"/>
    </row>
    <row r="421" spans="89:89" x14ac:dyDescent="0.25">
      <c r="CK421" s="1080"/>
    </row>
    <row r="422" spans="89:89" x14ac:dyDescent="0.25">
      <c r="CK422" s="1080"/>
    </row>
    <row r="423" spans="89:89" x14ac:dyDescent="0.25">
      <c r="CK423" s="1080"/>
    </row>
    <row r="424" spans="89:89" x14ac:dyDescent="0.25">
      <c r="CK424" s="1080"/>
    </row>
    <row r="425" spans="89:89" x14ac:dyDescent="0.25">
      <c r="CK425" s="1080"/>
    </row>
    <row r="426" spans="89:89" x14ac:dyDescent="0.25">
      <c r="CK426" s="1080"/>
    </row>
    <row r="427" spans="89:89" x14ac:dyDescent="0.25">
      <c r="CK427" s="1080"/>
    </row>
    <row r="428" spans="89:89" x14ac:dyDescent="0.25">
      <c r="CK428" s="1080"/>
    </row>
    <row r="429" spans="89:89" x14ac:dyDescent="0.25">
      <c r="CK429" s="1080"/>
    </row>
    <row r="430" spans="89:89" x14ac:dyDescent="0.25">
      <c r="CK430" s="1080"/>
    </row>
    <row r="431" spans="89:89" x14ac:dyDescent="0.25">
      <c r="CK431" s="1080"/>
    </row>
    <row r="432" spans="89:89" x14ac:dyDescent="0.25">
      <c r="CK432" s="1080"/>
    </row>
    <row r="433" spans="89:89" x14ac:dyDescent="0.25">
      <c r="CK433" s="1080"/>
    </row>
    <row r="434" spans="89:89" x14ac:dyDescent="0.25">
      <c r="CK434" s="1080"/>
    </row>
    <row r="435" spans="89:89" x14ac:dyDescent="0.25">
      <c r="CK435" s="1080"/>
    </row>
    <row r="436" spans="89:89" x14ac:dyDescent="0.25">
      <c r="CK436" s="1080"/>
    </row>
    <row r="437" spans="89:89" x14ac:dyDescent="0.25">
      <c r="CK437" s="1080"/>
    </row>
    <row r="438" spans="89:89" x14ac:dyDescent="0.25">
      <c r="CK438" s="1080"/>
    </row>
    <row r="439" spans="89:89" x14ac:dyDescent="0.25">
      <c r="CK439" s="1080"/>
    </row>
    <row r="440" spans="89:89" x14ac:dyDescent="0.25">
      <c r="CK440" s="1080"/>
    </row>
    <row r="441" spans="89:89" x14ac:dyDescent="0.25">
      <c r="CK441" s="1080"/>
    </row>
    <row r="442" spans="89:89" x14ac:dyDescent="0.25">
      <c r="CK442" s="1080"/>
    </row>
    <row r="443" spans="89:89" x14ac:dyDescent="0.25">
      <c r="CK443" s="1080"/>
    </row>
    <row r="444" spans="89:89" x14ac:dyDescent="0.25">
      <c r="CK444" s="1080"/>
    </row>
    <row r="445" spans="89:89" x14ac:dyDescent="0.25">
      <c r="CK445" s="1080"/>
    </row>
    <row r="446" spans="89:89" x14ac:dyDescent="0.25">
      <c r="CK446" s="1080"/>
    </row>
    <row r="447" spans="89:89" x14ac:dyDescent="0.25">
      <c r="CK447" s="1080"/>
    </row>
    <row r="448" spans="89:89" x14ac:dyDescent="0.25">
      <c r="CK448" s="1080"/>
    </row>
    <row r="449" spans="89:89" x14ac:dyDescent="0.25">
      <c r="CK449" s="1080"/>
    </row>
    <row r="450" spans="89:89" x14ac:dyDescent="0.25">
      <c r="CK450" s="1080"/>
    </row>
    <row r="451" spans="89:89" x14ac:dyDescent="0.25">
      <c r="CK451" s="1080"/>
    </row>
    <row r="452" spans="89:89" x14ac:dyDescent="0.25">
      <c r="CK452" s="1080"/>
    </row>
    <row r="453" spans="89:89" x14ac:dyDescent="0.25">
      <c r="CK453" s="1080"/>
    </row>
    <row r="454" spans="89:89" x14ac:dyDescent="0.25">
      <c r="CK454" s="1080"/>
    </row>
    <row r="455" spans="89:89" x14ac:dyDescent="0.25">
      <c r="CK455" s="1080"/>
    </row>
    <row r="456" spans="89:89" x14ac:dyDescent="0.25">
      <c r="CK456" s="1080"/>
    </row>
    <row r="457" spans="89:89" x14ac:dyDescent="0.25">
      <c r="CK457" s="1080"/>
    </row>
    <row r="458" spans="89:89" x14ac:dyDescent="0.25">
      <c r="CK458" s="1080"/>
    </row>
    <row r="459" spans="89:89" x14ac:dyDescent="0.25">
      <c r="CK459" s="1080"/>
    </row>
    <row r="460" spans="89:89" x14ac:dyDescent="0.25">
      <c r="CK460" s="1080"/>
    </row>
    <row r="461" spans="89:89" x14ac:dyDescent="0.25">
      <c r="CK461" s="1080"/>
    </row>
    <row r="462" spans="89:89" x14ac:dyDescent="0.25">
      <c r="CK462" s="1080"/>
    </row>
    <row r="463" spans="89:89" x14ac:dyDescent="0.25">
      <c r="CK463" s="1080"/>
    </row>
    <row r="464" spans="89:89" x14ac:dyDescent="0.25">
      <c r="CK464" s="1080"/>
    </row>
    <row r="465" spans="89:89" x14ac:dyDescent="0.25">
      <c r="CK465" s="1080"/>
    </row>
    <row r="466" spans="89:89" x14ac:dyDescent="0.25">
      <c r="CK466" s="1080"/>
    </row>
    <row r="467" spans="89:89" x14ac:dyDescent="0.25">
      <c r="CK467" s="1080"/>
    </row>
    <row r="468" spans="89:89" x14ac:dyDescent="0.25">
      <c r="CK468" s="1080"/>
    </row>
    <row r="469" spans="89:89" x14ac:dyDescent="0.25">
      <c r="CK469" s="1080"/>
    </row>
    <row r="470" spans="89:89" x14ac:dyDescent="0.25">
      <c r="CK470" s="1080"/>
    </row>
    <row r="471" spans="89:89" x14ac:dyDescent="0.25">
      <c r="CK471" s="1080"/>
    </row>
    <row r="472" spans="89:89" x14ac:dyDescent="0.25">
      <c r="CK472" s="1080"/>
    </row>
    <row r="473" spans="89:89" x14ac:dyDescent="0.25">
      <c r="CK473" s="1080"/>
    </row>
    <row r="474" spans="89:89" x14ac:dyDescent="0.25">
      <c r="CK474" s="1080"/>
    </row>
    <row r="475" spans="89:89" x14ac:dyDescent="0.25">
      <c r="CK475" s="1080"/>
    </row>
    <row r="476" spans="89:89" x14ac:dyDescent="0.25">
      <c r="CK476" s="1080"/>
    </row>
    <row r="477" spans="89:89" x14ac:dyDescent="0.25">
      <c r="CK477" s="1080"/>
    </row>
    <row r="478" spans="89:89" x14ac:dyDescent="0.25">
      <c r="CK478" s="1080"/>
    </row>
    <row r="479" spans="89:89" x14ac:dyDescent="0.25">
      <c r="CK479" s="1080"/>
    </row>
    <row r="480" spans="89:89" x14ac:dyDescent="0.25">
      <c r="CK480" s="1080"/>
    </row>
    <row r="481" spans="89:89" x14ac:dyDescent="0.25">
      <c r="CK481" s="1080"/>
    </row>
    <row r="482" spans="89:89" x14ac:dyDescent="0.25">
      <c r="CK482" s="1080"/>
    </row>
    <row r="483" spans="89:89" x14ac:dyDescent="0.25">
      <c r="CK483" s="1080"/>
    </row>
    <row r="484" spans="89:89" x14ac:dyDescent="0.25">
      <c r="CK484" s="1080"/>
    </row>
    <row r="485" spans="89:89" x14ac:dyDescent="0.25">
      <c r="CK485" s="1080"/>
    </row>
    <row r="486" spans="89:89" x14ac:dyDescent="0.25">
      <c r="CK486" s="1080"/>
    </row>
    <row r="487" spans="89:89" x14ac:dyDescent="0.25">
      <c r="CK487" s="1080"/>
    </row>
    <row r="488" spans="89:89" x14ac:dyDescent="0.25">
      <c r="CK488" s="1080"/>
    </row>
    <row r="489" spans="89:89" x14ac:dyDescent="0.25">
      <c r="CK489" s="1080"/>
    </row>
    <row r="490" spans="89:89" x14ac:dyDescent="0.25">
      <c r="CK490" s="1080"/>
    </row>
    <row r="491" spans="89:89" x14ac:dyDescent="0.25">
      <c r="CK491" s="1080"/>
    </row>
    <row r="492" spans="89:89" x14ac:dyDescent="0.25">
      <c r="CK492" s="1080"/>
    </row>
    <row r="493" spans="89:89" x14ac:dyDescent="0.25">
      <c r="CK493" s="1080"/>
    </row>
    <row r="494" spans="89:89" x14ac:dyDescent="0.25">
      <c r="CK494" s="1080"/>
    </row>
    <row r="495" spans="89:89" x14ac:dyDescent="0.25">
      <c r="CK495" s="1080"/>
    </row>
    <row r="496" spans="89:89" x14ac:dyDescent="0.25">
      <c r="CK496" s="1080"/>
    </row>
    <row r="497" spans="89:89" x14ac:dyDescent="0.25">
      <c r="CK497" s="1080"/>
    </row>
    <row r="498" spans="89:89" x14ac:dyDescent="0.25">
      <c r="CK498" s="1080"/>
    </row>
    <row r="499" spans="89:89" x14ac:dyDescent="0.25">
      <c r="CK499" s="1080"/>
    </row>
    <row r="500" spans="89:89" x14ac:dyDescent="0.25">
      <c r="CK500" s="1080"/>
    </row>
    <row r="501" spans="89:89" x14ac:dyDescent="0.25">
      <c r="CK501" s="1080"/>
    </row>
    <row r="502" spans="89:89" x14ac:dyDescent="0.25">
      <c r="CK502" s="1080"/>
    </row>
    <row r="503" spans="89:89" x14ac:dyDescent="0.25">
      <c r="CK503" s="1080"/>
    </row>
    <row r="504" spans="89:89" x14ac:dyDescent="0.25">
      <c r="CK504" s="1080"/>
    </row>
    <row r="505" spans="89:89" x14ac:dyDescent="0.25">
      <c r="CK505" s="1080"/>
    </row>
    <row r="506" spans="89:89" x14ac:dyDescent="0.25">
      <c r="CK506" s="1080"/>
    </row>
    <row r="507" spans="89:89" x14ac:dyDescent="0.25">
      <c r="CK507" s="1080"/>
    </row>
    <row r="508" spans="89:89" x14ac:dyDescent="0.25">
      <c r="CK508" s="1080"/>
    </row>
    <row r="509" spans="89:89" x14ac:dyDescent="0.25">
      <c r="CK509" s="1080"/>
    </row>
    <row r="510" spans="89:89" x14ac:dyDescent="0.25">
      <c r="CK510" s="1080"/>
    </row>
    <row r="511" spans="89:89" x14ac:dyDescent="0.25">
      <c r="CK511" s="1080"/>
    </row>
    <row r="512" spans="89:89" x14ac:dyDescent="0.25">
      <c r="CK512" s="1080"/>
    </row>
    <row r="513" spans="89:89" x14ac:dyDescent="0.25">
      <c r="CK513" s="1080"/>
    </row>
    <row r="514" spans="89:89" x14ac:dyDescent="0.25">
      <c r="CK514" s="1080"/>
    </row>
    <row r="515" spans="89:89" x14ac:dyDescent="0.25">
      <c r="CK515" s="1080"/>
    </row>
    <row r="516" spans="89:89" x14ac:dyDescent="0.25">
      <c r="CK516" s="1080"/>
    </row>
    <row r="517" spans="89:89" x14ac:dyDescent="0.25">
      <c r="CK517" s="1080"/>
    </row>
    <row r="518" spans="89:89" x14ac:dyDescent="0.25">
      <c r="CK518" s="1080"/>
    </row>
    <row r="519" spans="89:89" x14ac:dyDescent="0.25">
      <c r="CK519" s="1080"/>
    </row>
    <row r="520" spans="89:89" x14ac:dyDescent="0.25">
      <c r="CK520" s="1080"/>
    </row>
    <row r="521" spans="89:89" x14ac:dyDescent="0.25">
      <c r="CK521" s="1080"/>
    </row>
    <row r="522" spans="89:89" x14ac:dyDescent="0.25">
      <c r="CK522" s="1080"/>
    </row>
    <row r="523" spans="89:89" x14ac:dyDescent="0.25">
      <c r="CK523" s="1080"/>
    </row>
    <row r="524" spans="89:89" x14ac:dyDescent="0.25">
      <c r="CK524" s="1080"/>
    </row>
    <row r="525" spans="89:89" x14ac:dyDescent="0.25">
      <c r="CK525" s="1080"/>
    </row>
    <row r="526" spans="89:89" x14ac:dyDescent="0.25">
      <c r="CK526" s="1080"/>
    </row>
    <row r="527" spans="89:89" x14ac:dyDescent="0.25">
      <c r="CK527" s="1080"/>
    </row>
    <row r="528" spans="89:89" x14ac:dyDescent="0.25">
      <c r="CK528" s="1080"/>
    </row>
    <row r="529" spans="89:89" x14ac:dyDescent="0.25">
      <c r="CK529" s="1080"/>
    </row>
    <row r="530" spans="89:89" x14ac:dyDescent="0.25">
      <c r="CK530" s="1080"/>
    </row>
    <row r="531" spans="89:89" x14ac:dyDescent="0.25">
      <c r="CK531" s="1080"/>
    </row>
    <row r="532" spans="89:89" x14ac:dyDescent="0.25">
      <c r="CK532" s="1080"/>
    </row>
    <row r="533" spans="89:89" x14ac:dyDescent="0.25">
      <c r="CK533" s="1080"/>
    </row>
    <row r="534" spans="89:89" x14ac:dyDescent="0.25">
      <c r="CK534" s="1080"/>
    </row>
    <row r="535" spans="89:89" x14ac:dyDescent="0.25">
      <c r="CK535" s="1080"/>
    </row>
    <row r="536" spans="89:89" x14ac:dyDescent="0.25">
      <c r="CK536" s="1080"/>
    </row>
    <row r="537" spans="89:89" x14ac:dyDescent="0.25">
      <c r="CK537" s="1080"/>
    </row>
    <row r="538" spans="89:89" x14ac:dyDescent="0.25">
      <c r="CK538" s="1080"/>
    </row>
    <row r="539" spans="89:89" x14ac:dyDescent="0.25">
      <c r="CK539" s="1080"/>
    </row>
    <row r="540" spans="89:89" x14ac:dyDescent="0.25">
      <c r="CK540" s="1080"/>
    </row>
    <row r="541" spans="89:89" x14ac:dyDescent="0.25">
      <c r="CK541" s="1080"/>
    </row>
    <row r="542" spans="89:89" x14ac:dyDescent="0.25">
      <c r="CK542" s="1080"/>
    </row>
    <row r="543" spans="89:89" x14ac:dyDescent="0.25">
      <c r="CK543" s="1080"/>
    </row>
    <row r="544" spans="89:89" x14ac:dyDescent="0.25">
      <c r="CK544" s="1080"/>
    </row>
    <row r="545" spans="89:89" x14ac:dyDescent="0.25">
      <c r="CK545" s="1080"/>
    </row>
    <row r="546" spans="89:89" x14ac:dyDescent="0.25">
      <c r="CK546" s="1080"/>
    </row>
    <row r="547" spans="89:89" x14ac:dyDescent="0.25">
      <c r="CK547" s="1080"/>
    </row>
    <row r="548" spans="89:89" x14ac:dyDescent="0.25">
      <c r="CK548" s="1080"/>
    </row>
    <row r="549" spans="89:89" x14ac:dyDescent="0.25">
      <c r="CK549" s="1080"/>
    </row>
    <row r="550" spans="89:89" x14ac:dyDescent="0.25">
      <c r="CK550" s="1080"/>
    </row>
    <row r="551" spans="89:89" x14ac:dyDescent="0.25">
      <c r="CK551" s="1080"/>
    </row>
    <row r="552" spans="89:89" x14ac:dyDescent="0.25">
      <c r="CK552" s="1080"/>
    </row>
    <row r="553" spans="89:89" x14ac:dyDescent="0.25">
      <c r="CK553" s="1080"/>
    </row>
    <row r="554" spans="89:89" x14ac:dyDescent="0.25">
      <c r="CK554" s="1080"/>
    </row>
    <row r="555" spans="89:89" x14ac:dyDescent="0.25">
      <c r="CK555" s="1080"/>
    </row>
    <row r="556" spans="89:89" x14ac:dyDescent="0.25">
      <c r="CK556" s="1080"/>
    </row>
    <row r="557" spans="89:89" x14ac:dyDescent="0.25">
      <c r="CK557" s="1080"/>
    </row>
    <row r="558" spans="89:89" x14ac:dyDescent="0.25">
      <c r="CK558" s="1080"/>
    </row>
    <row r="559" spans="89:89" x14ac:dyDescent="0.25">
      <c r="CK559" s="1080"/>
    </row>
    <row r="560" spans="89:89" x14ac:dyDescent="0.25">
      <c r="CK560" s="1080"/>
    </row>
    <row r="561" spans="89:89" x14ac:dyDescent="0.25">
      <c r="CK561" s="1080"/>
    </row>
    <row r="562" spans="89:89" x14ac:dyDescent="0.25">
      <c r="CK562" s="1080"/>
    </row>
    <row r="563" spans="89:89" x14ac:dyDescent="0.25">
      <c r="CK563" s="1080"/>
    </row>
    <row r="564" spans="89:89" x14ac:dyDescent="0.25">
      <c r="CK564" s="1080"/>
    </row>
    <row r="565" spans="89:89" x14ac:dyDescent="0.25">
      <c r="CK565" s="1080"/>
    </row>
    <row r="566" spans="89:89" x14ac:dyDescent="0.25">
      <c r="CK566" s="1080"/>
    </row>
    <row r="567" spans="89:89" x14ac:dyDescent="0.25">
      <c r="CK567" s="1080"/>
    </row>
    <row r="568" spans="89:89" x14ac:dyDescent="0.25">
      <c r="CK568" s="1080"/>
    </row>
    <row r="569" spans="89:89" x14ac:dyDescent="0.25">
      <c r="CK569" s="1080"/>
    </row>
    <row r="570" spans="89:89" x14ac:dyDescent="0.25">
      <c r="CK570" s="1080"/>
    </row>
    <row r="571" spans="89:89" x14ac:dyDescent="0.25">
      <c r="CK571" s="1080"/>
    </row>
    <row r="572" spans="89:89" x14ac:dyDescent="0.25">
      <c r="CK572" s="1080"/>
    </row>
    <row r="573" spans="89:89" x14ac:dyDescent="0.25">
      <c r="CK573" s="1080"/>
    </row>
    <row r="574" spans="89:89" x14ac:dyDescent="0.25">
      <c r="CK574" s="1080"/>
    </row>
    <row r="575" spans="89:89" x14ac:dyDescent="0.25">
      <c r="CK575" s="1080"/>
    </row>
    <row r="576" spans="89:89" x14ac:dyDescent="0.25">
      <c r="CK576" s="1080"/>
    </row>
    <row r="577" spans="89:89" x14ac:dyDescent="0.25">
      <c r="CK577" s="1080"/>
    </row>
    <row r="578" spans="89:89" x14ac:dyDescent="0.25">
      <c r="CK578" s="1080"/>
    </row>
    <row r="579" spans="89:89" x14ac:dyDescent="0.25">
      <c r="CK579" s="1080"/>
    </row>
    <row r="580" spans="89:89" x14ac:dyDescent="0.25">
      <c r="CK580" s="1080"/>
    </row>
    <row r="581" spans="89:89" x14ac:dyDescent="0.25">
      <c r="CK581" s="1080"/>
    </row>
    <row r="582" spans="89:89" x14ac:dyDescent="0.25">
      <c r="CK582" s="1080"/>
    </row>
    <row r="583" spans="89:89" x14ac:dyDescent="0.25">
      <c r="CK583" s="1080"/>
    </row>
    <row r="584" spans="89:89" x14ac:dyDescent="0.25">
      <c r="CK584" s="1080"/>
    </row>
    <row r="585" spans="89:89" x14ac:dyDescent="0.25">
      <c r="CK585" s="1080"/>
    </row>
    <row r="586" spans="89:89" x14ac:dyDescent="0.25">
      <c r="CK586" s="1080"/>
    </row>
    <row r="587" spans="89:89" x14ac:dyDescent="0.25">
      <c r="CK587" s="1080"/>
    </row>
    <row r="588" spans="89:89" x14ac:dyDescent="0.25">
      <c r="CK588" s="1080"/>
    </row>
    <row r="589" spans="89:89" x14ac:dyDescent="0.25">
      <c r="CK589" s="1080"/>
    </row>
    <row r="590" spans="89:89" x14ac:dyDescent="0.25">
      <c r="CK590" s="1080"/>
    </row>
    <row r="591" spans="89:89" x14ac:dyDescent="0.25">
      <c r="CK591" s="1080"/>
    </row>
    <row r="592" spans="89:89" x14ac:dyDescent="0.25">
      <c r="CK592" s="1080"/>
    </row>
    <row r="593" spans="89:89" x14ac:dyDescent="0.25">
      <c r="CK593" s="1080"/>
    </row>
    <row r="594" spans="89:89" x14ac:dyDescent="0.25">
      <c r="CK594" s="1080"/>
    </row>
    <row r="595" spans="89:89" x14ac:dyDescent="0.25">
      <c r="CK595" s="1080"/>
    </row>
    <row r="596" spans="89:89" x14ac:dyDescent="0.25">
      <c r="CK596" s="1080"/>
    </row>
    <row r="597" spans="89:89" x14ac:dyDescent="0.25">
      <c r="CK597" s="1080"/>
    </row>
    <row r="598" spans="89:89" x14ac:dyDescent="0.25">
      <c r="CK598" s="1080"/>
    </row>
    <row r="599" spans="89:89" x14ac:dyDescent="0.25">
      <c r="CK599" s="1080"/>
    </row>
    <row r="600" spans="89:89" x14ac:dyDescent="0.25">
      <c r="CK600" s="1080"/>
    </row>
    <row r="601" spans="89:89" x14ac:dyDescent="0.25">
      <c r="CK601" s="1080"/>
    </row>
    <row r="602" spans="89:89" x14ac:dyDescent="0.25">
      <c r="CK602" s="1080"/>
    </row>
    <row r="603" spans="89:89" x14ac:dyDescent="0.25">
      <c r="CK603" s="1080"/>
    </row>
    <row r="604" spans="89:89" x14ac:dyDescent="0.25">
      <c r="CK604" s="1080"/>
    </row>
    <row r="605" spans="89:89" x14ac:dyDescent="0.25">
      <c r="CK605" s="1080"/>
    </row>
    <row r="606" spans="89:89" x14ac:dyDescent="0.25">
      <c r="CK606" s="1080"/>
    </row>
    <row r="607" spans="89:89" x14ac:dyDescent="0.25">
      <c r="CK607" s="1080"/>
    </row>
    <row r="608" spans="89:89" x14ac:dyDescent="0.25">
      <c r="CK608" s="1080"/>
    </row>
    <row r="609" spans="89:89" x14ac:dyDescent="0.25">
      <c r="CK609" s="1080"/>
    </row>
    <row r="610" spans="89:89" x14ac:dyDescent="0.25">
      <c r="CK610" s="1080"/>
    </row>
    <row r="611" spans="89:89" x14ac:dyDescent="0.25">
      <c r="CK611" s="1080"/>
    </row>
    <row r="612" spans="89:89" x14ac:dyDescent="0.25">
      <c r="CK612" s="1080"/>
    </row>
    <row r="613" spans="89:89" x14ac:dyDescent="0.25">
      <c r="CK613" s="1080"/>
    </row>
    <row r="614" spans="89:89" x14ac:dyDescent="0.25">
      <c r="CK614" s="1080"/>
    </row>
    <row r="615" spans="89:89" x14ac:dyDescent="0.25">
      <c r="CK615" s="1080"/>
    </row>
    <row r="616" spans="89:89" x14ac:dyDescent="0.25">
      <c r="CK616" s="1080"/>
    </row>
    <row r="617" spans="89:89" x14ac:dyDescent="0.25">
      <c r="CK617" s="1080"/>
    </row>
    <row r="618" spans="89:89" x14ac:dyDescent="0.25">
      <c r="CK618" s="1080"/>
    </row>
    <row r="619" spans="89:89" x14ac:dyDescent="0.25">
      <c r="CK619" s="1080"/>
    </row>
    <row r="620" spans="89:89" x14ac:dyDescent="0.25">
      <c r="CK620" s="1080"/>
    </row>
    <row r="621" spans="89:89" x14ac:dyDescent="0.25">
      <c r="CK621" s="1080"/>
    </row>
    <row r="622" spans="89:89" x14ac:dyDescent="0.25">
      <c r="CK622" s="1080"/>
    </row>
    <row r="623" spans="89:89" x14ac:dyDescent="0.25">
      <c r="CK623" s="1080"/>
    </row>
    <row r="624" spans="89:89" x14ac:dyDescent="0.25">
      <c r="CK624" s="1080"/>
    </row>
    <row r="625" spans="89:89" x14ac:dyDescent="0.25">
      <c r="CK625" s="1080"/>
    </row>
    <row r="626" spans="89:89" x14ac:dyDescent="0.25">
      <c r="CK626" s="1080"/>
    </row>
    <row r="627" spans="89:89" x14ac:dyDescent="0.25">
      <c r="CK627" s="1080"/>
    </row>
    <row r="628" spans="89:89" x14ac:dyDescent="0.25">
      <c r="CK628" s="1080"/>
    </row>
    <row r="629" spans="89:89" x14ac:dyDescent="0.25">
      <c r="CK629" s="1080"/>
    </row>
    <row r="630" spans="89:89" x14ac:dyDescent="0.25">
      <c r="CK630" s="1080"/>
    </row>
    <row r="631" spans="89:89" x14ac:dyDescent="0.25">
      <c r="CK631" s="1080"/>
    </row>
    <row r="632" spans="89:89" x14ac:dyDescent="0.25">
      <c r="CK632" s="1080"/>
    </row>
    <row r="633" spans="89:89" x14ac:dyDescent="0.25">
      <c r="CK633" s="1080"/>
    </row>
    <row r="634" spans="89:89" x14ac:dyDescent="0.25">
      <c r="CK634" s="1080"/>
    </row>
    <row r="635" spans="89:89" x14ac:dyDescent="0.25">
      <c r="CK635" s="1080"/>
    </row>
    <row r="636" spans="89:89" x14ac:dyDescent="0.25">
      <c r="CK636" s="1080"/>
    </row>
    <row r="637" spans="89:89" x14ac:dyDescent="0.25">
      <c r="CK637" s="1080"/>
    </row>
    <row r="638" spans="89:89" x14ac:dyDescent="0.25">
      <c r="CK638" s="1080"/>
    </row>
    <row r="639" spans="89:89" x14ac:dyDescent="0.25">
      <c r="CK639" s="1080"/>
    </row>
    <row r="640" spans="89:89" x14ac:dyDescent="0.25">
      <c r="CK640" s="1080"/>
    </row>
    <row r="641" spans="89:89" x14ac:dyDescent="0.25">
      <c r="CK641" s="1080"/>
    </row>
    <row r="642" spans="89:89" x14ac:dyDescent="0.25">
      <c r="CK642" s="1080"/>
    </row>
    <row r="643" spans="89:89" x14ac:dyDescent="0.25">
      <c r="CK643" s="1080"/>
    </row>
    <row r="644" spans="89:89" x14ac:dyDescent="0.25">
      <c r="CK644" s="1080"/>
    </row>
    <row r="645" spans="89:89" x14ac:dyDescent="0.25">
      <c r="CK645" s="1080"/>
    </row>
    <row r="646" spans="89:89" x14ac:dyDescent="0.25">
      <c r="CK646" s="1080"/>
    </row>
    <row r="647" spans="89:89" x14ac:dyDescent="0.25">
      <c r="CK647" s="1080"/>
    </row>
    <row r="648" spans="89:89" x14ac:dyDescent="0.25">
      <c r="CK648" s="1080"/>
    </row>
    <row r="649" spans="89:89" x14ac:dyDescent="0.25">
      <c r="CK649" s="1080"/>
    </row>
    <row r="650" spans="89:89" x14ac:dyDescent="0.25">
      <c r="CK650" s="1080"/>
    </row>
    <row r="651" spans="89:89" x14ac:dyDescent="0.25">
      <c r="CK651" s="1080"/>
    </row>
    <row r="652" spans="89:89" x14ac:dyDescent="0.25">
      <c r="CK652" s="1080"/>
    </row>
    <row r="653" spans="89:89" x14ac:dyDescent="0.25">
      <c r="CK653" s="1080"/>
    </row>
    <row r="654" spans="89:89" x14ac:dyDescent="0.25">
      <c r="CK654" s="1080"/>
    </row>
    <row r="655" spans="89:89" x14ac:dyDescent="0.25">
      <c r="CK655" s="1080"/>
    </row>
    <row r="656" spans="89:89" x14ac:dyDescent="0.25">
      <c r="CK656" s="1080"/>
    </row>
    <row r="657" spans="89:89" x14ac:dyDescent="0.25">
      <c r="CK657" s="1080"/>
    </row>
    <row r="658" spans="89:89" x14ac:dyDescent="0.25">
      <c r="CK658" s="1080"/>
    </row>
    <row r="659" spans="89:89" x14ac:dyDescent="0.25">
      <c r="CK659" s="1080"/>
    </row>
    <row r="660" spans="89:89" x14ac:dyDescent="0.25">
      <c r="CK660" s="1080"/>
    </row>
    <row r="661" spans="89:89" x14ac:dyDescent="0.25">
      <c r="CK661" s="1080"/>
    </row>
    <row r="662" spans="89:89" x14ac:dyDescent="0.25">
      <c r="CK662" s="1080"/>
    </row>
    <row r="663" spans="89:89" x14ac:dyDescent="0.25">
      <c r="CK663" s="1080"/>
    </row>
    <row r="664" spans="89:89" x14ac:dyDescent="0.25">
      <c r="CK664" s="1080"/>
    </row>
    <row r="665" spans="89:89" x14ac:dyDescent="0.25">
      <c r="CK665" s="1080"/>
    </row>
    <row r="666" spans="89:89" x14ac:dyDescent="0.25">
      <c r="CK666" s="1080"/>
    </row>
    <row r="667" spans="89:89" x14ac:dyDescent="0.25">
      <c r="CK667" s="1080"/>
    </row>
    <row r="668" spans="89:89" x14ac:dyDescent="0.25">
      <c r="CK668" s="1080"/>
    </row>
    <row r="669" spans="89:89" x14ac:dyDescent="0.25">
      <c r="CK669" s="1080"/>
    </row>
    <row r="670" spans="89:89" x14ac:dyDescent="0.25">
      <c r="CK670" s="1080"/>
    </row>
    <row r="671" spans="89:89" x14ac:dyDescent="0.25">
      <c r="CK671" s="1080"/>
    </row>
    <row r="672" spans="89:89" x14ac:dyDescent="0.25">
      <c r="CK672" s="1080"/>
    </row>
    <row r="673" spans="89:89" x14ac:dyDescent="0.25">
      <c r="CK673" s="1080"/>
    </row>
    <row r="674" spans="89:89" x14ac:dyDescent="0.25">
      <c r="CK674" s="1080"/>
    </row>
    <row r="675" spans="89:89" x14ac:dyDescent="0.25">
      <c r="CK675" s="1080"/>
    </row>
    <row r="676" spans="89:89" x14ac:dyDescent="0.25">
      <c r="CK676" s="1080"/>
    </row>
    <row r="677" spans="89:89" x14ac:dyDescent="0.25">
      <c r="CK677" s="1080"/>
    </row>
    <row r="678" spans="89:89" x14ac:dyDescent="0.25">
      <c r="CK678" s="1080"/>
    </row>
    <row r="679" spans="89:89" x14ac:dyDescent="0.25">
      <c r="CK679" s="1080"/>
    </row>
    <row r="680" spans="89:89" x14ac:dyDescent="0.25">
      <c r="CK680" s="1080"/>
    </row>
    <row r="681" spans="89:89" x14ac:dyDescent="0.25">
      <c r="CK681" s="1080"/>
    </row>
    <row r="682" spans="89:89" x14ac:dyDescent="0.25">
      <c r="CK682" s="1080"/>
    </row>
    <row r="683" spans="89:89" x14ac:dyDescent="0.25">
      <c r="CK683" s="1080"/>
    </row>
    <row r="684" spans="89:89" x14ac:dyDescent="0.25">
      <c r="CK684" s="1080"/>
    </row>
    <row r="685" spans="89:89" x14ac:dyDescent="0.25">
      <c r="CK685" s="1080"/>
    </row>
    <row r="686" spans="89:89" x14ac:dyDescent="0.25">
      <c r="CK686" s="1080"/>
    </row>
    <row r="687" spans="89:89" x14ac:dyDescent="0.25">
      <c r="CK687" s="1080"/>
    </row>
    <row r="688" spans="89:89" x14ac:dyDescent="0.25">
      <c r="CK688" s="1080"/>
    </row>
    <row r="689" spans="89:89" x14ac:dyDescent="0.25">
      <c r="CK689" s="1080"/>
    </row>
    <row r="690" spans="89:89" x14ac:dyDescent="0.25">
      <c r="CK690" s="1080"/>
    </row>
    <row r="691" spans="89:89" x14ac:dyDescent="0.25">
      <c r="CK691" s="1080"/>
    </row>
    <row r="692" spans="89:89" x14ac:dyDescent="0.25">
      <c r="CK692" s="1080"/>
    </row>
    <row r="693" spans="89:89" x14ac:dyDescent="0.25">
      <c r="CK693" s="1080"/>
    </row>
    <row r="694" spans="89:89" x14ac:dyDescent="0.25">
      <c r="CK694" s="1080"/>
    </row>
    <row r="695" spans="89:89" x14ac:dyDescent="0.25">
      <c r="CK695" s="1080"/>
    </row>
    <row r="696" spans="89:89" x14ac:dyDescent="0.25">
      <c r="CK696" s="1080"/>
    </row>
    <row r="697" spans="89:89" x14ac:dyDescent="0.25">
      <c r="CK697" s="1080"/>
    </row>
    <row r="698" spans="89:89" x14ac:dyDescent="0.25">
      <c r="CK698" s="1080"/>
    </row>
    <row r="699" spans="89:89" x14ac:dyDescent="0.25">
      <c r="CK699" s="1080"/>
    </row>
    <row r="700" spans="89:89" x14ac:dyDescent="0.25">
      <c r="CK700" s="1080"/>
    </row>
    <row r="701" spans="89:89" x14ac:dyDescent="0.25">
      <c r="CK701" s="1080"/>
    </row>
    <row r="702" spans="89:89" x14ac:dyDescent="0.25">
      <c r="CK702" s="1080"/>
    </row>
    <row r="703" spans="89:89" x14ac:dyDescent="0.25">
      <c r="CK703" s="1080"/>
    </row>
    <row r="704" spans="89:89" x14ac:dyDescent="0.25">
      <c r="CK704" s="1080"/>
    </row>
    <row r="705" spans="89:89" x14ac:dyDescent="0.25">
      <c r="CK705" s="1080"/>
    </row>
    <row r="706" spans="89:89" x14ac:dyDescent="0.25">
      <c r="CK706" s="1080"/>
    </row>
    <row r="707" spans="89:89" x14ac:dyDescent="0.25">
      <c r="CK707" s="1080"/>
    </row>
    <row r="708" spans="89:89" x14ac:dyDescent="0.25">
      <c r="CK708" s="1080"/>
    </row>
    <row r="709" spans="89:89" x14ac:dyDescent="0.25">
      <c r="CK709" s="1080"/>
    </row>
    <row r="710" spans="89:89" x14ac:dyDescent="0.25">
      <c r="CK710" s="1080"/>
    </row>
    <row r="711" spans="89:89" x14ac:dyDescent="0.25">
      <c r="CK711" s="1080"/>
    </row>
    <row r="712" spans="89:89" x14ac:dyDescent="0.25">
      <c r="CK712" s="1080"/>
    </row>
    <row r="713" spans="89:89" x14ac:dyDescent="0.25">
      <c r="CK713" s="1080"/>
    </row>
    <row r="714" spans="89:89" x14ac:dyDescent="0.25">
      <c r="CK714" s="1080"/>
    </row>
    <row r="715" spans="89:89" x14ac:dyDescent="0.25">
      <c r="CK715" s="1080"/>
    </row>
    <row r="716" spans="89:89" x14ac:dyDescent="0.25">
      <c r="CK716" s="1080"/>
    </row>
    <row r="717" spans="89:89" x14ac:dyDescent="0.25">
      <c r="CK717" s="1080"/>
    </row>
    <row r="718" spans="89:89" x14ac:dyDescent="0.25">
      <c r="CK718" s="1080"/>
    </row>
    <row r="719" spans="89:89" x14ac:dyDescent="0.25">
      <c r="CK719" s="1080"/>
    </row>
    <row r="720" spans="89:89" x14ac:dyDescent="0.25">
      <c r="CK720" s="1080"/>
    </row>
    <row r="721" spans="89:89" x14ac:dyDescent="0.25">
      <c r="CK721" s="1080"/>
    </row>
    <row r="722" spans="89:89" x14ac:dyDescent="0.25">
      <c r="CK722" s="1080"/>
    </row>
    <row r="723" spans="89:89" x14ac:dyDescent="0.25">
      <c r="CK723" s="1080"/>
    </row>
    <row r="724" spans="89:89" x14ac:dyDescent="0.25">
      <c r="CK724" s="1080"/>
    </row>
    <row r="725" spans="89:89" x14ac:dyDescent="0.25">
      <c r="CK725" s="1080"/>
    </row>
    <row r="726" spans="89:89" x14ac:dyDescent="0.25">
      <c r="CK726" s="1080"/>
    </row>
    <row r="727" spans="89:89" x14ac:dyDescent="0.25">
      <c r="CK727" s="1080"/>
    </row>
    <row r="728" spans="89:89" x14ac:dyDescent="0.25">
      <c r="CK728" s="1080"/>
    </row>
    <row r="729" spans="89:89" x14ac:dyDescent="0.25">
      <c r="CK729" s="1080"/>
    </row>
    <row r="730" spans="89:89" x14ac:dyDescent="0.25">
      <c r="CK730" s="1080"/>
    </row>
    <row r="731" spans="89:89" x14ac:dyDescent="0.25">
      <c r="CK731" s="1080"/>
    </row>
    <row r="732" spans="89:89" x14ac:dyDescent="0.25">
      <c r="CK732" s="1080"/>
    </row>
    <row r="733" spans="89:89" x14ac:dyDescent="0.25">
      <c r="CK733" s="1080"/>
    </row>
    <row r="734" spans="89:89" x14ac:dyDescent="0.25">
      <c r="CK734" s="1080"/>
    </row>
    <row r="735" spans="89:89" x14ac:dyDescent="0.25">
      <c r="CK735" s="1080"/>
    </row>
    <row r="736" spans="89:89" x14ac:dyDescent="0.25">
      <c r="CK736" s="1080"/>
    </row>
    <row r="737" spans="89:89" x14ac:dyDescent="0.25">
      <c r="CK737" s="1080"/>
    </row>
    <row r="738" spans="89:89" x14ac:dyDescent="0.25">
      <c r="CK738" s="1080"/>
    </row>
    <row r="739" spans="89:89" x14ac:dyDescent="0.25">
      <c r="CK739" s="1080"/>
    </row>
    <row r="740" spans="89:89" x14ac:dyDescent="0.25">
      <c r="CK740" s="1080"/>
    </row>
    <row r="741" spans="89:89" x14ac:dyDescent="0.25">
      <c r="CK741" s="1080"/>
    </row>
    <row r="742" spans="89:89" x14ac:dyDescent="0.25">
      <c r="CK742" s="1080"/>
    </row>
    <row r="743" spans="89:89" x14ac:dyDescent="0.25">
      <c r="CK743" s="1080"/>
    </row>
    <row r="744" spans="89:89" x14ac:dyDescent="0.25">
      <c r="CK744" s="1080"/>
    </row>
    <row r="745" spans="89:89" x14ac:dyDescent="0.25">
      <c r="CK745" s="1080"/>
    </row>
    <row r="746" spans="89:89" x14ac:dyDescent="0.25">
      <c r="CK746" s="1080"/>
    </row>
    <row r="747" spans="89:89" x14ac:dyDescent="0.25">
      <c r="CK747" s="1080"/>
    </row>
    <row r="748" spans="89:89" x14ac:dyDescent="0.25">
      <c r="CK748" s="1080"/>
    </row>
    <row r="749" spans="89:89" x14ac:dyDescent="0.25">
      <c r="CK749" s="1080"/>
    </row>
    <row r="750" spans="89:89" x14ac:dyDescent="0.25">
      <c r="CK750" s="1080"/>
    </row>
    <row r="751" spans="89:89" x14ac:dyDescent="0.25">
      <c r="CK751" s="1080"/>
    </row>
    <row r="752" spans="89:89" x14ac:dyDescent="0.25">
      <c r="CK752" s="1080"/>
    </row>
    <row r="753" spans="89:89" x14ac:dyDescent="0.25">
      <c r="CK753" s="1080"/>
    </row>
    <row r="754" spans="89:89" x14ac:dyDescent="0.25">
      <c r="CK754" s="1080"/>
    </row>
    <row r="755" spans="89:89" x14ac:dyDescent="0.25">
      <c r="CK755" s="1080"/>
    </row>
    <row r="756" spans="89:89" x14ac:dyDescent="0.25">
      <c r="CK756" s="1080"/>
    </row>
    <row r="757" spans="89:89" x14ac:dyDescent="0.25">
      <c r="CK757" s="1080"/>
    </row>
    <row r="758" spans="89:89" x14ac:dyDescent="0.25">
      <c r="CK758" s="1080"/>
    </row>
    <row r="759" spans="89:89" x14ac:dyDescent="0.25">
      <c r="CK759" s="1080"/>
    </row>
    <row r="760" spans="89:89" x14ac:dyDescent="0.25">
      <c r="CK760" s="1080"/>
    </row>
    <row r="761" spans="89:89" x14ac:dyDescent="0.25">
      <c r="CK761" s="1080"/>
    </row>
    <row r="762" spans="89:89" x14ac:dyDescent="0.25">
      <c r="CK762" s="1080"/>
    </row>
    <row r="763" spans="89:89" x14ac:dyDescent="0.25">
      <c r="CK763" s="1080"/>
    </row>
    <row r="764" spans="89:89" x14ac:dyDescent="0.25">
      <c r="CK764" s="1080"/>
    </row>
    <row r="765" spans="89:89" x14ac:dyDescent="0.25">
      <c r="CK765" s="1080"/>
    </row>
    <row r="766" spans="89:89" x14ac:dyDescent="0.25">
      <c r="CK766" s="1080"/>
    </row>
    <row r="767" spans="89:89" x14ac:dyDescent="0.25">
      <c r="CK767" s="1080"/>
    </row>
    <row r="768" spans="89:89" x14ac:dyDescent="0.25">
      <c r="CK768" s="1080"/>
    </row>
    <row r="769" spans="89:89" x14ac:dyDescent="0.25">
      <c r="CK769" s="1080"/>
    </row>
    <row r="770" spans="89:89" x14ac:dyDescent="0.25">
      <c r="CK770" s="1080"/>
    </row>
    <row r="771" spans="89:89" x14ac:dyDescent="0.25">
      <c r="CK771" s="1080"/>
    </row>
    <row r="772" spans="89:89" x14ac:dyDescent="0.25">
      <c r="CK772" s="1080"/>
    </row>
    <row r="773" spans="89:89" x14ac:dyDescent="0.25">
      <c r="CK773" s="1080"/>
    </row>
    <row r="774" spans="89:89" x14ac:dyDescent="0.25">
      <c r="CK774" s="1080"/>
    </row>
    <row r="775" spans="89:89" x14ac:dyDescent="0.25">
      <c r="CK775" s="1080"/>
    </row>
    <row r="776" spans="89:89" x14ac:dyDescent="0.25">
      <c r="CK776" s="1080"/>
    </row>
    <row r="777" spans="89:89" x14ac:dyDescent="0.25">
      <c r="CK777" s="1080"/>
    </row>
    <row r="778" spans="89:89" x14ac:dyDescent="0.25">
      <c r="CK778" s="1080"/>
    </row>
    <row r="779" spans="89:89" x14ac:dyDescent="0.25">
      <c r="CK779" s="1080"/>
    </row>
    <row r="780" spans="89:89" x14ac:dyDescent="0.25">
      <c r="CK780" s="1080"/>
    </row>
    <row r="781" spans="89:89" x14ac:dyDescent="0.25">
      <c r="CK781" s="1080"/>
    </row>
    <row r="782" spans="89:89" x14ac:dyDescent="0.25">
      <c r="CK782" s="1080"/>
    </row>
    <row r="783" spans="89:89" x14ac:dyDescent="0.25">
      <c r="CK783" s="1080"/>
    </row>
    <row r="784" spans="89:89" x14ac:dyDescent="0.25">
      <c r="CK784" s="1080"/>
    </row>
    <row r="785" spans="89:89" x14ac:dyDescent="0.25">
      <c r="CK785" s="1080"/>
    </row>
    <row r="786" spans="89:89" x14ac:dyDescent="0.25">
      <c r="CK786" s="1080"/>
    </row>
    <row r="787" spans="89:89" x14ac:dyDescent="0.25">
      <c r="CK787" s="1080"/>
    </row>
    <row r="788" spans="89:89" x14ac:dyDescent="0.25">
      <c r="CK788" s="1080"/>
    </row>
    <row r="789" spans="89:89" x14ac:dyDescent="0.25">
      <c r="CK789" s="1080"/>
    </row>
    <row r="790" spans="89:89" x14ac:dyDescent="0.25">
      <c r="CK790" s="1080"/>
    </row>
    <row r="791" spans="89:89" x14ac:dyDescent="0.25">
      <c r="CK791" s="1080"/>
    </row>
    <row r="792" spans="89:89" x14ac:dyDescent="0.25">
      <c r="CK792" s="1080"/>
    </row>
    <row r="793" spans="89:89" x14ac:dyDescent="0.25">
      <c r="CK793" s="1080"/>
    </row>
    <row r="794" spans="89:89" x14ac:dyDescent="0.25">
      <c r="CK794" s="1080"/>
    </row>
    <row r="795" spans="89:89" x14ac:dyDescent="0.25">
      <c r="CK795" s="1080"/>
    </row>
    <row r="796" spans="89:89" x14ac:dyDescent="0.25">
      <c r="CK796" s="1080"/>
    </row>
    <row r="797" spans="89:89" x14ac:dyDescent="0.25">
      <c r="CK797" s="1080"/>
    </row>
    <row r="798" spans="89:89" x14ac:dyDescent="0.25">
      <c r="CK798" s="1080"/>
    </row>
    <row r="799" spans="89:89" x14ac:dyDescent="0.25">
      <c r="CK799" s="1080"/>
    </row>
    <row r="800" spans="89:89" x14ac:dyDescent="0.25">
      <c r="CK800" s="1080"/>
    </row>
    <row r="801" spans="89:89" x14ac:dyDescent="0.25">
      <c r="CK801" s="1080"/>
    </row>
    <row r="802" spans="89:89" x14ac:dyDescent="0.25">
      <c r="CK802" s="1080"/>
    </row>
    <row r="803" spans="89:89" x14ac:dyDescent="0.25">
      <c r="CK803" s="1080"/>
    </row>
    <row r="804" spans="89:89" x14ac:dyDescent="0.25">
      <c r="CK804" s="1080"/>
    </row>
    <row r="805" spans="89:89" x14ac:dyDescent="0.25">
      <c r="CK805" s="1080"/>
    </row>
    <row r="806" spans="89:89" x14ac:dyDescent="0.25">
      <c r="CK806" s="1080"/>
    </row>
    <row r="807" spans="89:89" x14ac:dyDescent="0.25">
      <c r="CK807" s="1080"/>
    </row>
    <row r="808" spans="89:89" x14ac:dyDescent="0.25">
      <c r="CK808" s="1080"/>
    </row>
    <row r="809" spans="89:89" x14ac:dyDescent="0.25">
      <c r="CK809" s="1080"/>
    </row>
    <row r="810" spans="89:89" x14ac:dyDescent="0.25">
      <c r="CK810" s="1080"/>
    </row>
    <row r="811" spans="89:89" x14ac:dyDescent="0.25">
      <c r="CK811" s="1080"/>
    </row>
    <row r="812" spans="89:89" x14ac:dyDescent="0.25">
      <c r="CK812" s="1080"/>
    </row>
    <row r="813" spans="89:89" x14ac:dyDescent="0.25">
      <c r="CK813" s="1080"/>
    </row>
    <row r="814" spans="89:89" x14ac:dyDescent="0.25">
      <c r="CK814" s="1080"/>
    </row>
    <row r="815" spans="89:89" x14ac:dyDescent="0.25">
      <c r="CK815" s="1080"/>
    </row>
    <row r="816" spans="89:89" x14ac:dyDescent="0.25">
      <c r="CK816" s="1080"/>
    </row>
    <row r="817" spans="89:89" x14ac:dyDescent="0.25">
      <c r="CK817" s="1080"/>
    </row>
    <row r="818" spans="89:89" x14ac:dyDescent="0.25">
      <c r="CK818" s="1080"/>
    </row>
    <row r="819" spans="89:89" x14ac:dyDescent="0.25">
      <c r="CK819" s="1080"/>
    </row>
    <row r="820" spans="89:89" x14ac:dyDescent="0.25">
      <c r="CK820" s="1080"/>
    </row>
    <row r="821" spans="89:89" x14ac:dyDescent="0.25">
      <c r="CK821" s="1080"/>
    </row>
    <row r="822" spans="89:89" x14ac:dyDescent="0.25">
      <c r="CK822" s="1080"/>
    </row>
    <row r="823" spans="89:89" x14ac:dyDescent="0.25">
      <c r="CK823" s="1080"/>
    </row>
    <row r="824" spans="89:89" x14ac:dyDescent="0.25">
      <c r="CK824" s="1080"/>
    </row>
    <row r="825" spans="89:89" x14ac:dyDescent="0.25">
      <c r="CK825" s="1080"/>
    </row>
    <row r="826" spans="89:89" x14ac:dyDescent="0.25">
      <c r="CK826" s="1080"/>
    </row>
    <row r="827" spans="89:89" x14ac:dyDescent="0.25">
      <c r="CK827" s="1080"/>
    </row>
    <row r="828" spans="89:89" x14ac:dyDescent="0.25">
      <c r="CK828" s="1080"/>
    </row>
    <row r="829" spans="89:89" x14ac:dyDescent="0.25">
      <c r="CK829" s="1080"/>
    </row>
    <row r="830" spans="89:89" x14ac:dyDescent="0.25">
      <c r="CK830" s="1080"/>
    </row>
    <row r="831" spans="89:89" x14ac:dyDescent="0.25">
      <c r="CK831" s="1080"/>
    </row>
    <row r="832" spans="89:89" x14ac:dyDescent="0.25">
      <c r="CK832" s="1080"/>
    </row>
    <row r="833" spans="89:89" x14ac:dyDescent="0.25">
      <c r="CK833" s="1080"/>
    </row>
    <row r="834" spans="89:89" x14ac:dyDescent="0.25">
      <c r="CK834" s="1080"/>
    </row>
    <row r="835" spans="89:89" x14ac:dyDescent="0.25">
      <c r="CK835" s="1080"/>
    </row>
    <row r="836" spans="89:89" x14ac:dyDescent="0.25">
      <c r="CK836" s="1080"/>
    </row>
    <row r="837" spans="89:89" x14ac:dyDescent="0.25">
      <c r="CK837" s="1080"/>
    </row>
    <row r="838" spans="89:89" x14ac:dyDescent="0.25">
      <c r="CK838" s="1080"/>
    </row>
    <row r="839" spans="89:89" x14ac:dyDescent="0.25">
      <c r="CK839" s="1080"/>
    </row>
    <row r="840" spans="89:89" x14ac:dyDescent="0.25">
      <c r="CK840" s="1080"/>
    </row>
    <row r="841" spans="89:89" x14ac:dyDescent="0.25">
      <c r="CK841" s="1080"/>
    </row>
    <row r="842" spans="89:89" x14ac:dyDescent="0.25">
      <c r="CK842" s="1080"/>
    </row>
    <row r="843" spans="89:89" x14ac:dyDescent="0.25">
      <c r="CK843" s="1080"/>
    </row>
    <row r="844" spans="89:89" x14ac:dyDescent="0.25">
      <c r="CK844" s="1080"/>
    </row>
    <row r="845" spans="89:89" x14ac:dyDescent="0.25">
      <c r="CK845" s="1080"/>
    </row>
    <row r="846" spans="89:89" x14ac:dyDescent="0.25">
      <c r="CK846" s="1080"/>
    </row>
    <row r="847" spans="89:89" x14ac:dyDescent="0.25">
      <c r="CK847" s="1080"/>
    </row>
    <row r="848" spans="89:89" x14ac:dyDescent="0.25">
      <c r="CK848" s="1080"/>
    </row>
    <row r="849" spans="89:89" x14ac:dyDescent="0.25">
      <c r="CK849" s="1080"/>
    </row>
    <row r="850" spans="89:89" x14ac:dyDescent="0.25">
      <c r="CK850" s="1080"/>
    </row>
    <row r="851" spans="89:89" x14ac:dyDescent="0.25">
      <c r="CK851" s="1080"/>
    </row>
    <row r="852" spans="89:89" x14ac:dyDescent="0.25">
      <c r="CK852" s="1080"/>
    </row>
    <row r="853" spans="89:89" x14ac:dyDescent="0.25">
      <c r="CK853" s="1080"/>
    </row>
    <row r="854" spans="89:89" x14ac:dyDescent="0.25">
      <c r="CK854" s="1080"/>
    </row>
    <row r="855" spans="89:89" x14ac:dyDescent="0.25">
      <c r="CK855" s="1080"/>
    </row>
    <row r="856" spans="89:89" x14ac:dyDescent="0.25">
      <c r="CK856" s="1080"/>
    </row>
    <row r="857" spans="89:89" x14ac:dyDescent="0.25">
      <c r="CK857" s="1080"/>
    </row>
    <row r="858" spans="89:89" x14ac:dyDescent="0.25">
      <c r="CK858" s="1080"/>
    </row>
    <row r="859" spans="89:89" x14ac:dyDescent="0.25">
      <c r="CK859" s="1080"/>
    </row>
    <row r="860" spans="89:89" x14ac:dyDescent="0.25">
      <c r="CK860" s="1080"/>
    </row>
    <row r="861" spans="89:89" x14ac:dyDescent="0.25">
      <c r="CK861" s="1080"/>
    </row>
    <row r="862" spans="89:89" x14ac:dyDescent="0.25">
      <c r="CK862" s="1080"/>
    </row>
    <row r="863" spans="89:89" x14ac:dyDescent="0.25">
      <c r="CK863" s="1080"/>
    </row>
    <row r="864" spans="89:89" x14ac:dyDescent="0.25">
      <c r="CK864" s="1080"/>
    </row>
    <row r="865" spans="89:89" x14ac:dyDescent="0.25">
      <c r="CK865" s="1080"/>
    </row>
    <row r="866" spans="89:89" x14ac:dyDescent="0.25">
      <c r="CK866" s="1080"/>
    </row>
    <row r="867" spans="89:89" x14ac:dyDescent="0.25">
      <c r="CK867" s="1080"/>
    </row>
    <row r="868" spans="89:89" x14ac:dyDescent="0.25">
      <c r="CK868" s="1080"/>
    </row>
    <row r="869" spans="89:89" x14ac:dyDescent="0.25">
      <c r="CK869" s="1080"/>
    </row>
    <row r="870" spans="89:89" x14ac:dyDescent="0.25">
      <c r="CK870" s="1080"/>
    </row>
    <row r="871" spans="89:89" x14ac:dyDescent="0.25">
      <c r="CK871" s="1080"/>
    </row>
    <row r="872" spans="89:89" x14ac:dyDescent="0.25">
      <c r="CK872" s="1080"/>
    </row>
    <row r="873" spans="89:89" x14ac:dyDescent="0.25">
      <c r="CK873" s="1080"/>
    </row>
    <row r="874" spans="89:89" x14ac:dyDescent="0.25">
      <c r="CK874" s="1080"/>
    </row>
    <row r="875" spans="89:89" x14ac:dyDescent="0.25">
      <c r="CK875" s="1080"/>
    </row>
    <row r="876" spans="89:89" x14ac:dyDescent="0.25">
      <c r="CK876" s="1080"/>
    </row>
    <row r="877" spans="89:89" x14ac:dyDescent="0.25">
      <c r="CK877" s="1080"/>
    </row>
    <row r="878" spans="89:89" x14ac:dyDescent="0.25">
      <c r="CK878" s="1080"/>
    </row>
    <row r="879" spans="89:89" x14ac:dyDescent="0.25">
      <c r="CK879" s="1080"/>
    </row>
    <row r="880" spans="89:89" x14ac:dyDescent="0.25">
      <c r="CK880" s="1080"/>
    </row>
    <row r="881" spans="89:89" x14ac:dyDescent="0.25">
      <c r="CK881" s="1080"/>
    </row>
    <row r="882" spans="89:89" x14ac:dyDescent="0.25">
      <c r="CK882" s="1080"/>
    </row>
    <row r="883" spans="89:89" x14ac:dyDescent="0.25">
      <c r="CK883" s="1080"/>
    </row>
    <row r="884" spans="89:89" x14ac:dyDescent="0.25">
      <c r="CK884" s="1080"/>
    </row>
    <row r="885" spans="89:89" x14ac:dyDescent="0.25">
      <c r="CK885" s="1080"/>
    </row>
    <row r="886" spans="89:89" x14ac:dyDescent="0.25">
      <c r="CK886" s="1080"/>
    </row>
    <row r="887" spans="89:89" x14ac:dyDescent="0.25">
      <c r="CK887" s="1080"/>
    </row>
    <row r="888" spans="89:89" x14ac:dyDescent="0.25">
      <c r="CK888" s="1080"/>
    </row>
    <row r="889" spans="89:89" x14ac:dyDescent="0.25">
      <c r="CK889" s="1080"/>
    </row>
    <row r="890" spans="89:89" x14ac:dyDescent="0.25">
      <c r="CK890" s="1080"/>
    </row>
    <row r="891" spans="89:89" x14ac:dyDescent="0.25">
      <c r="CK891" s="1080"/>
    </row>
    <row r="892" spans="89:89" x14ac:dyDescent="0.25">
      <c r="CK892" s="1080"/>
    </row>
    <row r="893" spans="89:89" x14ac:dyDescent="0.25">
      <c r="CK893" s="1080"/>
    </row>
    <row r="894" spans="89:89" x14ac:dyDescent="0.25">
      <c r="CK894" s="1080"/>
    </row>
    <row r="895" spans="89:89" x14ac:dyDescent="0.25">
      <c r="CK895" s="1080"/>
    </row>
    <row r="896" spans="89:89" x14ac:dyDescent="0.25">
      <c r="CK896" s="1080"/>
    </row>
    <row r="897" spans="89:89" x14ac:dyDescent="0.25">
      <c r="CK897" s="1080"/>
    </row>
    <row r="898" spans="89:89" x14ac:dyDescent="0.25">
      <c r="CK898" s="1080"/>
    </row>
    <row r="899" spans="89:89" x14ac:dyDescent="0.25">
      <c r="CK899" s="1080"/>
    </row>
    <row r="900" spans="89:89" x14ac:dyDescent="0.25">
      <c r="CK900" s="1080"/>
    </row>
    <row r="901" spans="89:89" x14ac:dyDescent="0.25">
      <c r="CK901" s="1080"/>
    </row>
    <row r="902" spans="89:89" x14ac:dyDescent="0.25">
      <c r="CK902" s="1080"/>
    </row>
    <row r="903" spans="89:89" x14ac:dyDescent="0.25">
      <c r="CK903" s="1080"/>
    </row>
    <row r="904" spans="89:89" x14ac:dyDescent="0.25">
      <c r="CK904" s="1080"/>
    </row>
    <row r="905" spans="89:89" x14ac:dyDescent="0.25">
      <c r="CK905" s="1080"/>
    </row>
    <row r="906" spans="89:89" x14ac:dyDescent="0.25">
      <c r="CK906" s="1080"/>
    </row>
    <row r="907" spans="89:89" x14ac:dyDescent="0.25">
      <c r="CK907" s="1080"/>
    </row>
    <row r="908" spans="89:89" x14ac:dyDescent="0.25">
      <c r="CK908" s="1080"/>
    </row>
    <row r="909" spans="89:89" x14ac:dyDescent="0.25">
      <c r="CK909" s="1080"/>
    </row>
    <row r="910" spans="89:89" x14ac:dyDescent="0.25">
      <c r="CK910" s="1080"/>
    </row>
    <row r="911" spans="89:89" x14ac:dyDescent="0.25">
      <c r="CK911" s="1080"/>
    </row>
    <row r="912" spans="89:89" x14ac:dyDescent="0.25">
      <c r="CK912" s="1080"/>
    </row>
    <row r="913" spans="89:89" x14ac:dyDescent="0.25">
      <c r="CK913" s="1080"/>
    </row>
    <row r="914" spans="89:89" x14ac:dyDescent="0.25">
      <c r="CK914" s="1080"/>
    </row>
    <row r="915" spans="89:89" x14ac:dyDescent="0.25">
      <c r="CK915" s="1080"/>
    </row>
    <row r="916" spans="89:89" x14ac:dyDescent="0.25">
      <c r="CK916" s="1080"/>
    </row>
    <row r="917" spans="89:89" x14ac:dyDescent="0.25">
      <c r="CK917" s="1080"/>
    </row>
    <row r="918" spans="89:89" x14ac:dyDescent="0.25">
      <c r="CK918" s="1080"/>
    </row>
    <row r="919" spans="89:89" x14ac:dyDescent="0.25">
      <c r="CK919" s="1080"/>
    </row>
    <row r="920" spans="89:89" x14ac:dyDescent="0.25">
      <c r="CK920" s="1080"/>
    </row>
    <row r="921" spans="89:89" x14ac:dyDescent="0.25">
      <c r="CK921" s="1080"/>
    </row>
    <row r="922" spans="89:89" x14ac:dyDescent="0.25">
      <c r="CK922" s="1080"/>
    </row>
    <row r="923" spans="89:89" x14ac:dyDescent="0.25">
      <c r="CK923" s="1080"/>
    </row>
    <row r="924" spans="89:89" x14ac:dyDescent="0.25">
      <c r="CK924" s="1080"/>
    </row>
    <row r="925" spans="89:89" x14ac:dyDescent="0.25">
      <c r="CK925" s="1080"/>
    </row>
    <row r="926" spans="89:89" x14ac:dyDescent="0.25">
      <c r="CK926" s="1080"/>
    </row>
    <row r="927" spans="89:89" x14ac:dyDescent="0.25">
      <c r="CK927" s="1080"/>
    </row>
    <row r="928" spans="89:89" x14ac:dyDescent="0.25">
      <c r="CK928" s="1080"/>
    </row>
    <row r="929" spans="89:89" x14ac:dyDescent="0.25">
      <c r="CK929" s="1080"/>
    </row>
    <row r="930" spans="89:89" x14ac:dyDescent="0.25">
      <c r="CK930" s="1080"/>
    </row>
    <row r="931" spans="89:89" x14ac:dyDescent="0.25">
      <c r="CK931" s="1080"/>
    </row>
    <row r="932" spans="89:89" x14ac:dyDescent="0.25">
      <c r="CK932" s="1080"/>
    </row>
    <row r="933" spans="89:89" x14ac:dyDescent="0.25">
      <c r="CK933" s="1080"/>
    </row>
    <row r="934" spans="89:89" x14ac:dyDescent="0.25">
      <c r="CK934" s="1080"/>
    </row>
    <row r="935" spans="89:89" x14ac:dyDescent="0.25">
      <c r="CK935" s="1080"/>
    </row>
    <row r="936" spans="89:89" x14ac:dyDescent="0.25">
      <c r="CK936" s="1080"/>
    </row>
    <row r="937" spans="89:89" x14ac:dyDescent="0.25">
      <c r="CK937" s="1080"/>
    </row>
    <row r="938" spans="89:89" x14ac:dyDescent="0.25">
      <c r="CK938" s="1080"/>
    </row>
    <row r="939" spans="89:89" x14ac:dyDescent="0.25">
      <c r="CK939" s="1080"/>
    </row>
    <row r="940" spans="89:89" x14ac:dyDescent="0.25">
      <c r="CK940" s="1080"/>
    </row>
    <row r="941" spans="89:89" x14ac:dyDescent="0.25">
      <c r="CK941" s="1080"/>
    </row>
    <row r="942" spans="89:89" x14ac:dyDescent="0.25">
      <c r="CK942" s="1080"/>
    </row>
    <row r="943" spans="89:89" x14ac:dyDescent="0.25">
      <c r="CK943" s="1080"/>
    </row>
    <row r="944" spans="89:89" x14ac:dyDescent="0.25">
      <c r="CK944" s="1080"/>
    </row>
    <row r="945" spans="89:89" x14ac:dyDescent="0.25">
      <c r="CK945" s="1080"/>
    </row>
    <row r="946" spans="89:89" x14ac:dyDescent="0.25">
      <c r="CK946" s="1080"/>
    </row>
    <row r="947" spans="89:89" x14ac:dyDescent="0.25">
      <c r="CK947" s="1080"/>
    </row>
    <row r="948" spans="89:89" x14ac:dyDescent="0.25">
      <c r="CK948" s="1080"/>
    </row>
    <row r="949" spans="89:89" x14ac:dyDescent="0.25">
      <c r="CK949" s="1080"/>
    </row>
    <row r="950" spans="89:89" x14ac:dyDescent="0.25">
      <c r="CK950" s="1080"/>
    </row>
    <row r="951" spans="89:89" x14ac:dyDescent="0.25">
      <c r="CK951" s="1080"/>
    </row>
    <row r="952" spans="89:89" x14ac:dyDescent="0.25">
      <c r="CK952" s="1080"/>
    </row>
    <row r="953" spans="89:89" x14ac:dyDescent="0.25">
      <c r="CK953" s="1080"/>
    </row>
    <row r="954" spans="89:89" x14ac:dyDescent="0.25">
      <c r="CK954" s="1080"/>
    </row>
    <row r="955" spans="89:89" x14ac:dyDescent="0.25">
      <c r="CK955" s="1080"/>
    </row>
    <row r="956" spans="89:89" x14ac:dyDescent="0.25">
      <c r="CK956" s="1080"/>
    </row>
    <row r="957" spans="89:89" x14ac:dyDescent="0.25">
      <c r="CK957" s="1080"/>
    </row>
    <row r="958" spans="89:89" x14ac:dyDescent="0.25">
      <c r="CK958" s="1080"/>
    </row>
    <row r="959" spans="89:89" x14ac:dyDescent="0.25">
      <c r="CK959" s="1080"/>
    </row>
    <row r="960" spans="89:89" x14ac:dyDescent="0.25">
      <c r="CK960" s="1080"/>
    </row>
    <row r="961" spans="89:89" x14ac:dyDescent="0.25">
      <c r="CK961" s="1080"/>
    </row>
    <row r="962" spans="89:89" x14ac:dyDescent="0.25">
      <c r="CK962" s="1080"/>
    </row>
    <row r="963" spans="89:89" x14ac:dyDescent="0.25">
      <c r="CK963" s="1080"/>
    </row>
    <row r="964" spans="89:89" x14ac:dyDescent="0.25">
      <c r="CK964" s="1080"/>
    </row>
    <row r="965" spans="89:89" x14ac:dyDescent="0.25">
      <c r="CK965" s="1080"/>
    </row>
    <row r="966" spans="89:89" x14ac:dyDescent="0.25">
      <c r="CK966" s="1080"/>
    </row>
    <row r="967" spans="89:89" x14ac:dyDescent="0.25">
      <c r="CK967" s="1080"/>
    </row>
    <row r="968" spans="89:89" x14ac:dyDescent="0.25">
      <c r="CK968" s="1080"/>
    </row>
    <row r="969" spans="89:89" x14ac:dyDescent="0.25">
      <c r="CK969" s="1080"/>
    </row>
    <row r="970" spans="89:89" x14ac:dyDescent="0.25">
      <c r="CK970" s="1080"/>
    </row>
    <row r="971" spans="89:89" x14ac:dyDescent="0.25">
      <c r="CK971" s="1080"/>
    </row>
    <row r="972" spans="89:89" x14ac:dyDescent="0.25">
      <c r="CK972" s="1080"/>
    </row>
    <row r="973" spans="89:89" x14ac:dyDescent="0.25">
      <c r="CK973" s="1080"/>
    </row>
    <row r="974" spans="89:89" x14ac:dyDescent="0.25">
      <c r="CK974" s="1080"/>
    </row>
    <row r="975" spans="89:89" x14ac:dyDescent="0.25">
      <c r="CK975" s="1080"/>
    </row>
    <row r="976" spans="89:89" x14ac:dyDescent="0.25">
      <c r="CK976" s="1080"/>
    </row>
    <row r="977" spans="89:89" x14ac:dyDescent="0.25">
      <c r="CK977" s="1080"/>
    </row>
    <row r="978" spans="89:89" x14ac:dyDescent="0.25">
      <c r="CK978" s="1080"/>
    </row>
    <row r="979" spans="89:89" x14ac:dyDescent="0.25">
      <c r="CK979" s="1080"/>
    </row>
    <row r="980" spans="89:89" x14ac:dyDescent="0.25">
      <c r="CK980" s="1080"/>
    </row>
    <row r="981" spans="89:89" x14ac:dyDescent="0.25">
      <c r="CK981" s="1080"/>
    </row>
    <row r="982" spans="89:89" x14ac:dyDescent="0.25">
      <c r="CK982" s="1080"/>
    </row>
    <row r="983" spans="89:89" x14ac:dyDescent="0.25">
      <c r="CK983" s="1080"/>
    </row>
    <row r="984" spans="89:89" x14ac:dyDescent="0.25">
      <c r="CK984" s="1080"/>
    </row>
    <row r="985" spans="89:89" x14ac:dyDescent="0.25">
      <c r="CK985" s="1080"/>
    </row>
    <row r="986" spans="89:89" x14ac:dyDescent="0.25">
      <c r="CK986" s="1080"/>
    </row>
    <row r="987" spans="89:89" x14ac:dyDescent="0.25">
      <c r="CK987" s="1080"/>
    </row>
    <row r="988" spans="89:89" x14ac:dyDescent="0.25">
      <c r="CK988" s="1080"/>
    </row>
    <row r="989" spans="89:89" x14ac:dyDescent="0.25">
      <c r="CK989" s="1080"/>
    </row>
    <row r="990" spans="89:89" x14ac:dyDescent="0.25">
      <c r="CK990" s="1080"/>
    </row>
    <row r="991" spans="89:89" x14ac:dyDescent="0.25">
      <c r="CK991" s="1080"/>
    </row>
    <row r="992" spans="89:89" x14ac:dyDescent="0.25">
      <c r="CK992" s="1080"/>
    </row>
    <row r="993" spans="89:89" x14ac:dyDescent="0.25">
      <c r="CK993" s="1080"/>
    </row>
    <row r="994" spans="89:89" x14ac:dyDescent="0.25">
      <c r="CK994" s="1080"/>
    </row>
    <row r="995" spans="89:89" x14ac:dyDescent="0.25">
      <c r="CK995" s="1080"/>
    </row>
    <row r="996" spans="89:89" x14ac:dyDescent="0.25">
      <c r="CK996" s="1080"/>
    </row>
    <row r="997" spans="89:89" x14ac:dyDescent="0.25">
      <c r="CK997" s="1080"/>
    </row>
    <row r="998" spans="89:89" x14ac:dyDescent="0.25">
      <c r="CK998" s="1080"/>
    </row>
    <row r="999" spans="89:89" x14ac:dyDescent="0.25">
      <c r="CK999" s="1080"/>
    </row>
    <row r="1000" spans="89:89" x14ac:dyDescent="0.25">
      <c r="CK1000" s="1080"/>
    </row>
    <row r="1001" spans="89:89" x14ac:dyDescent="0.25">
      <c r="CK1001" s="1080"/>
    </row>
    <row r="1002" spans="89:89" x14ac:dyDescent="0.25">
      <c r="CK1002" s="1080"/>
    </row>
    <row r="1003" spans="89:89" x14ac:dyDescent="0.25">
      <c r="CK1003" s="1080"/>
    </row>
    <row r="1004" spans="89:89" x14ac:dyDescent="0.25">
      <c r="CK1004" s="1080"/>
    </row>
    <row r="1005" spans="89:89" x14ac:dyDescent="0.25">
      <c r="CK1005" s="1080"/>
    </row>
    <row r="1006" spans="89:89" x14ac:dyDescent="0.25">
      <c r="CK1006" s="1080"/>
    </row>
    <row r="1007" spans="89:89" x14ac:dyDescent="0.25">
      <c r="CK1007" s="1080"/>
    </row>
    <row r="1008" spans="89:89" x14ac:dyDescent="0.25">
      <c r="CK1008" s="1080"/>
    </row>
    <row r="1009" spans="89:89" x14ac:dyDescent="0.25">
      <c r="CK1009" s="1080"/>
    </row>
    <row r="1010" spans="89:89" x14ac:dyDescent="0.25">
      <c r="CK1010" s="1080"/>
    </row>
    <row r="1011" spans="89:89" x14ac:dyDescent="0.25">
      <c r="CK1011" s="1080"/>
    </row>
    <row r="1012" spans="89:89" x14ac:dyDescent="0.25">
      <c r="CK1012" s="1080"/>
    </row>
    <row r="1013" spans="89:89" x14ac:dyDescent="0.25">
      <c r="CK1013" s="1080"/>
    </row>
    <row r="1014" spans="89:89" x14ac:dyDescent="0.25">
      <c r="CK1014" s="1080"/>
    </row>
    <row r="1015" spans="89:89" x14ac:dyDescent="0.25">
      <c r="CK1015" s="1080"/>
    </row>
    <row r="1016" spans="89:89" x14ac:dyDescent="0.25">
      <c r="CK1016" s="1080"/>
    </row>
    <row r="1017" spans="89:89" x14ac:dyDescent="0.25">
      <c r="CK1017" s="1080"/>
    </row>
    <row r="1018" spans="89:89" x14ac:dyDescent="0.25">
      <c r="CK1018" s="1080"/>
    </row>
    <row r="1019" spans="89:89" x14ac:dyDescent="0.25">
      <c r="CK1019" s="1080"/>
    </row>
    <row r="1020" spans="89:89" x14ac:dyDescent="0.25">
      <c r="CK1020" s="1080"/>
    </row>
    <row r="1021" spans="89:89" x14ac:dyDescent="0.25">
      <c r="CK1021" s="1080"/>
    </row>
    <row r="1022" spans="89:89" x14ac:dyDescent="0.25">
      <c r="CK1022" s="1080"/>
    </row>
    <row r="1023" spans="89:89" x14ac:dyDescent="0.25">
      <c r="CK1023" s="1080"/>
    </row>
    <row r="1024" spans="89:89" x14ac:dyDescent="0.25">
      <c r="CK1024" s="1080"/>
    </row>
    <row r="1025" spans="89:89" x14ac:dyDescent="0.25">
      <c r="CK1025" s="1080"/>
    </row>
    <row r="1026" spans="89:89" x14ac:dyDescent="0.25">
      <c r="CK1026" s="1080"/>
    </row>
    <row r="1027" spans="89:89" x14ac:dyDescent="0.25">
      <c r="CK1027" s="108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Datos Generales</vt:lpstr>
      <vt:lpstr>Hoja1</vt:lpstr>
      <vt:lpstr>METAS CON BAJO RENDIMIENTO</vt:lpstr>
      <vt:lpstr>Anexo 1 Matriz Inf Gestión-GD</vt:lpstr>
      <vt:lpstr>Hoja2</vt:lpstr>
      <vt:lpstr>Anexo 2 Mat Inf Gastos 22</vt:lpstr>
      <vt:lpstr>Anexo 2 Mat Inf Gastos 23</vt:lpstr>
      <vt:lpstr>Anexo Ingresos 2023</vt:lpstr>
      <vt:lpstr>Anexo 5.2 A 2023</vt:lpstr>
      <vt:lpstr>RESUMEN FISICO Y FINANCIERO</vt:lpstr>
      <vt:lpstr>GRAFICOS </vt:lpstr>
      <vt:lpstr>FORMULA</vt:lpstr>
      <vt:lpstr>16MIZC</vt:lpstr>
      <vt:lpstr>'Anexo 1 Matriz Inf Gestión-GD'!Área_de_impresión</vt:lpstr>
      <vt:lpstr>'METAS CON BAJO RENDIMIENTO'!Área_de_impresión</vt:lpstr>
      <vt:lpstr>'RESUMEN FISICO Y FINANCIERO'!Área_de_impresión</vt:lpstr>
      <vt:lpstr>Lista_CAR</vt:lpstr>
      <vt:lpstr>'Anexo 2 Mat Inf Gastos 22'!Títulos_a_imprimir</vt:lpstr>
      <vt:lpstr>'METAS CON BAJO RENDIMIENTO'!Títulos_a_imprimir</vt:lpstr>
      <vt:lpstr>Vigencias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Giovanny Ortiz R.</dc:creator>
  <cp:lastModifiedBy>Planeacion-OCAD</cp:lastModifiedBy>
  <cp:lastPrinted>2022-10-09T21:04:15Z</cp:lastPrinted>
  <dcterms:created xsi:type="dcterms:W3CDTF">2016-11-26T19:57:08Z</dcterms:created>
  <dcterms:modified xsi:type="dcterms:W3CDTF">2023-07-27T20:45:25Z</dcterms:modified>
</cp:coreProperties>
</file>